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S:\Applic\SOCX\NETSOCX\net-TBSPs\"/>
    </mc:Choice>
  </mc:AlternateContent>
  <xr:revisionPtr revIDLastSave="0" documentId="13_ncr:1_{98F7BDA2-6BD2-47D3-9804-E1E00A49ED7F}" xr6:coauthVersionLast="47" xr6:coauthVersionMax="47" xr10:uidLastSave="{00000000-0000-0000-0000-000000000000}"/>
  <bookViews>
    <workbookView xWindow="2685" yWindow="2685" windowWidth="25545" windowHeight="11640" tabRatio="889" xr2:uid="{00000000-000D-0000-FFFF-FFFF00000000}"/>
  </bookViews>
  <sheets>
    <sheet name="Read_Me" sheetId="56" r:id="rId1"/>
    <sheet name="AUS" sheetId="44" r:id="rId2"/>
    <sheet name="AUT" sheetId="3" r:id="rId3"/>
    <sheet name="BEL" sheetId="4" r:id="rId4"/>
    <sheet name="CAN" sheetId="5" r:id="rId5"/>
    <sheet name="CHE" sheetId="46" r:id="rId6"/>
    <sheet name="CHL" sheetId="6" r:id="rId7"/>
    <sheet name="COL" sheetId="55" r:id="rId8"/>
    <sheet name="CRI" sheetId="50" r:id="rId9"/>
    <sheet name="CZE" sheetId="7" r:id="rId10"/>
    <sheet name="DEU" sheetId="12" r:id="rId11"/>
    <sheet name="DNK" sheetId="42" r:id="rId12"/>
    <sheet name="ESP" sheetId="43" r:id="rId13"/>
    <sheet name="EST" sheetId="9" r:id="rId14"/>
    <sheet name="FIN" sheetId="10" r:id="rId15"/>
    <sheet name="FRA" sheetId="48" r:id="rId16"/>
    <sheet name="GBR" sheetId="49" r:id="rId17"/>
    <sheet name="GRC" sheetId="13" r:id="rId18"/>
    <sheet name="HUN" sheetId="15" r:id="rId19"/>
    <sheet name="IRL" sheetId="52" r:id="rId20"/>
    <sheet name="ISL" sheetId="16" r:id="rId21"/>
    <sheet name="ISR" sheetId="19" r:id="rId22"/>
    <sheet name="ITA" sheetId="20" r:id="rId23"/>
    <sheet name="JPN" sheetId="54" r:id="rId24"/>
    <sheet name="KOR" sheetId="22" r:id="rId25"/>
    <sheet name="LTU" sheetId="41" r:id="rId26"/>
    <sheet name="LUX" sheetId="24" r:id="rId27"/>
    <sheet name="LVA" sheetId="23" r:id="rId28"/>
    <sheet name="MEX" sheetId="45" r:id="rId29"/>
    <sheet name="NLD" sheetId="39" r:id="rId30"/>
    <sheet name="NZL" sheetId="47" r:id="rId31"/>
    <sheet name="NOR" sheetId="28" r:id="rId32"/>
    <sheet name="PRT" sheetId="36" r:id="rId33"/>
    <sheet name="POL" sheetId="29" r:id="rId34"/>
    <sheet name="SVK" sheetId="30" r:id="rId35"/>
    <sheet name="SVN" sheetId="1" r:id="rId36"/>
    <sheet name="SWE" sheetId="31" r:id="rId37"/>
    <sheet name="TUR" sheetId="51" r:id="rId38"/>
    <sheet name="USA" sheetId="53" r:id="rId39"/>
  </sheets>
  <externalReferences>
    <externalReference r:id="rId40"/>
  </externalReferences>
  <definedNames>
    <definedName name="____________________GDP80" localSheetId="5">#REF!</definedName>
    <definedName name="____________________GDP80" localSheetId="7">#REF!</definedName>
    <definedName name="____________________GDP80" localSheetId="8">#REF!</definedName>
    <definedName name="____________________GDP80" localSheetId="11">#REF!</definedName>
    <definedName name="____________________GDP80" localSheetId="12">#REF!</definedName>
    <definedName name="____________________GDP80" localSheetId="15">#REF!</definedName>
    <definedName name="____________________GDP80" localSheetId="16">#REF!</definedName>
    <definedName name="____________________GDP80" localSheetId="19">#REF!</definedName>
    <definedName name="____________________GDP80" localSheetId="23">#REF!</definedName>
    <definedName name="____________________GDP80" localSheetId="28">#REF!</definedName>
    <definedName name="____________________GDP80" localSheetId="30">#REF!</definedName>
    <definedName name="____________________GDP80" localSheetId="0">#REF!</definedName>
    <definedName name="____________________GDP80" localSheetId="35">#REF!</definedName>
    <definedName name="____________________GDP80" localSheetId="37">#REF!</definedName>
    <definedName name="____________________GDP80" localSheetId="38">#REF!</definedName>
    <definedName name="____________________GDP80">#REF!</definedName>
    <definedName name="____________________GDP81" localSheetId="5">#REF!</definedName>
    <definedName name="____________________GDP81" localSheetId="7">#REF!</definedName>
    <definedName name="____________________GDP81" localSheetId="8">#REF!</definedName>
    <definedName name="____________________GDP81" localSheetId="11">#REF!</definedName>
    <definedName name="____________________GDP81" localSheetId="12">#REF!</definedName>
    <definedName name="____________________GDP81" localSheetId="15">#REF!</definedName>
    <definedName name="____________________GDP81" localSheetId="16">#REF!</definedName>
    <definedName name="____________________GDP81" localSheetId="19">#REF!</definedName>
    <definedName name="____________________GDP81" localSheetId="23">#REF!</definedName>
    <definedName name="____________________GDP81" localSheetId="28">#REF!</definedName>
    <definedName name="____________________GDP81" localSheetId="30">#REF!</definedName>
    <definedName name="____________________GDP81" localSheetId="0">#REF!</definedName>
    <definedName name="____________________GDP81" localSheetId="37">#REF!</definedName>
    <definedName name="____________________GDP81" localSheetId="38">#REF!</definedName>
    <definedName name="____________________GDP81">#REF!</definedName>
    <definedName name="____________________GDP82" localSheetId="5">#REF!</definedName>
    <definedName name="____________________GDP82" localSheetId="7">#REF!</definedName>
    <definedName name="____________________GDP82" localSheetId="8">#REF!</definedName>
    <definedName name="____________________GDP82" localSheetId="11">#REF!</definedName>
    <definedName name="____________________GDP82" localSheetId="12">#REF!</definedName>
    <definedName name="____________________GDP82" localSheetId="15">#REF!</definedName>
    <definedName name="____________________GDP82" localSheetId="19">#REF!</definedName>
    <definedName name="____________________GDP82" localSheetId="0">#REF!</definedName>
    <definedName name="____________________GDP82">#REF!</definedName>
    <definedName name="____________________GDP83" localSheetId="5">#REF!</definedName>
    <definedName name="____________________GDP83" localSheetId="7">#REF!</definedName>
    <definedName name="____________________GDP83" localSheetId="8">#REF!</definedName>
    <definedName name="____________________GDP83" localSheetId="11">#REF!</definedName>
    <definedName name="____________________GDP83" localSheetId="12">#REF!</definedName>
    <definedName name="____________________GDP83" localSheetId="15">#REF!</definedName>
    <definedName name="____________________GDP83" localSheetId="19">#REF!</definedName>
    <definedName name="____________________GDP83" localSheetId="0">#REF!</definedName>
    <definedName name="____________________GDP83">#REF!</definedName>
    <definedName name="____________________GDP84" localSheetId="5">#REF!</definedName>
    <definedName name="____________________GDP84" localSheetId="7">#REF!</definedName>
    <definedName name="____________________GDP84" localSheetId="8">#REF!</definedName>
    <definedName name="____________________GDP84" localSheetId="11">#REF!</definedName>
    <definedName name="____________________GDP84" localSheetId="12">#REF!</definedName>
    <definedName name="____________________GDP84" localSheetId="15">#REF!</definedName>
    <definedName name="____________________GDP84" localSheetId="19">#REF!</definedName>
    <definedName name="____________________GDP84" localSheetId="0">#REF!</definedName>
    <definedName name="____________________GDP84">#REF!</definedName>
    <definedName name="____________________GDP85" localSheetId="5">#REF!</definedName>
    <definedName name="____________________GDP85" localSheetId="7">#REF!</definedName>
    <definedName name="____________________GDP85" localSheetId="8">#REF!</definedName>
    <definedName name="____________________GDP85" localSheetId="11">#REF!</definedName>
    <definedName name="____________________GDP85" localSheetId="12">#REF!</definedName>
    <definedName name="____________________GDP85" localSheetId="15">#REF!</definedName>
    <definedName name="____________________GDP85" localSheetId="19">#REF!</definedName>
    <definedName name="____________________GDP85" localSheetId="0">#REF!</definedName>
    <definedName name="____________________GDP85">#REF!</definedName>
    <definedName name="____________________GDP86" localSheetId="5">#REF!</definedName>
    <definedName name="____________________GDP86" localSheetId="7">#REF!</definedName>
    <definedName name="____________________GDP86" localSheetId="8">#REF!</definedName>
    <definedName name="____________________GDP86" localSheetId="11">#REF!</definedName>
    <definedName name="____________________GDP86" localSheetId="12">#REF!</definedName>
    <definedName name="____________________GDP86" localSheetId="15">#REF!</definedName>
    <definedName name="____________________GDP86" localSheetId="19">#REF!</definedName>
    <definedName name="____________________GDP86" localSheetId="0">#REF!</definedName>
    <definedName name="____________________GDP86">#REF!</definedName>
    <definedName name="____________________GDP87" localSheetId="5">#REF!</definedName>
    <definedName name="____________________GDP87" localSheetId="7">#REF!</definedName>
    <definedName name="____________________GDP87" localSheetId="8">#REF!</definedName>
    <definedName name="____________________GDP87" localSheetId="11">#REF!</definedName>
    <definedName name="____________________GDP87" localSheetId="12">#REF!</definedName>
    <definedName name="____________________GDP87" localSheetId="15">#REF!</definedName>
    <definedName name="____________________GDP87" localSheetId="19">#REF!</definedName>
    <definedName name="____________________GDP87" localSheetId="0">#REF!</definedName>
    <definedName name="____________________GDP87">#REF!</definedName>
    <definedName name="____________________GDP88" localSheetId="5">#REF!</definedName>
    <definedName name="____________________GDP88" localSheetId="7">#REF!</definedName>
    <definedName name="____________________GDP88" localSheetId="8">#REF!</definedName>
    <definedName name="____________________GDP88" localSheetId="11">#REF!</definedName>
    <definedName name="____________________GDP88" localSheetId="12">#REF!</definedName>
    <definedName name="____________________GDP88" localSheetId="15">#REF!</definedName>
    <definedName name="____________________GDP88" localSheetId="19">#REF!</definedName>
    <definedName name="____________________GDP88" localSheetId="0">#REF!</definedName>
    <definedName name="____________________GDP88">#REF!</definedName>
    <definedName name="____________________GDP89" localSheetId="5">#REF!</definedName>
    <definedName name="____________________GDP89" localSheetId="7">#REF!</definedName>
    <definedName name="____________________GDP89" localSheetId="8">#REF!</definedName>
    <definedName name="____________________GDP89" localSheetId="11">#REF!</definedName>
    <definedName name="____________________GDP89" localSheetId="12">#REF!</definedName>
    <definedName name="____________________GDP89" localSheetId="15">#REF!</definedName>
    <definedName name="____________________GDP89" localSheetId="19">#REF!</definedName>
    <definedName name="____________________GDP89" localSheetId="0">#REF!</definedName>
    <definedName name="____________________GDP89">#REF!</definedName>
    <definedName name="____________________GDP90" localSheetId="5">#REF!</definedName>
    <definedName name="____________________GDP90" localSheetId="7">#REF!</definedName>
    <definedName name="____________________GDP90" localSheetId="8">#REF!</definedName>
    <definedName name="____________________GDP90" localSheetId="11">#REF!</definedName>
    <definedName name="____________________GDP90" localSheetId="12">#REF!</definedName>
    <definedName name="____________________GDP90" localSheetId="15">#REF!</definedName>
    <definedName name="____________________GDP90" localSheetId="19">#REF!</definedName>
    <definedName name="____________________GDP90" localSheetId="0">#REF!</definedName>
    <definedName name="____________________GDP90">#REF!</definedName>
    <definedName name="____________________GDP91" localSheetId="5">#REF!</definedName>
    <definedName name="____________________GDP91" localSheetId="7">#REF!</definedName>
    <definedName name="____________________GDP91" localSheetId="8">#REF!</definedName>
    <definedName name="____________________GDP91" localSheetId="11">#REF!</definedName>
    <definedName name="____________________GDP91" localSheetId="12">#REF!</definedName>
    <definedName name="____________________GDP91" localSheetId="15">#REF!</definedName>
    <definedName name="____________________GDP91" localSheetId="19">#REF!</definedName>
    <definedName name="____________________GDP91" localSheetId="0">#REF!</definedName>
    <definedName name="____________________GDP91">#REF!</definedName>
    <definedName name="____________________GDP92" localSheetId="5">#REF!</definedName>
    <definedName name="____________________GDP92" localSheetId="7">#REF!</definedName>
    <definedName name="____________________GDP92" localSheetId="8">#REF!</definedName>
    <definedName name="____________________GDP92" localSheetId="11">#REF!</definedName>
    <definedName name="____________________GDP92" localSheetId="12">#REF!</definedName>
    <definedName name="____________________GDP92" localSheetId="15">#REF!</definedName>
    <definedName name="____________________GDP92" localSheetId="19">#REF!</definedName>
    <definedName name="____________________GDP92" localSheetId="0">#REF!</definedName>
    <definedName name="____________________GDP92">#REF!</definedName>
    <definedName name="____________________GDP93" localSheetId="5">#REF!</definedName>
    <definedName name="____________________GDP93" localSheetId="7">#REF!</definedName>
    <definedName name="____________________GDP93" localSheetId="8">#REF!</definedName>
    <definedName name="____________________GDP93" localSheetId="11">#REF!</definedName>
    <definedName name="____________________GDP93" localSheetId="12">#REF!</definedName>
    <definedName name="____________________GDP93" localSheetId="15">#REF!</definedName>
    <definedName name="____________________GDP93" localSheetId="19">#REF!</definedName>
    <definedName name="____________________GDP93" localSheetId="0">#REF!</definedName>
    <definedName name="____________________GDP93">#REF!</definedName>
    <definedName name="____________________GDP94" localSheetId="5">#REF!</definedName>
    <definedName name="____________________GDP94" localSheetId="7">#REF!</definedName>
    <definedName name="____________________GDP94" localSheetId="8">#REF!</definedName>
    <definedName name="____________________GDP94" localSheetId="11">#REF!</definedName>
    <definedName name="____________________GDP94" localSheetId="12">#REF!</definedName>
    <definedName name="____________________GDP94" localSheetId="15">#REF!</definedName>
    <definedName name="____________________GDP94" localSheetId="19">#REF!</definedName>
    <definedName name="____________________GDP94" localSheetId="0">#REF!</definedName>
    <definedName name="____________________GDP94">#REF!</definedName>
    <definedName name="___________________GDP80" localSheetId="5">#REF!</definedName>
    <definedName name="___________________GDP80" localSheetId="7">#REF!</definedName>
    <definedName name="___________________GDP80" localSheetId="8">#REF!</definedName>
    <definedName name="___________________GDP80" localSheetId="11">#REF!</definedName>
    <definedName name="___________________GDP80" localSheetId="12">#REF!</definedName>
    <definedName name="___________________GDP80" localSheetId="15">#REF!</definedName>
    <definedName name="___________________GDP80" localSheetId="19">#REF!</definedName>
    <definedName name="___________________GDP80" localSheetId="0">#REF!</definedName>
    <definedName name="___________________GDP80">#REF!</definedName>
    <definedName name="___________________GDP81" localSheetId="5">#REF!</definedName>
    <definedName name="___________________GDP81" localSheetId="7">#REF!</definedName>
    <definedName name="___________________GDP81" localSheetId="8">#REF!</definedName>
    <definedName name="___________________GDP81" localSheetId="11">#REF!</definedName>
    <definedName name="___________________GDP81" localSheetId="12">#REF!</definedName>
    <definedName name="___________________GDP81" localSheetId="15">#REF!</definedName>
    <definedName name="___________________GDP81" localSheetId="19">#REF!</definedName>
    <definedName name="___________________GDP81" localSheetId="0">#REF!</definedName>
    <definedName name="___________________GDP81">#REF!</definedName>
    <definedName name="___________________GDP82" localSheetId="5">#REF!</definedName>
    <definedName name="___________________GDP82" localSheetId="7">#REF!</definedName>
    <definedName name="___________________GDP82" localSheetId="8">#REF!</definedName>
    <definedName name="___________________GDP82" localSheetId="11">#REF!</definedName>
    <definedName name="___________________GDP82" localSheetId="12">#REF!</definedName>
    <definedName name="___________________GDP82" localSheetId="15">#REF!</definedName>
    <definedName name="___________________GDP82" localSheetId="19">#REF!</definedName>
    <definedName name="___________________GDP82" localSheetId="0">#REF!</definedName>
    <definedName name="___________________GDP82">#REF!</definedName>
    <definedName name="___________________GDP83" localSheetId="5">#REF!</definedName>
    <definedName name="___________________GDP83" localSheetId="7">#REF!</definedName>
    <definedName name="___________________GDP83" localSheetId="8">#REF!</definedName>
    <definedName name="___________________GDP83" localSheetId="11">#REF!</definedName>
    <definedName name="___________________GDP83" localSheetId="12">#REF!</definedName>
    <definedName name="___________________GDP83" localSheetId="15">#REF!</definedName>
    <definedName name="___________________GDP83" localSheetId="19">#REF!</definedName>
    <definedName name="___________________GDP83" localSheetId="0">#REF!</definedName>
    <definedName name="___________________GDP83">#REF!</definedName>
    <definedName name="___________________GDP84" localSheetId="5">#REF!</definedName>
    <definedName name="___________________GDP84" localSheetId="7">#REF!</definedName>
    <definedName name="___________________GDP84" localSheetId="8">#REF!</definedName>
    <definedName name="___________________GDP84" localSheetId="11">#REF!</definedName>
    <definedName name="___________________GDP84" localSheetId="12">#REF!</definedName>
    <definedName name="___________________GDP84" localSheetId="15">#REF!</definedName>
    <definedName name="___________________GDP84" localSheetId="19">#REF!</definedName>
    <definedName name="___________________GDP84" localSheetId="0">#REF!</definedName>
    <definedName name="___________________GDP84">#REF!</definedName>
    <definedName name="___________________GDP85" localSheetId="5">#REF!</definedName>
    <definedName name="___________________GDP85" localSheetId="7">#REF!</definedName>
    <definedName name="___________________GDP85" localSheetId="8">#REF!</definedName>
    <definedName name="___________________GDP85" localSheetId="11">#REF!</definedName>
    <definedName name="___________________GDP85" localSheetId="12">#REF!</definedName>
    <definedName name="___________________GDP85" localSheetId="15">#REF!</definedName>
    <definedName name="___________________GDP85" localSheetId="19">#REF!</definedName>
    <definedName name="___________________GDP85" localSheetId="0">#REF!</definedName>
    <definedName name="___________________GDP85">#REF!</definedName>
    <definedName name="___________________GDP86" localSheetId="5">#REF!</definedName>
    <definedName name="___________________GDP86" localSheetId="7">#REF!</definedName>
    <definedName name="___________________GDP86" localSheetId="8">#REF!</definedName>
    <definedName name="___________________GDP86" localSheetId="11">#REF!</definedName>
    <definedName name="___________________GDP86" localSheetId="12">#REF!</definedName>
    <definedName name="___________________GDP86" localSheetId="15">#REF!</definedName>
    <definedName name="___________________GDP86" localSheetId="19">#REF!</definedName>
    <definedName name="___________________GDP86" localSheetId="0">#REF!</definedName>
    <definedName name="___________________GDP86">#REF!</definedName>
    <definedName name="___________________GDP87" localSheetId="5">#REF!</definedName>
    <definedName name="___________________GDP87" localSheetId="7">#REF!</definedName>
    <definedName name="___________________GDP87" localSheetId="8">#REF!</definedName>
    <definedName name="___________________GDP87" localSheetId="11">#REF!</definedName>
    <definedName name="___________________GDP87" localSheetId="12">#REF!</definedName>
    <definedName name="___________________GDP87" localSheetId="15">#REF!</definedName>
    <definedName name="___________________GDP87" localSheetId="19">#REF!</definedName>
    <definedName name="___________________GDP87" localSheetId="0">#REF!</definedName>
    <definedName name="___________________GDP87">#REF!</definedName>
    <definedName name="___________________GDP88" localSheetId="5">#REF!</definedName>
    <definedName name="___________________GDP88" localSheetId="7">#REF!</definedName>
    <definedName name="___________________GDP88" localSheetId="8">#REF!</definedName>
    <definedName name="___________________GDP88" localSheetId="11">#REF!</definedName>
    <definedName name="___________________GDP88" localSheetId="12">#REF!</definedName>
    <definedName name="___________________GDP88" localSheetId="15">#REF!</definedName>
    <definedName name="___________________GDP88" localSheetId="19">#REF!</definedName>
    <definedName name="___________________GDP88" localSheetId="0">#REF!</definedName>
    <definedName name="___________________GDP88">#REF!</definedName>
    <definedName name="___________________GDP89" localSheetId="5">#REF!</definedName>
    <definedName name="___________________GDP89" localSheetId="7">#REF!</definedName>
    <definedName name="___________________GDP89" localSheetId="8">#REF!</definedName>
    <definedName name="___________________GDP89" localSheetId="11">#REF!</definedName>
    <definedName name="___________________GDP89" localSheetId="12">#REF!</definedName>
    <definedName name="___________________GDP89" localSheetId="15">#REF!</definedName>
    <definedName name="___________________GDP89" localSheetId="19">#REF!</definedName>
    <definedName name="___________________GDP89" localSheetId="0">#REF!</definedName>
    <definedName name="___________________GDP89">#REF!</definedName>
    <definedName name="___________________GDP90" localSheetId="5">#REF!</definedName>
    <definedName name="___________________GDP90" localSheetId="7">#REF!</definedName>
    <definedName name="___________________GDP90" localSheetId="8">#REF!</definedName>
    <definedName name="___________________GDP90" localSheetId="11">#REF!</definedName>
    <definedName name="___________________GDP90" localSheetId="12">#REF!</definedName>
    <definedName name="___________________GDP90" localSheetId="15">#REF!</definedName>
    <definedName name="___________________GDP90" localSheetId="19">#REF!</definedName>
    <definedName name="___________________GDP90" localSheetId="0">#REF!</definedName>
    <definedName name="___________________GDP90">#REF!</definedName>
    <definedName name="___________________GDP91" localSheetId="5">#REF!</definedName>
    <definedName name="___________________GDP91" localSheetId="7">#REF!</definedName>
    <definedName name="___________________GDP91" localSheetId="8">#REF!</definedName>
    <definedName name="___________________GDP91" localSheetId="11">#REF!</definedName>
    <definedName name="___________________GDP91" localSheetId="12">#REF!</definedName>
    <definedName name="___________________GDP91" localSheetId="15">#REF!</definedName>
    <definedName name="___________________GDP91" localSheetId="19">#REF!</definedName>
    <definedName name="___________________GDP91" localSheetId="0">#REF!</definedName>
    <definedName name="___________________GDP91">#REF!</definedName>
    <definedName name="___________________GDP92" localSheetId="5">#REF!</definedName>
    <definedName name="___________________GDP92" localSheetId="7">#REF!</definedName>
    <definedName name="___________________GDP92" localSheetId="8">#REF!</definedName>
    <definedName name="___________________GDP92" localSheetId="11">#REF!</definedName>
    <definedName name="___________________GDP92" localSheetId="12">#REF!</definedName>
    <definedName name="___________________GDP92" localSheetId="15">#REF!</definedName>
    <definedName name="___________________GDP92" localSheetId="19">#REF!</definedName>
    <definedName name="___________________GDP92" localSheetId="0">#REF!</definedName>
    <definedName name="___________________GDP92">#REF!</definedName>
    <definedName name="___________________GDP93" localSheetId="5">#REF!</definedName>
    <definedName name="___________________GDP93" localSheetId="7">#REF!</definedName>
    <definedName name="___________________GDP93" localSheetId="8">#REF!</definedName>
    <definedName name="___________________GDP93" localSheetId="11">#REF!</definedName>
    <definedName name="___________________GDP93" localSheetId="12">#REF!</definedName>
    <definedName name="___________________GDP93" localSheetId="15">#REF!</definedName>
    <definedName name="___________________GDP93" localSheetId="19">#REF!</definedName>
    <definedName name="___________________GDP93" localSheetId="0">#REF!</definedName>
    <definedName name="___________________GDP93">#REF!</definedName>
    <definedName name="___________________GDP94" localSheetId="5">#REF!</definedName>
    <definedName name="___________________GDP94" localSheetId="7">#REF!</definedName>
    <definedName name="___________________GDP94" localSheetId="8">#REF!</definedName>
    <definedName name="___________________GDP94" localSheetId="11">#REF!</definedName>
    <definedName name="___________________GDP94" localSheetId="12">#REF!</definedName>
    <definedName name="___________________GDP94" localSheetId="15">#REF!</definedName>
    <definedName name="___________________GDP94" localSheetId="19">#REF!</definedName>
    <definedName name="___________________GDP94" localSheetId="0">#REF!</definedName>
    <definedName name="___________________GDP94">#REF!</definedName>
    <definedName name="___________________PR1">#N/A</definedName>
    <definedName name="___________________PR2">#N/A</definedName>
    <definedName name="___________________PR3">#N/A</definedName>
    <definedName name="___________________PR4">#N/A</definedName>
    <definedName name="__________________GDP80" localSheetId="5">#REF!</definedName>
    <definedName name="__________________GDP80" localSheetId="7">#REF!</definedName>
    <definedName name="__________________GDP80" localSheetId="8">#REF!</definedName>
    <definedName name="__________________GDP80" localSheetId="11">#REF!</definedName>
    <definedName name="__________________GDP80" localSheetId="12">#REF!</definedName>
    <definedName name="__________________GDP80" localSheetId="15">#REF!</definedName>
    <definedName name="__________________GDP80" localSheetId="16">#REF!</definedName>
    <definedName name="__________________GDP80" localSheetId="19">#REF!</definedName>
    <definedName name="__________________GDP80" localSheetId="23">#REF!</definedName>
    <definedName name="__________________GDP80" localSheetId="28">#REF!</definedName>
    <definedName name="__________________GDP80" localSheetId="30">#REF!</definedName>
    <definedName name="__________________GDP80" localSheetId="0">#REF!</definedName>
    <definedName name="__________________GDP80" localSheetId="35">#REF!</definedName>
    <definedName name="__________________GDP80" localSheetId="37">#REF!</definedName>
    <definedName name="__________________GDP80" localSheetId="38">#REF!</definedName>
    <definedName name="__________________GDP80">#REF!</definedName>
    <definedName name="__________________GDP81" localSheetId="5">#REF!</definedName>
    <definedName name="__________________GDP81" localSheetId="7">#REF!</definedName>
    <definedName name="__________________GDP81" localSheetId="8">#REF!</definedName>
    <definedName name="__________________GDP81" localSheetId="11">#REF!</definedName>
    <definedName name="__________________GDP81" localSheetId="12">#REF!</definedName>
    <definedName name="__________________GDP81" localSheetId="15">#REF!</definedName>
    <definedName name="__________________GDP81" localSheetId="16">#REF!</definedName>
    <definedName name="__________________GDP81" localSheetId="19">#REF!</definedName>
    <definedName name="__________________GDP81" localSheetId="23">#REF!</definedName>
    <definedName name="__________________GDP81" localSheetId="28">#REF!</definedName>
    <definedName name="__________________GDP81" localSheetId="30">#REF!</definedName>
    <definedName name="__________________GDP81" localSheetId="0">#REF!</definedName>
    <definedName name="__________________GDP81" localSheetId="37">#REF!</definedName>
    <definedName name="__________________GDP81" localSheetId="38">#REF!</definedName>
    <definedName name="__________________GDP81">#REF!</definedName>
    <definedName name="__________________GDP82" localSheetId="5">#REF!</definedName>
    <definedName name="__________________GDP82" localSheetId="7">#REF!</definedName>
    <definedName name="__________________GDP82" localSheetId="8">#REF!</definedName>
    <definedName name="__________________GDP82" localSheetId="11">#REF!</definedName>
    <definedName name="__________________GDP82" localSheetId="12">#REF!</definedName>
    <definedName name="__________________GDP82" localSheetId="15">#REF!</definedName>
    <definedName name="__________________GDP82" localSheetId="19">#REF!</definedName>
    <definedName name="__________________GDP82" localSheetId="0">#REF!</definedName>
    <definedName name="__________________GDP82">#REF!</definedName>
    <definedName name="__________________GDP83" localSheetId="5">#REF!</definedName>
    <definedName name="__________________GDP83" localSheetId="7">#REF!</definedName>
    <definedName name="__________________GDP83" localSheetId="8">#REF!</definedName>
    <definedName name="__________________GDP83" localSheetId="11">#REF!</definedName>
    <definedName name="__________________GDP83" localSheetId="12">#REF!</definedName>
    <definedName name="__________________GDP83" localSheetId="15">#REF!</definedName>
    <definedName name="__________________GDP83" localSheetId="19">#REF!</definedName>
    <definedName name="__________________GDP83" localSheetId="0">#REF!</definedName>
    <definedName name="__________________GDP83">#REF!</definedName>
    <definedName name="__________________GDP84" localSheetId="5">#REF!</definedName>
    <definedName name="__________________GDP84" localSheetId="7">#REF!</definedName>
    <definedName name="__________________GDP84" localSheetId="8">#REF!</definedName>
    <definedName name="__________________GDP84" localSheetId="11">#REF!</definedName>
    <definedName name="__________________GDP84" localSheetId="12">#REF!</definedName>
    <definedName name="__________________GDP84" localSheetId="15">#REF!</definedName>
    <definedName name="__________________GDP84" localSheetId="19">#REF!</definedName>
    <definedName name="__________________GDP84" localSheetId="0">#REF!</definedName>
    <definedName name="__________________GDP84">#REF!</definedName>
    <definedName name="__________________GDP85" localSheetId="5">#REF!</definedName>
    <definedName name="__________________GDP85" localSheetId="7">#REF!</definedName>
    <definedName name="__________________GDP85" localSheetId="8">#REF!</definedName>
    <definedName name="__________________GDP85" localSheetId="11">#REF!</definedName>
    <definedName name="__________________GDP85" localSheetId="12">#REF!</definedName>
    <definedName name="__________________GDP85" localSheetId="15">#REF!</definedName>
    <definedName name="__________________GDP85" localSheetId="19">#REF!</definedName>
    <definedName name="__________________GDP85" localSheetId="0">#REF!</definedName>
    <definedName name="__________________GDP85">#REF!</definedName>
    <definedName name="__________________GDP86" localSheetId="5">#REF!</definedName>
    <definedName name="__________________GDP86" localSheetId="7">#REF!</definedName>
    <definedName name="__________________GDP86" localSheetId="8">#REF!</definedName>
    <definedName name="__________________GDP86" localSheetId="11">#REF!</definedName>
    <definedName name="__________________GDP86" localSheetId="12">#REF!</definedName>
    <definedName name="__________________GDP86" localSheetId="15">#REF!</definedName>
    <definedName name="__________________GDP86" localSheetId="19">#REF!</definedName>
    <definedName name="__________________GDP86" localSheetId="0">#REF!</definedName>
    <definedName name="__________________GDP86">#REF!</definedName>
    <definedName name="__________________GDP87" localSheetId="5">#REF!</definedName>
    <definedName name="__________________GDP87" localSheetId="7">#REF!</definedName>
    <definedName name="__________________GDP87" localSheetId="8">#REF!</definedName>
    <definedName name="__________________GDP87" localSheetId="11">#REF!</definedName>
    <definedName name="__________________GDP87" localSheetId="12">#REF!</definedName>
    <definedName name="__________________GDP87" localSheetId="15">#REF!</definedName>
    <definedName name="__________________GDP87" localSheetId="19">#REF!</definedName>
    <definedName name="__________________GDP87" localSheetId="0">#REF!</definedName>
    <definedName name="__________________GDP87">#REF!</definedName>
    <definedName name="__________________GDP88" localSheetId="5">#REF!</definedName>
    <definedName name="__________________GDP88" localSheetId="7">#REF!</definedName>
    <definedName name="__________________GDP88" localSheetId="8">#REF!</definedName>
    <definedName name="__________________GDP88" localSheetId="11">#REF!</definedName>
    <definedName name="__________________GDP88" localSheetId="12">#REF!</definedName>
    <definedName name="__________________GDP88" localSheetId="15">#REF!</definedName>
    <definedName name="__________________GDP88" localSheetId="19">#REF!</definedName>
    <definedName name="__________________GDP88" localSheetId="0">#REF!</definedName>
    <definedName name="__________________GDP88">#REF!</definedName>
    <definedName name="__________________GDP89" localSheetId="5">#REF!</definedName>
    <definedName name="__________________GDP89" localSheetId="7">#REF!</definedName>
    <definedName name="__________________GDP89" localSheetId="8">#REF!</definedName>
    <definedName name="__________________GDP89" localSheetId="11">#REF!</definedName>
    <definedName name="__________________GDP89" localSheetId="12">#REF!</definedName>
    <definedName name="__________________GDP89" localSheetId="15">#REF!</definedName>
    <definedName name="__________________GDP89" localSheetId="19">#REF!</definedName>
    <definedName name="__________________GDP89" localSheetId="0">#REF!</definedName>
    <definedName name="__________________GDP89">#REF!</definedName>
    <definedName name="__________________GDP90" localSheetId="5">#REF!</definedName>
    <definedName name="__________________GDP90" localSheetId="7">#REF!</definedName>
    <definedName name="__________________GDP90" localSheetId="8">#REF!</definedName>
    <definedName name="__________________GDP90" localSheetId="11">#REF!</definedName>
    <definedName name="__________________GDP90" localSheetId="12">#REF!</definedName>
    <definedName name="__________________GDP90" localSheetId="15">#REF!</definedName>
    <definedName name="__________________GDP90" localSheetId="19">#REF!</definedName>
    <definedName name="__________________GDP90" localSheetId="0">#REF!</definedName>
    <definedName name="__________________GDP90">#REF!</definedName>
    <definedName name="__________________GDP91" localSheetId="5">#REF!</definedName>
    <definedName name="__________________GDP91" localSheetId="7">#REF!</definedName>
    <definedName name="__________________GDP91" localSheetId="8">#REF!</definedName>
    <definedName name="__________________GDP91" localSheetId="11">#REF!</definedName>
    <definedName name="__________________GDP91" localSheetId="12">#REF!</definedName>
    <definedName name="__________________GDP91" localSheetId="15">#REF!</definedName>
    <definedName name="__________________GDP91" localSheetId="19">#REF!</definedName>
    <definedName name="__________________GDP91" localSheetId="0">#REF!</definedName>
    <definedName name="__________________GDP91">#REF!</definedName>
    <definedName name="__________________GDP92" localSheetId="5">#REF!</definedName>
    <definedName name="__________________GDP92" localSheetId="7">#REF!</definedName>
    <definedName name="__________________GDP92" localSheetId="8">#REF!</definedName>
    <definedName name="__________________GDP92" localSheetId="11">#REF!</definedName>
    <definedName name="__________________GDP92" localSheetId="12">#REF!</definedName>
    <definedName name="__________________GDP92" localSheetId="15">#REF!</definedName>
    <definedName name="__________________GDP92" localSheetId="19">#REF!</definedName>
    <definedName name="__________________GDP92" localSheetId="0">#REF!</definedName>
    <definedName name="__________________GDP92">#REF!</definedName>
    <definedName name="__________________GDP93" localSheetId="5">#REF!</definedName>
    <definedName name="__________________GDP93" localSheetId="7">#REF!</definedName>
    <definedName name="__________________GDP93" localSheetId="8">#REF!</definedName>
    <definedName name="__________________GDP93" localSheetId="11">#REF!</definedName>
    <definedName name="__________________GDP93" localSheetId="12">#REF!</definedName>
    <definedName name="__________________GDP93" localSheetId="15">#REF!</definedName>
    <definedName name="__________________GDP93" localSheetId="19">#REF!</definedName>
    <definedName name="__________________GDP93" localSheetId="0">#REF!</definedName>
    <definedName name="__________________GDP93">#REF!</definedName>
    <definedName name="__________________GDP94" localSheetId="5">#REF!</definedName>
    <definedName name="__________________GDP94" localSheetId="7">#REF!</definedName>
    <definedName name="__________________GDP94" localSheetId="8">#REF!</definedName>
    <definedName name="__________________GDP94" localSheetId="11">#REF!</definedName>
    <definedName name="__________________GDP94" localSheetId="12">#REF!</definedName>
    <definedName name="__________________GDP94" localSheetId="15">#REF!</definedName>
    <definedName name="__________________GDP94" localSheetId="19">#REF!</definedName>
    <definedName name="__________________GDP94" localSheetId="0">#REF!</definedName>
    <definedName name="__________________GDP94">#REF!</definedName>
    <definedName name="__________________PR1">#N/A</definedName>
    <definedName name="__________________PR2">#N/A</definedName>
    <definedName name="__________________PR3">#N/A</definedName>
    <definedName name="__________________PR4">#N/A</definedName>
    <definedName name="_________________GDP80" localSheetId="5">#REF!</definedName>
    <definedName name="_________________GDP80" localSheetId="7">#REF!</definedName>
    <definedName name="_________________GDP80" localSheetId="8">#REF!</definedName>
    <definedName name="_________________GDP80" localSheetId="11">#REF!</definedName>
    <definedName name="_________________GDP80" localSheetId="12">#REF!</definedName>
    <definedName name="_________________GDP80" localSheetId="15">#REF!</definedName>
    <definedName name="_________________GDP80" localSheetId="16">#REF!</definedName>
    <definedName name="_________________GDP80" localSheetId="19">#REF!</definedName>
    <definedName name="_________________GDP80" localSheetId="23">#REF!</definedName>
    <definedName name="_________________GDP80" localSheetId="28">#REF!</definedName>
    <definedName name="_________________GDP80" localSheetId="30">#REF!</definedName>
    <definedName name="_________________GDP80" localSheetId="0">#REF!</definedName>
    <definedName name="_________________GDP80" localSheetId="35">#REF!</definedName>
    <definedName name="_________________GDP80" localSheetId="37">#REF!</definedName>
    <definedName name="_________________GDP80" localSheetId="38">#REF!</definedName>
    <definedName name="_________________GDP80">#REF!</definedName>
    <definedName name="_________________GDP81" localSheetId="5">#REF!</definedName>
    <definedName name="_________________GDP81" localSheetId="7">#REF!</definedName>
    <definedName name="_________________GDP81" localSheetId="8">#REF!</definedName>
    <definedName name="_________________GDP81" localSheetId="11">#REF!</definedName>
    <definedName name="_________________GDP81" localSheetId="12">#REF!</definedName>
    <definedName name="_________________GDP81" localSheetId="15">#REF!</definedName>
    <definedName name="_________________GDP81" localSheetId="16">#REF!</definedName>
    <definedName name="_________________GDP81" localSheetId="19">#REF!</definedName>
    <definedName name="_________________GDP81" localSheetId="23">#REF!</definedName>
    <definedName name="_________________GDP81" localSheetId="28">#REF!</definedName>
    <definedName name="_________________GDP81" localSheetId="30">#REF!</definedName>
    <definedName name="_________________GDP81" localSheetId="0">#REF!</definedName>
    <definedName name="_________________GDP81" localSheetId="37">#REF!</definedName>
    <definedName name="_________________GDP81" localSheetId="38">#REF!</definedName>
    <definedName name="_________________GDP81">#REF!</definedName>
    <definedName name="_________________GDP82" localSheetId="5">#REF!</definedName>
    <definedName name="_________________GDP82" localSheetId="7">#REF!</definedName>
    <definedName name="_________________GDP82" localSheetId="8">#REF!</definedName>
    <definedName name="_________________GDP82" localSheetId="11">#REF!</definedName>
    <definedName name="_________________GDP82" localSheetId="12">#REF!</definedName>
    <definedName name="_________________GDP82" localSheetId="15">#REF!</definedName>
    <definedName name="_________________GDP82" localSheetId="19">#REF!</definedName>
    <definedName name="_________________GDP82" localSheetId="0">#REF!</definedName>
    <definedName name="_________________GDP82">#REF!</definedName>
    <definedName name="_________________GDP83" localSheetId="5">#REF!</definedName>
    <definedName name="_________________GDP83" localSheetId="7">#REF!</definedName>
    <definedName name="_________________GDP83" localSheetId="8">#REF!</definedName>
    <definedName name="_________________GDP83" localSheetId="11">#REF!</definedName>
    <definedName name="_________________GDP83" localSheetId="12">#REF!</definedName>
    <definedName name="_________________GDP83" localSheetId="15">#REF!</definedName>
    <definedName name="_________________GDP83" localSheetId="19">#REF!</definedName>
    <definedName name="_________________GDP83" localSheetId="0">#REF!</definedName>
    <definedName name="_________________GDP83">#REF!</definedName>
    <definedName name="_________________GDP84" localSheetId="5">#REF!</definedName>
    <definedName name="_________________GDP84" localSheetId="7">#REF!</definedName>
    <definedName name="_________________GDP84" localSheetId="8">#REF!</definedName>
    <definedName name="_________________GDP84" localSheetId="11">#REF!</definedName>
    <definedName name="_________________GDP84" localSheetId="12">#REF!</definedName>
    <definedName name="_________________GDP84" localSheetId="15">#REF!</definedName>
    <definedName name="_________________GDP84" localSheetId="19">#REF!</definedName>
    <definedName name="_________________GDP84" localSheetId="0">#REF!</definedName>
    <definedName name="_________________GDP84">#REF!</definedName>
    <definedName name="_________________GDP85" localSheetId="5">#REF!</definedName>
    <definedName name="_________________GDP85" localSheetId="7">#REF!</definedName>
    <definedName name="_________________GDP85" localSheetId="8">#REF!</definedName>
    <definedName name="_________________GDP85" localSheetId="11">#REF!</definedName>
    <definedName name="_________________GDP85" localSheetId="12">#REF!</definedName>
    <definedName name="_________________GDP85" localSheetId="15">#REF!</definedName>
    <definedName name="_________________GDP85" localSheetId="19">#REF!</definedName>
    <definedName name="_________________GDP85" localSheetId="0">#REF!</definedName>
    <definedName name="_________________GDP85">#REF!</definedName>
    <definedName name="_________________GDP86" localSheetId="5">#REF!</definedName>
    <definedName name="_________________GDP86" localSheetId="7">#REF!</definedName>
    <definedName name="_________________GDP86" localSheetId="8">#REF!</definedName>
    <definedName name="_________________GDP86" localSheetId="11">#REF!</definedName>
    <definedName name="_________________GDP86" localSheetId="12">#REF!</definedName>
    <definedName name="_________________GDP86" localSheetId="15">#REF!</definedName>
    <definedName name="_________________GDP86" localSheetId="19">#REF!</definedName>
    <definedName name="_________________GDP86" localSheetId="0">#REF!</definedName>
    <definedName name="_________________GDP86">#REF!</definedName>
    <definedName name="_________________GDP87" localSheetId="5">#REF!</definedName>
    <definedName name="_________________GDP87" localSheetId="7">#REF!</definedName>
    <definedName name="_________________GDP87" localSheetId="8">#REF!</definedName>
    <definedName name="_________________GDP87" localSheetId="11">#REF!</definedName>
    <definedName name="_________________GDP87" localSheetId="12">#REF!</definedName>
    <definedName name="_________________GDP87" localSheetId="15">#REF!</definedName>
    <definedName name="_________________GDP87" localSheetId="19">#REF!</definedName>
    <definedName name="_________________GDP87" localSheetId="0">#REF!</definedName>
    <definedName name="_________________GDP87">#REF!</definedName>
    <definedName name="_________________GDP88" localSheetId="5">#REF!</definedName>
    <definedName name="_________________GDP88" localSheetId="7">#REF!</definedName>
    <definedName name="_________________GDP88" localSheetId="8">#REF!</definedName>
    <definedName name="_________________GDP88" localSheetId="11">#REF!</definedName>
    <definedName name="_________________GDP88" localSheetId="12">#REF!</definedName>
    <definedName name="_________________GDP88" localSheetId="15">#REF!</definedName>
    <definedName name="_________________GDP88" localSheetId="19">#REF!</definedName>
    <definedName name="_________________GDP88" localSheetId="0">#REF!</definedName>
    <definedName name="_________________GDP88">#REF!</definedName>
    <definedName name="_________________GDP89" localSheetId="5">#REF!</definedName>
    <definedName name="_________________GDP89" localSheetId="7">#REF!</definedName>
    <definedName name="_________________GDP89" localSheetId="8">#REF!</definedName>
    <definedName name="_________________GDP89" localSheetId="11">#REF!</definedName>
    <definedName name="_________________GDP89" localSheetId="12">#REF!</definedName>
    <definedName name="_________________GDP89" localSheetId="15">#REF!</definedName>
    <definedName name="_________________GDP89" localSheetId="19">#REF!</definedName>
    <definedName name="_________________GDP89" localSheetId="0">#REF!</definedName>
    <definedName name="_________________GDP89">#REF!</definedName>
    <definedName name="_________________GDP90" localSheetId="5">#REF!</definedName>
    <definedName name="_________________GDP90" localSheetId="7">#REF!</definedName>
    <definedName name="_________________GDP90" localSheetId="8">#REF!</definedName>
    <definedName name="_________________GDP90" localSheetId="11">#REF!</definedName>
    <definedName name="_________________GDP90" localSheetId="12">#REF!</definedName>
    <definedName name="_________________GDP90" localSheetId="15">#REF!</definedName>
    <definedName name="_________________GDP90" localSheetId="19">#REF!</definedName>
    <definedName name="_________________GDP90" localSheetId="0">#REF!</definedName>
    <definedName name="_________________GDP90">#REF!</definedName>
    <definedName name="_________________GDP91" localSheetId="5">#REF!</definedName>
    <definedName name="_________________GDP91" localSheetId="7">#REF!</definedName>
    <definedName name="_________________GDP91" localSheetId="8">#REF!</definedName>
    <definedName name="_________________GDP91" localSheetId="11">#REF!</definedName>
    <definedName name="_________________GDP91" localSheetId="12">#REF!</definedName>
    <definedName name="_________________GDP91" localSheetId="15">#REF!</definedName>
    <definedName name="_________________GDP91" localSheetId="19">#REF!</definedName>
    <definedName name="_________________GDP91" localSheetId="0">#REF!</definedName>
    <definedName name="_________________GDP91">#REF!</definedName>
    <definedName name="_________________GDP92" localSheetId="5">#REF!</definedName>
    <definedName name="_________________GDP92" localSheetId="7">#REF!</definedName>
    <definedName name="_________________GDP92" localSheetId="8">#REF!</definedName>
    <definedName name="_________________GDP92" localSheetId="11">#REF!</definedName>
    <definedName name="_________________GDP92" localSheetId="12">#REF!</definedName>
    <definedName name="_________________GDP92" localSheetId="15">#REF!</definedName>
    <definedName name="_________________GDP92" localSheetId="19">#REF!</definedName>
    <definedName name="_________________GDP92" localSheetId="0">#REF!</definedName>
    <definedName name="_________________GDP92">#REF!</definedName>
    <definedName name="_________________GDP93" localSheetId="5">#REF!</definedName>
    <definedName name="_________________GDP93" localSheetId="7">#REF!</definedName>
    <definedName name="_________________GDP93" localSheetId="8">#REF!</definedName>
    <definedName name="_________________GDP93" localSheetId="11">#REF!</definedName>
    <definedName name="_________________GDP93" localSheetId="12">#REF!</definedName>
    <definedName name="_________________GDP93" localSheetId="15">#REF!</definedName>
    <definedName name="_________________GDP93" localSheetId="19">#REF!</definedName>
    <definedName name="_________________GDP93" localSheetId="0">#REF!</definedName>
    <definedName name="_________________GDP93">#REF!</definedName>
    <definedName name="_________________GDP94" localSheetId="5">#REF!</definedName>
    <definedName name="_________________GDP94" localSheetId="7">#REF!</definedName>
    <definedName name="_________________GDP94" localSheetId="8">#REF!</definedName>
    <definedName name="_________________GDP94" localSheetId="11">#REF!</definedName>
    <definedName name="_________________GDP94" localSheetId="12">#REF!</definedName>
    <definedName name="_________________GDP94" localSheetId="15">#REF!</definedName>
    <definedName name="_________________GDP94" localSheetId="19">#REF!</definedName>
    <definedName name="_________________GDP94" localSheetId="0">#REF!</definedName>
    <definedName name="_________________GDP94">#REF!</definedName>
    <definedName name="_________________PR1">#N/A</definedName>
    <definedName name="_________________PR2">#N/A</definedName>
    <definedName name="_________________PR3">#N/A</definedName>
    <definedName name="_________________PR4">#N/A</definedName>
    <definedName name="________________GDP80" localSheetId="5">#REF!</definedName>
    <definedName name="________________GDP80" localSheetId="7">#REF!</definedName>
    <definedName name="________________GDP80" localSheetId="8">#REF!</definedName>
    <definedName name="________________GDP80" localSheetId="11">#REF!</definedName>
    <definedName name="________________GDP80" localSheetId="12">#REF!</definedName>
    <definedName name="________________GDP80" localSheetId="15">#REF!</definedName>
    <definedName name="________________GDP80" localSheetId="16">#REF!</definedName>
    <definedName name="________________GDP80" localSheetId="19">#REF!</definedName>
    <definedName name="________________GDP80" localSheetId="23">#REF!</definedName>
    <definedName name="________________GDP80" localSheetId="28">#REF!</definedName>
    <definedName name="________________GDP80" localSheetId="30">#REF!</definedName>
    <definedName name="________________GDP80" localSheetId="0">#REF!</definedName>
    <definedName name="________________GDP80" localSheetId="35">#REF!</definedName>
    <definedName name="________________GDP80" localSheetId="37">#REF!</definedName>
    <definedName name="________________GDP80" localSheetId="38">#REF!</definedName>
    <definedName name="________________GDP80">#REF!</definedName>
    <definedName name="________________GDP81" localSheetId="5">#REF!</definedName>
    <definedName name="________________GDP81" localSheetId="7">#REF!</definedName>
    <definedName name="________________GDP81" localSheetId="8">#REF!</definedName>
    <definedName name="________________GDP81" localSheetId="11">#REF!</definedName>
    <definedName name="________________GDP81" localSheetId="12">#REF!</definedName>
    <definedName name="________________GDP81" localSheetId="15">#REF!</definedName>
    <definedName name="________________GDP81" localSheetId="16">#REF!</definedName>
    <definedName name="________________GDP81" localSheetId="19">#REF!</definedName>
    <definedName name="________________GDP81" localSheetId="23">#REF!</definedName>
    <definedName name="________________GDP81" localSheetId="28">#REF!</definedName>
    <definedName name="________________GDP81" localSheetId="30">#REF!</definedName>
    <definedName name="________________GDP81" localSheetId="0">#REF!</definedName>
    <definedName name="________________GDP81" localSheetId="35">#REF!</definedName>
    <definedName name="________________GDP81" localSheetId="37">#REF!</definedName>
    <definedName name="________________GDP81" localSheetId="38">#REF!</definedName>
    <definedName name="________________GDP81">#REF!</definedName>
    <definedName name="________________GDP82" localSheetId="5">#REF!</definedName>
    <definedName name="________________GDP82" localSheetId="7">#REF!</definedName>
    <definedName name="________________GDP82" localSheetId="8">#REF!</definedName>
    <definedName name="________________GDP82" localSheetId="11">#REF!</definedName>
    <definedName name="________________GDP82" localSheetId="12">#REF!</definedName>
    <definedName name="________________GDP82" localSheetId="15">#REF!</definedName>
    <definedName name="________________GDP82" localSheetId="19">#REF!</definedName>
    <definedName name="________________GDP82" localSheetId="0">#REF!</definedName>
    <definedName name="________________GDP82">#REF!</definedName>
    <definedName name="________________GDP83" localSheetId="5">#REF!</definedName>
    <definedName name="________________GDP83" localSheetId="7">#REF!</definedName>
    <definedName name="________________GDP83" localSheetId="8">#REF!</definedName>
    <definedName name="________________GDP83" localSheetId="11">#REF!</definedName>
    <definedName name="________________GDP83" localSheetId="12">#REF!</definedName>
    <definedName name="________________GDP83" localSheetId="15">#REF!</definedName>
    <definedName name="________________GDP83" localSheetId="19">#REF!</definedName>
    <definedName name="________________GDP83" localSheetId="0">#REF!</definedName>
    <definedName name="________________GDP83">#REF!</definedName>
    <definedName name="________________GDP84" localSheetId="5">#REF!</definedName>
    <definedName name="________________GDP84" localSheetId="7">#REF!</definedName>
    <definedName name="________________GDP84" localSheetId="8">#REF!</definedName>
    <definedName name="________________GDP84" localSheetId="11">#REF!</definedName>
    <definedName name="________________GDP84" localSheetId="12">#REF!</definedName>
    <definedName name="________________GDP84" localSheetId="15">#REF!</definedName>
    <definedName name="________________GDP84" localSheetId="19">#REF!</definedName>
    <definedName name="________________GDP84" localSheetId="0">#REF!</definedName>
    <definedName name="________________GDP84">#REF!</definedName>
    <definedName name="________________GDP85" localSheetId="5">#REF!</definedName>
    <definedName name="________________GDP85" localSheetId="7">#REF!</definedName>
    <definedName name="________________GDP85" localSheetId="8">#REF!</definedName>
    <definedName name="________________GDP85" localSheetId="11">#REF!</definedName>
    <definedName name="________________GDP85" localSheetId="12">#REF!</definedName>
    <definedName name="________________GDP85" localSheetId="15">#REF!</definedName>
    <definedName name="________________GDP85" localSheetId="19">#REF!</definedName>
    <definedName name="________________GDP85" localSheetId="0">#REF!</definedName>
    <definedName name="________________GDP85">#REF!</definedName>
    <definedName name="________________GDP86" localSheetId="5">#REF!</definedName>
    <definedName name="________________GDP86" localSheetId="7">#REF!</definedName>
    <definedName name="________________GDP86" localSheetId="8">#REF!</definedName>
    <definedName name="________________GDP86" localSheetId="11">#REF!</definedName>
    <definedName name="________________GDP86" localSheetId="12">#REF!</definedName>
    <definedName name="________________GDP86" localSheetId="15">#REF!</definedName>
    <definedName name="________________GDP86" localSheetId="19">#REF!</definedName>
    <definedName name="________________GDP86" localSheetId="0">#REF!</definedName>
    <definedName name="________________GDP86">#REF!</definedName>
    <definedName name="________________GDP87" localSheetId="5">#REF!</definedName>
    <definedName name="________________GDP87" localSheetId="7">#REF!</definedName>
    <definedName name="________________GDP87" localSheetId="8">#REF!</definedName>
    <definedName name="________________GDP87" localSheetId="11">#REF!</definedName>
    <definedName name="________________GDP87" localSheetId="12">#REF!</definedName>
    <definedName name="________________GDP87" localSheetId="15">#REF!</definedName>
    <definedName name="________________GDP87" localSheetId="19">#REF!</definedName>
    <definedName name="________________GDP87" localSheetId="0">#REF!</definedName>
    <definedName name="________________GDP87">#REF!</definedName>
    <definedName name="________________GDP88" localSheetId="5">#REF!</definedName>
    <definedName name="________________GDP88" localSheetId="7">#REF!</definedName>
    <definedName name="________________GDP88" localSheetId="8">#REF!</definedName>
    <definedName name="________________GDP88" localSheetId="11">#REF!</definedName>
    <definedName name="________________GDP88" localSheetId="12">#REF!</definedName>
    <definedName name="________________GDP88" localSheetId="15">#REF!</definedName>
    <definedName name="________________GDP88" localSheetId="19">#REF!</definedName>
    <definedName name="________________GDP88" localSheetId="0">#REF!</definedName>
    <definedName name="________________GDP88">#REF!</definedName>
    <definedName name="________________GDP89" localSheetId="5">#REF!</definedName>
    <definedName name="________________GDP89" localSheetId="7">#REF!</definedName>
    <definedName name="________________GDP89" localSheetId="8">#REF!</definedName>
    <definedName name="________________GDP89" localSheetId="11">#REF!</definedName>
    <definedName name="________________GDP89" localSheetId="12">#REF!</definedName>
    <definedName name="________________GDP89" localSheetId="15">#REF!</definedName>
    <definedName name="________________GDP89" localSheetId="19">#REF!</definedName>
    <definedName name="________________GDP89" localSheetId="0">#REF!</definedName>
    <definedName name="________________GDP89">#REF!</definedName>
    <definedName name="________________GDP90" localSheetId="5">#REF!</definedName>
    <definedName name="________________GDP90" localSheetId="7">#REF!</definedName>
    <definedName name="________________GDP90" localSheetId="8">#REF!</definedName>
    <definedName name="________________GDP90" localSheetId="11">#REF!</definedName>
    <definedName name="________________GDP90" localSheetId="12">#REF!</definedName>
    <definedName name="________________GDP90" localSheetId="15">#REF!</definedName>
    <definedName name="________________GDP90" localSheetId="19">#REF!</definedName>
    <definedName name="________________GDP90" localSheetId="0">#REF!</definedName>
    <definedName name="________________GDP90">#REF!</definedName>
    <definedName name="________________GDP91" localSheetId="5">#REF!</definedName>
    <definedName name="________________GDP91" localSheetId="7">#REF!</definedName>
    <definedName name="________________GDP91" localSheetId="8">#REF!</definedName>
    <definedName name="________________GDP91" localSheetId="11">#REF!</definedName>
    <definedName name="________________GDP91" localSheetId="12">#REF!</definedName>
    <definedName name="________________GDP91" localSheetId="15">#REF!</definedName>
    <definedName name="________________GDP91" localSheetId="19">#REF!</definedName>
    <definedName name="________________GDP91" localSheetId="0">#REF!</definedName>
    <definedName name="________________GDP91">#REF!</definedName>
    <definedName name="________________GDP92" localSheetId="5">#REF!</definedName>
    <definedName name="________________GDP92" localSheetId="7">#REF!</definedName>
    <definedName name="________________GDP92" localSheetId="8">#REF!</definedName>
    <definedName name="________________GDP92" localSheetId="11">#REF!</definedName>
    <definedName name="________________GDP92" localSheetId="12">#REF!</definedName>
    <definedName name="________________GDP92" localSheetId="15">#REF!</definedName>
    <definedName name="________________GDP92" localSheetId="19">#REF!</definedName>
    <definedName name="________________GDP92" localSheetId="0">#REF!</definedName>
    <definedName name="________________GDP92">#REF!</definedName>
    <definedName name="________________GDP93" localSheetId="5">#REF!</definedName>
    <definedName name="________________GDP93" localSheetId="7">#REF!</definedName>
    <definedName name="________________GDP93" localSheetId="8">#REF!</definedName>
    <definedName name="________________GDP93" localSheetId="11">#REF!</definedName>
    <definedName name="________________GDP93" localSheetId="12">#REF!</definedName>
    <definedName name="________________GDP93" localSheetId="15">#REF!</definedName>
    <definedName name="________________GDP93" localSheetId="19">#REF!</definedName>
    <definedName name="________________GDP93" localSheetId="0">#REF!</definedName>
    <definedName name="________________GDP93">#REF!</definedName>
    <definedName name="________________GDP94" localSheetId="5">#REF!</definedName>
    <definedName name="________________GDP94" localSheetId="7">#REF!</definedName>
    <definedName name="________________GDP94" localSheetId="8">#REF!</definedName>
    <definedName name="________________GDP94" localSheetId="11">#REF!</definedName>
    <definedName name="________________GDP94" localSheetId="12">#REF!</definedName>
    <definedName name="________________GDP94" localSheetId="15">#REF!</definedName>
    <definedName name="________________GDP94" localSheetId="19">#REF!</definedName>
    <definedName name="________________GDP94" localSheetId="0">#REF!</definedName>
    <definedName name="________________GDP94">#REF!</definedName>
    <definedName name="________________PR1">#N/A</definedName>
    <definedName name="________________PR2">#N/A</definedName>
    <definedName name="________________PR3">#N/A</definedName>
    <definedName name="________________PR4">#N/A</definedName>
    <definedName name="_______________GDP80" localSheetId="5">#REF!</definedName>
    <definedName name="_______________GDP80" localSheetId="7">#REF!</definedName>
    <definedName name="_______________GDP80" localSheetId="8">#REF!</definedName>
    <definedName name="_______________GDP80" localSheetId="11">#REF!</definedName>
    <definedName name="_______________GDP80" localSheetId="12">#REF!</definedName>
    <definedName name="_______________GDP80" localSheetId="15">#REF!</definedName>
    <definedName name="_______________GDP80" localSheetId="16">#REF!</definedName>
    <definedName name="_______________GDP80" localSheetId="19">#REF!</definedName>
    <definedName name="_______________GDP80" localSheetId="23">#REF!</definedName>
    <definedName name="_______________GDP80" localSheetId="28">#REF!</definedName>
    <definedName name="_______________GDP80" localSheetId="30">#REF!</definedName>
    <definedName name="_______________GDP80" localSheetId="0">#REF!</definedName>
    <definedName name="_______________GDP80" localSheetId="35">#REF!</definedName>
    <definedName name="_______________GDP80" localSheetId="37">#REF!</definedName>
    <definedName name="_______________GDP80" localSheetId="38">#REF!</definedName>
    <definedName name="_______________GDP80">#REF!</definedName>
    <definedName name="_______________GDP81" localSheetId="5">#REF!</definedName>
    <definedName name="_______________GDP81" localSheetId="7">#REF!</definedName>
    <definedName name="_______________GDP81" localSheetId="8">#REF!</definedName>
    <definedName name="_______________GDP81" localSheetId="11">#REF!</definedName>
    <definedName name="_______________GDP81" localSheetId="12">#REF!</definedName>
    <definedName name="_______________GDP81" localSheetId="15">#REF!</definedName>
    <definedName name="_______________GDP81" localSheetId="16">#REF!</definedName>
    <definedName name="_______________GDP81" localSheetId="19">#REF!</definedName>
    <definedName name="_______________GDP81" localSheetId="23">#REF!</definedName>
    <definedName name="_______________GDP81" localSheetId="28">#REF!</definedName>
    <definedName name="_______________GDP81" localSheetId="30">#REF!</definedName>
    <definedName name="_______________GDP81" localSheetId="0">#REF!</definedName>
    <definedName name="_______________GDP81" localSheetId="35">#REF!</definedName>
    <definedName name="_______________GDP81" localSheetId="37">#REF!</definedName>
    <definedName name="_______________GDP81" localSheetId="38">#REF!</definedName>
    <definedName name="_______________GDP81">#REF!</definedName>
    <definedName name="_______________GDP82" localSheetId="5">#REF!</definedName>
    <definedName name="_______________GDP82" localSheetId="7">#REF!</definedName>
    <definedName name="_______________GDP82" localSheetId="8">#REF!</definedName>
    <definedName name="_______________GDP82" localSheetId="11">#REF!</definedName>
    <definedName name="_______________GDP82" localSheetId="12">#REF!</definedName>
    <definedName name="_______________GDP82" localSheetId="15">#REF!</definedName>
    <definedName name="_______________GDP82" localSheetId="19">#REF!</definedName>
    <definedName name="_______________GDP82" localSheetId="0">#REF!</definedName>
    <definedName name="_______________GDP82">#REF!</definedName>
    <definedName name="_______________GDP83" localSheetId="5">#REF!</definedName>
    <definedName name="_______________GDP83" localSheetId="7">#REF!</definedName>
    <definedName name="_______________GDP83" localSheetId="8">#REF!</definedName>
    <definedName name="_______________GDP83" localSheetId="11">#REF!</definedName>
    <definedName name="_______________GDP83" localSheetId="12">#REF!</definedName>
    <definedName name="_______________GDP83" localSheetId="15">#REF!</definedName>
    <definedName name="_______________GDP83" localSheetId="19">#REF!</definedName>
    <definedName name="_______________GDP83" localSheetId="0">#REF!</definedName>
    <definedName name="_______________GDP83">#REF!</definedName>
    <definedName name="_______________GDP84" localSheetId="5">#REF!</definedName>
    <definedName name="_______________GDP84" localSheetId="7">#REF!</definedName>
    <definedName name="_______________GDP84" localSheetId="8">#REF!</definedName>
    <definedName name="_______________GDP84" localSheetId="11">#REF!</definedName>
    <definedName name="_______________GDP84" localSheetId="12">#REF!</definedName>
    <definedName name="_______________GDP84" localSheetId="15">#REF!</definedName>
    <definedName name="_______________GDP84" localSheetId="19">#REF!</definedName>
    <definedName name="_______________GDP84" localSheetId="0">#REF!</definedName>
    <definedName name="_______________GDP84">#REF!</definedName>
    <definedName name="_______________GDP85" localSheetId="5">#REF!</definedName>
    <definedName name="_______________GDP85" localSheetId="7">#REF!</definedName>
    <definedName name="_______________GDP85" localSheetId="8">#REF!</definedName>
    <definedName name="_______________GDP85" localSheetId="11">#REF!</definedName>
    <definedName name="_______________GDP85" localSheetId="12">#REF!</definedName>
    <definedName name="_______________GDP85" localSheetId="15">#REF!</definedName>
    <definedName name="_______________GDP85" localSheetId="19">#REF!</definedName>
    <definedName name="_______________GDP85" localSheetId="0">#REF!</definedName>
    <definedName name="_______________GDP85">#REF!</definedName>
    <definedName name="_______________GDP86" localSheetId="5">#REF!</definedName>
    <definedName name="_______________GDP86" localSheetId="7">#REF!</definedName>
    <definedName name="_______________GDP86" localSheetId="8">#REF!</definedName>
    <definedName name="_______________GDP86" localSheetId="11">#REF!</definedName>
    <definedName name="_______________GDP86" localSheetId="12">#REF!</definedName>
    <definedName name="_______________GDP86" localSheetId="15">#REF!</definedName>
    <definedName name="_______________GDP86" localSheetId="19">#REF!</definedName>
    <definedName name="_______________GDP86" localSheetId="0">#REF!</definedName>
    <definedName name="_______________GDP86">#REF!</definedName>
    <definedName name="_______________GDP87" localSheetId="5">#REF!</definedName>
    <definedName name="_______________GDP87" localSheetId="7">#REF!</definedName>
    <definedName name="_______________GDP87" localSheetId="8">#REF!</definedName>
    <definedName name="_______________GDP87" localSheetId="11">#REF!</definedName>
    <definedName name="_______________GDP87" localSheetId="12">#REF!</definedName>
    <definedName name="_______________GDP87" localSheetId="15">#REF!</definedName>
    <definedName name="_______________GDP87" localSheetId="19">#REF!</definedName>
    <definedName name="_______________GDP87" localSheetId="0">#REF!</definedName>
    <definedName name="_______________GDP87">#REF!</definedName>
    <definedName name="_______________GDP88" localSheetId="5">#REF!</definedName>
    <definedName name="_______________GDP88" localSheetId="7">#REF!</definedName>
    <definedName name="_______________GDP88" localSheetId="8">#REF!</definedName>
    <definedName name="_______________GDP88" localSheetId="11">#REF!</definedName>
    <definedName name="_______________GDP88" localSheetId="12">#REF!</definedName>
    <definedName name="_______________GDP88" localSheetId="15">#REF!</definedName>
    <definedName name="_______________GDP88" localSheetId="19">#REF!</definedName>
    <definedName name="_______________GDP88" localSheetId="0">#REF!</definedName>
    <definedName name="_______________GDP88">#REF!</definedName>
    <definedName name="_______________GDP89" localSheetId="5">#REF!</definedName>
    <definedName name="_______________GDP89" localSheetId="7">#REF!</definedName>
    <definedName name="_______________GDP89" localSheetId="8">#REF!</definedName>
    <definedName name="_______________GDP89" localSheetId="11">#REF!</definedName>
    <definedName name="_______________GDP89" localSheetId="12">#REF!</definedName>
    <definedName name="_______________GDP89" localSheetId="15">#REF!</definedName>
    <definedName name="_______________GDP89" localSheetId="19">#REF!</definedName>
    <definedName name="_______________GDP89" localSheetId="0">#REF!</definedName>
    <definedName name="_______________GDP89">#REF!</definedName>
    <definedName name="_______________GDP90" localSheetId="5">#REF!</definedName>
    <definedName name="_______________GDP90" localSheetId="7">#REF!</definedName>
    <definedName name="_______________GDP90" localSheetId="8">#REF!</definedName>
    <definedName name="_______________GDP90" localSheetId="11">#REF!</definedName>
    <definedName name="_______________GDP90" localSheetId="12">#REF!</definedName>
    <definedName name="_______________GDP90" localSheetId="15">#REF!</definedName>
    <definedName name="_______________GDP90" localSheetId="19">#REF!</definedName>
    <definedName name="_______________GDP90" localSheetId="0">#REF!</definedName>
    <definedName name="_______________GDP90">#REF!</definedName>
    <definedName name="_______________GDP91" localSheetId="5">#REF!</definedName>
    <definedName name="_______________GDP91" localSheetId="7">#REF!</definedName>
    <definedName name="_______________GDP91" localSheetId="8">#REF!</definedName>
    <definedName name="_______________GDP91" localSheetId="11">#REF!</definedName>
    <definedName name="_______________GDP91" localSheetId="12">#REF!</definedName>
    <definedName name="_______________GDP91" localSheetId="15">#REF!</definedName>
    <definedName name="_______________GDP91" localSheetId="19">#REF!</definedName>
    <definedName name="_______________GDP91" localSheetId="0">#REF!</definedName>
    <definedName name="_______________GDP91">#REF!</definedName>
    <definedName name="_______________GDP92" localSheetId="5">#REF!</definedName>
    <definedName name="_______________GDP92" localSheetId="7">#REF!</definedName>
    <definedName name="_______________GDP92" localSheetId="8">#REF!</definedName>
    <definedName name="_______________GDP92" localSheetId="11">#REF!</definedName>
    <definedName name="_______________GDP92" localSheetId="12">#REF!</definedName>
    <definedName name="_______________GDP92" localSheetId="15">#REF!</definedName>
    <definedName name="_______________GDP92" localSheetId="19">#REF!</definedName>
    <definedName name="_______________GDP92" localSheetId="0">#REF!</definedName>
    <definedName name="_______________GDP92">#REF!</definedName>
    <definedName name="_______________GDP93" localSheetId="5">#REF!</definedName>
    <definedName name="_______________GDP93" localSheetId="7">#REF!</definedName>
    <definedName name="_______________GDP93" localSheetId="8">#REF!</definedName>
    <definedName name="_______________GDP93" localSheetId="11">#REF!</definedName>
    <definedName name="_______________GDP93" localSheetId="12">#REF!</definedName>
    <definedName name="_______________GDP93" localSheetId="15">#REF!</definedName>
    <definedName name="_______________GDP93" localSheetId="19">#REF!</definedName>
    <definedName name="_______________GDP93" localSheetId="0">#REF!</definedName>
    <definedName name="_______________GDP93">#REF!</definedName>
    <definedName name="_______________GDP94" localSheetId="5">#REF!</definedName>
    <definedName name="_______________GDP94" localSheetId="7">#REF!</definedName>
    <definedName name="_______________GDP94" localSheetId="8">#REF!</definedName>
    <definedName name="_______________GDP94" localSheetId="11">#REF!</definedName>
    <definedName name="_______________GDP94" localSheetId="12">#REF!</definedName>
    <definedName name="_______________GDP94" localSheetId="15">#REF!</definedName>
    <definedName name="_______________GDP94" localSheetId="19">#REF!</definedName>
    <definedName name="_______________GDP94" localSheetId="0">#REF!</definedName>
    <definedName name="_______________GDP94">#REF!</definedName>
    <definedName name="_______________PR1">#N/A</definedName>
    <definedName name="_______________PR2">#N/A</definedName>
    <definedName name="_______________PR3">#N/A</definedName>
    <definedName name="_______________PR4">#N/A</definedName>
    <definedName name="______________GDP80" localSheetId="5">#REF!</definedName>
    <definedName name="______________GDP80" localSheetId="7">#REF!</definedName>
    <definedName name="______________GDP80" localSheetId="8">#REF!</definedName>
    <definedName name="______________GDP80" localSheetId="11">#REF!</definedName>
    <definedName name="______________GDP80" localSheetId="12">#REF!</definedName>
    <definedName name="______________GDP80" localSheetId="15">#REF!</definedName>
    <definedName name="______________GDP80" localSheetId="16">#REF!</definedName>
    <definedName name="______________GDP80" localSheetId="19">#REF!</definedName>
    <definedName name="______________GDP80" localSheetId="23">#REF!</definedName>
    <definedName name="______________GDP80" localSheetId="28">#REF!</definedName>
    <definedName name="______________GDP80" localSheetId="30">#REF!</definedName>
    <definedName name="______________GDP80" localSheetId="0">#REF!</definedName>
    <definedName name="______________GDP80" localSheetId="35">#REF!</definedName>
    <definedName name="______________GDP80" localSheetId="37">#REF!</definedName>
    <definedName name="______________GDP80" localSheetId="38">#REF!</definedName>
    <definedName name="______________GDP80">#REF!</definedName>
    <definedName name="______________GDP81" localSheetId="5">#REF!</definedName>
    <definedName name="______________GDP81" localSheetId="7">#REF!</definedName>
    <definedName name="______________GDP81" localSheetId="8">#REF!</definedName>
    <definedName name="______________GDP81" localSheetId="11">#REF!</definedName>
    <definedName name="______________GDP81" localSheetId="12">#REF!</definedName>
    <definedName name="______________GDP81" localSheetId="15">#REF!</definedName>
    <definedName name="______________GDP81" localSheetId="16">#REF!</definedName>
    <definedName name="______________GDP81" localSheetId="19">#REF!</definedName>
    <definedName name="______________GDP81" localSheetId="23">#REF!</definedName>
    <definedName name="______________GDP81" localSheetId="28">#REF!</definedName>
    <definedName name="______________GDP81" localSheetId="30">#REF!</definedName>
    <definedName name="______________GDP81" localSheetId="0">#REF!</definedName>
    <definedName name="______________GDP81" localSheetId="35">#REF!</definedName>
    <definedName name="______________GDP81" localSheetId="37">#REF!</definedName>
    <definedName name="______________GDP81" localSheetId="38">#REF!</definedName>
    <definedName name="______________GDP81">#REF!</definedName>
    <definedName name="______________GDP82" localSheetId="5">#REF!</definedName>
    <definedName name="______________GDP82" localSheetId="7">#REF!</definedName>
    <definedName name="______________GDP82" localSheetId="8">#REF!</definedName>
    <definedName name="______________GDP82" localSheetId="11">#REF!</definedName>
    <definedName name="______________GDP82" localSheetId="12">#REF!</definedName>
    <definedName name="______________GDP82" localSheetId="15">#REF!</definedName>
    <definedName name="______________GDP82" localSheetId="19">#REF!</definedName>
    <definedName name="______________GDP82" localSheetId="0">#REF!</definedName>
    <definedName name="______________GDP82" localSheetId="35">#REF!</definedName>
    <definedName name="______________GDP82">#REF!</definedName>
    <definedName name="______________GDP83" localSheetId="5">#REF!</definedName>
    <definedName name="______________GDP83" localSheetId="7">#REF!</definedName>
    <definedName name="______________GDP83" localSheetId="8">#REF!</definedName>
    <definedName name="______________GDP83" localSheetId="11">#REF!</definedName>
    <definedName name="______________GDP83" localSheetId="12">#REF!</definedName>
    <definedName name="______________GDP83" localSheetId="15">#REF!</definedName>
    <definedName name="______________GDP83" localSheetId="19">#REF!</definedName>
    <definedName name="______________GDP83" localSheetId="0">#REF!</definedName>
    <definedName name="______________GDP83" localSheetId="35">#REF!</definedName>
    <definedName name="______________GDP83">#REF!</definedName>
    <definedName name="______________GDP84" localSheetId="5">#REF!</definedName>
    <definedName name="______________GDP84" localSheetId="7">#REF!</definedName>
    <definedName name="______________GDP84" localSheetId="8">#REF!</definedName>
    <definedName name="______________GDP84" localSheetId="11">#REF!</definedName>
    <definedName name="______________GDP84" localSheetId="12">#REF!</definedName>
    <definedName name="______________GDP84" localSheetId="15">#REF!</definedName>
    <definedName name="______________GDP84" localSheetId="19">#REF!</definedName>
    <definedName name="______________GDP84" localSheetId="0">#REF!</definedName>
    <definedName name="______________GDP84" localSheetId="35">#REF!</definedName>
    <definedName name="______________GDP84">#REF!</definedName>
    <definedName name="______________GDP85" localSheetId="5">#REF!</definedName>
    <definedName name="______________GDP85" localSheetId="7">#REF!</definedName>
    <definedName name="______________GDP85" localSheetId="8">#REF!</definedName>
    <definedName name="______________GDP85" localSheetId="11">#REF!</definedName>
    <definedName name="______________GDP85" localSheetId="12">#REF!</definedName>
    <definedName name="______________GDP85" localSheetId="15">#REF!</definedName>
    <definedName name="______________GDP85" localSheetId="19">#REF!</definedName>
    <definedName name="______________GDP85" localSheetId="0">#REF!</definedName>
    <definedName name="______________GDP85" localSheetId="35">#REF!</definedName>
    <definedName name="______________GDP85">#REF!</definedName>
    <definedName name="______________GDP86" localSheetId="5">#REF!</definedName>
    <definedName name="______________GDP86" localSheetId="7">#REF!</definedName>
    <definedName name="______________GDP86" localSheetId="8">#REF!</definedName>
    <definedName name="______________GDP86" localSheetId="11">#REF!</definedName>
    <definedName name="______________GDP86" localSheetId="12">#REF!</definedName>
    <definedName name="______________GDP86" localSheetId="15">#REF!</definedName>
    <definedName name="______________GDP86" localSheetId="19">#REF!</definedName>
    <definedName name="______________GDP86" localSheetId="0">#REF!</definedName>
    <definedName name="______________GDP86" localSheetId="35">#REF!</definedName>
    <definedName name="______________GDP86">#REF!</definedName>
    <definedName name="______________GDP87" localSheetId="5">#REF!</definedName>
    <definedName name="______________GDP87" localSheetId="7">#REF!</definedName>
    <definedName name="______________GDP87" localSheetId="8">#REF!</definedName>
    <definedName name="______________GDP87" localSheetId="11">#REF!</definedName>
    <definedName name="______________GDP87" localSheetId="12">#REF!</definedName>
    <definedName name="______________GDP87" localSheetId="15">#REF!</definedName>
    <definedName name="______________GDP87" localSheetId="19">#REF!</definedName>
    <definedName name="______________GDP87" localSheetId="0">#REF!</definedName>
    <definedName name="______________GDP87" localSheetId="35">#REF!</definedName>
    <definedName name="______________GDP87">#REF!</definedName>
    <definedName name="______________GDP88" localSheetId="5">#REF!</definedName>
    <definedName name="______________GDP88" localSheetId="7">#REF!</definedName>
    <definedName name="______________GDP88" localSheetId="8">#REF!</definedName>
    <definedName name="______________GDP88" localSheetId="11">#REF!</definedName>
    <definedName name="______________GDP88" localSheetId="12">#REF!</definedName>
    <definedName name="______________GDP88" localSheetId="15">#REF!</definedName>
    <definedName name="______________GDP88" localSheetId="19">#REF!</definedName>
    <definedName name="______________GDP88" localSheetId="0">#REF!</definedName>
    <definedName name="______________GDP88" localSheetId="35">#REF!</definedName>
    <definedName name="______________GDP88">#REF!</definedName>
    <definedName name="______________GDP89" localSheetId="5">#REF!</definedName>
    <definedName name="______________GDP89" localSheetId="7">#REF!</definedName>
    <definedName name="______________GDP89" localSheetId="8">#REF!</definedName>
    <definedName name="______________GDP89" localSheetId="11">#REF!</definedName>
    <definedName name="______________GDP89" localSheetId="12">#REF!</definedName>
    <definedName name="______________GDP89" localSheetId="15">#REF!</definedName>
    <definedName name="______________GDP89" localSheetId="19">#REF!</definedName>
    <definedName name="______________GDP89" localSheetId="0">#REF!</definedName>
    <definedName name="______________GDP89" localSheetId="35">#REF!</definedName>
    <definedName name="______________GDP89">#REF!</definedName>
    <definedName name="______________GDP90" localSheetId="5">#REF!</definedName>
    <definedName name="______________GDP90" localSheetId="7">#REF!</definedName>
    <definedName name="______________GDP90" localSheetId="8">#REF!</definedName>
    <definedName name="______________GDP90" localSheetId="11">#REF!</definedName>
    <definedName name="______________GDP90" localSheetId="12">#REF!</definedName>
    <definedName name="______________GDP90" localSheetId="15">#REF!</definedName>
    <definedName name="______________GDP90" localSheetId="19">#REF!</definedName>
    <definedName name="______________GDP90" localSheetId="0">#REF!</definedName>
    <definedName name="______________GDP90" localSheetId="35">#REF!</definedName>
    <definedName name="______________GDP90">#REF!</definedName>
    <definedName name="______________GDP91" localSheetId="5">#REF!</definedName>
    <definedName name="______________GDP91" localSheetId="7">#REF!</definedName>
    <definedName name="______________GDP91" localSheetId="8">#REF!</definedName>
    <definedName name="______________GDP91" localSheetId="11">#REF!</definedName>
    <definedName name="______________GDP91" localSheetId="12">#REF!</definedName>
    <definedName name="______________GDP91" localSheetId="15">#REF!</definedName>
    <definedName name="______________GDP91" localSheetId="19">#REF!</definedName>
    <definedName name="______________GDP91" localSheetId="0">#REF!</definedName>
    <definedName name="______________GDP91" localSheetId="35">#REF!</definedName>
    <definedName name="______________GDP91">#REF!</definedName>
    <definedName name="______________GDP92" localSheetId="5">#REF!</definedName>
    <definedName name="______________GDP92" localSheetId="7">#REF!</definedName>
    <definedName name="______________GDP92" localSheetId="8">#REF!</definedName>
    <definedName name="______________GDP92" localSheetId="11">#REF!</definedName>
    <definedName name="______________GDP92" localSheetId="12">#REF!</definedName>
    <definedName name="______________GDP92" localSheetId="15">#REF!</definedName>
    <definedName name="______________GDP92" localSheetId="19">#REF!</definedName>
    <definedName name="______________GDP92" localSheetId="0">#REF!</definedName>
    <definedName name="______________GDP92" localSheetId="35">#REF!</definedName>
    <definedName name="______________GDP92">#REF!</definedName>
    <definedName name="______________GDP93" localSheetId="5">#REF!</definedName>
    <definedName name="______________GDP93" localSheetId="7">#REF!</definedName>
    <definedName name="______________GDP93" localSheetId="8">#REF!</definedName>
    <definedName name="______________GDP93" localSheetId="11">#REF!</definedName>
    <definedName name="______________GDP93" localSheetId="12">#REF!</definedName>
    <definedName name="______________GDP93" localSheetId="15">#REF!</definedName>
    <definedName name="______________GDP93" localSheetId="19">#REF!</definedName>
    <definedName name="______________GDP93" localSheetId="0">#REF!</definedName>
    <definedName name="______________GDP93" localSheetId="35">#REF!</definedName>
    <definedName name="______________GDP93">#REF!</definedName>
    <definedName name="______________GDP94" localSheetId="5">#REF!</definedName>
    <definedName name="______________GDP94" localSheetId="7">#REF!</definedName>
    <definedName name="______________GDP94" localSheetId="8">#REF!</definedName>
    <definedName name="______________GDP94" localSheetId="11">#REF!</definedName>
    <definedName name="______________GDP94" localSheetId="12">#REF!</definedName>
    <definedName name="______________GDP94" localSheetId="15">#REF!</definedName>
    <definedName name="______________GDP94" localSheetId="19">#REF!</definedName>
    <definedName name="______________GDP94" localSheetId="0">#REF!</definedName>
    <definedName name="______________GDP94" localSheetId="35">#REF!</definedName>
    <definedName name="______________GDP94">#REF!</definedName>
    <definedName name="______________PR1">#N/A</definedName>
    <definedName name="______________PR2">#N/A</definedName>
    <definedName name="______________PR3">#N/A</definedName>
    <definedName name="______________PR4">#N/A</definedName>
    <definedName name="_____________GDP80" localSheetId="5">#REF!</definedName>
    <definedName name="_____________GDP80" localSheetId="7">#REF!</definedName>
    <definedName name="_____________GDP80" localSheetId="8">#REF!</definedName>
    <definedName name="_____________GDP80" localSheetId="11">#REF!</definedName>
    <definedName name="_____________GDP80" localSheetId="12">#REF!</definedName>
    <definedName name="_____________GDP80" localSheetId="15">#REF!</definedName>
    <definedName name="_____________GDP80" localSheetId="16">#REF!</definedName>
    <definedName name="_____________GDP80" localSheetId="19">#REF!</definedName>
    <definedName name="_____________GDP80" localSheetId="23">#REF!</definedName>
    <definedName name="_____________GDP80" localSheetId="28">#REF!</definedName>
    <definedName name="_____________GDP80" localSheetId="30">#REF!</definedName>
    <definedName name="_____________GDP80" localSheetId="0">#REF!</definedName>
    <definedName name="_____________GDP80" localSheetId="35">#REF!</definedName>
    <definedName name="_____________GDP80" localSheetId="37">#REF!</definedName>
    <definedName name="_____________GDP80" localSheetId="38">#REF!</definedName>
    <definedName name="_____________GDP80">#REF!</definedName>
    <definedName name="_____________GDP81" localSheetId="5">#REF!</definedName>
    <definedName name="_____________GDP81" localSheetId="7">#REF!</definedName>
    <definedName name="_____________GDP81" localSheetId="8">#REF!</definedName>
    <definedName name="_____________GDP81" localSheetId="11">#REF!</definedName>
    <definedName name="_____________GDP81" localSheetId="12">#REF!</definedName>
    <definedName name="_____________GDP81" localSheetId="15">#REF!</definedName>
    <definedName name="_____________GDP81" localSheetId="16">#REF!</definedName>
    <definedName name="_____________GDP81" localSheetId="19">#REF!</definedName>
    <definedName name="_____________GDP81" localSheetId="23">#REF!</definedName>
    <definedName name="_____________GDP81" localSheetId="28">#REF!</definedName>
    <definedName name="_____________GDP81" localSheetId="30">#REF!</definedName>
    <definedName name="_____________GDP81" localSheetId="0">#REF!</definedName>
    <definedName name="_____________GDP81" localSheetId="35">#REF!</definedName>
    <definedName name="_____________GDP81" localSheetId="37">#REF!</definedName>
    <definedName name="_____________GDP81" localSheetId="38">#REF!</definedName>
    <definedName name="_____________GDP81">#REF!</definedName>
    <definedName name="_____________GDP82" localSheetId="5">#REF!</definedName>
    <definedName name="_____________GDP82" localSheetId="7">#REF!</definedName>
    <definedName name="_____________GDP82" localSheetId="8">#REF!</definedName>
    <definedName name="_____________GDP82" localSheetId="11">#REF!</definedName>
    <definedName name="_____________GDP82" localSheetId="12">#REF!</definedName>
    <definedName name="_____________GDP82" localSheetId="15">#REF!</definedName>
    <definedName name="_____________GDP82" localSheetId="19">#REF!</definedName>
    <definedName name="_____________GDP82" localSheetId="0">#REF!</definedName>
    <definedName name="_____________GDP82" localSheetId="35">#REF!</definedName>
    <definedName name="_____________GDP82">#REF!</definedName>
    <definedName name="_____________GDP83" localSheetId="5">#REF!</definedName>
    <definedName name="_____________GDP83" localSheetId="7">#REF!</definedName>
    <definedName name="_____________GDP83" localSheetId="8">#REF!</definedName>
    <definedName name="_____________GDP83" localSheetId="11">#REF!</definedName>
    <definedName name="_____________GDP83" localSheetId="12">#REF!</definedName>
    <definedName name="_____________GDP83" localSheetId="15">#REF!</definedName>
    <definedName name="_____________GDP83" localSheetId="19">#REF!</definedName>
    <definedName name="_____________GDP83" localSheetId="0">#REF!</definedName>
    <definedName name="_____________GDP83" localSheetId="35">#REF!</definedName>
    <definedName name="_____________GDP83">#REF!</definedName>
    <definedName name="_____________GDP84" localSheetId="5">#REF!</definedName>
    <definedName name="_____________GDP84" localSheetId="7">#REF!</definedName>
    <definedName name="_____________GDP84" localSheetId="8">#REF!</definedName>
    <definedName name="_____________GDP84" localSheetId="11">#REF!</definedName>
    <definedName name="_____________GDP84" localSheetId="12">#REF!</definedName>
    <definedName name="_____________GDP84" localSheetId="15">#REF!</definedName>
    <definedName name="_____________GDP84" localSheetId="19">#REF!</definedName>
    <definedName name="_____________GDP84" localSheetId="0">#REF!</definedName>
    <definedName name="_____________GDP84" localSheetId="35">#REF!</definedName>
    <definedName name="_____________GDP84">#REF!</definedName>
    <definedName name="_____________GDP85" localSheetId="5">#REF!</definedName>
    <definedName name="_____________GDP85" localSheetId="7">#REF!</definedName>
    <definedName name="_____________GDP85" localSheetId="8">#REF!</definedName>
    <definedName name="_____________GDP85" localSheetId="11">#REF!</definedName>
    <definedName name="_____________GDP85" localSheetId="12">#REF!</definedName>
    <definedName name="_____________GDP85" localSheetId="15">#REF!</definedName>
    <definedName name="_____________GDP85" localSheetId="19">#REF!</definedName>
    <definedName name="_____________GDP85" localSheetId="0">#REF!</definedName>
    <definedName name="_____________GDP85" localSheetId="35">#REF!</definedName>
    <definedName name="_____________GDP85">#REF!</definedName>
    <definedName name="_____________GDP86" localSheetId="5">#REF!</definedName>
    <definedName name="_____________GDP86" localSheetId="7">#REF!</definedName>
    <definedName name="_____________GDP86" localSheetId="8">#REF!</definedName>
    <definedName name="_____________GDP86" localSheetId="11">#REF!</definedName>
    <definedName name="_____________GDP86" localSheetId="12">#REF!</definedName>
    <definedName name="_____________GDP86" localSheetId="15">#REF!</definedName>
    <definedName name="_____________GDP86" localSheetId="19">#REF!</definedName>
    <definedName name="_____________GDP86" localSheetId="0">#REF!</definedName>
    <definedName name="_____________GDP86" localSheetId="35">#REF!</definedName>
    <definedName name="_____________GDP86">#REF!</definedName>
    <definedName name="_____________GDP87" localSheetId="5">#REF!</definedName>
    <definedName name="_____________GDP87" localSheetId="7">#REF!</definedName>
    <definedName name="_____________GDP87" localSheetId="8">#REF!</definedName>
    <definedName name="_____________GDP87" localSheetId="11">#REF!</definedName>
    <definedName name="_____________GDP87" localSheetId="12">#REF!</definedName>
    <definedName name="_____________GDP87" localSheetId="15">#REF!</definedName>
    <definedName name="_____________GDP87" localSheetId="19">#REF!</definedName>
    <definedName name="_____________GDP87" localSheetId="0">#REF!</definedName>
    <definedName name="_____________GDP87" localSheetId="35">#REF!</definedName>
    <definedName name="_____________GDP87">#REF!</definedName>
    <definedName name="_____________GDP88" localSheetId="5">#REF!</definedName>
    <definedName name="_____________GDP88" localSheetId="7">#REF!</definedName>
    <definedName name="_____________GDP88" localSheetId="8">#REF!</definedName>
    <definedName name="_____________GDP88" localSheetId="11">#REF!</definedName>
    <definedName name="_____________GDP88" localSheetId="12">#REF!</definedName>
    <definedName name="_____________GDP88" localSheetId="15">#REF!</definedName>
    <definedName name="_____________GDP88" localSheetId="19">#REF!</definedName>
    <definedName name="_____________GDP88" localSheetId="0">#REF!</definedName>
    <definedName name="_____________GDP88" localSheetId="35">#REF!</definedName>
    <definedName name="_____________GDP88">#REF!</definedName>
    <definedName name="_____________GDP89" localSheetId="5">#REF!</definedName>
    <definedName name="_____________GDP89" localSheetId="7">#REF!</definedName>
    <definedName name="_____________GDP89" localSheetId="8">#REF!</definedName>
    <definedName name="_____________GDP89" localSheetId="11">#REF!</definedName>
    <definedName name="_____________GDP89" localSheetId="12">#REF!</definedName>
    <definedName name="_____________GDP89" localSheetId="15">#REF!</definedName>
    <definedName name="_____________GDP89" localSheetId="19">#REF!</definedName>
    <definedName name="_____________GDP89" localSheetId="0">#REF!</definedName>
    <definedName name="_____________GDP89" localSheetId="35">#REF!</definedName>
    <definedName name="_____________GDP89">#REF!</definedName>
    <definedName name="_____________GDP90" localSheetId="5">#REF!</definedName>
    <definedName name="_____________GDP90" localSheetId="7">#REF!</definedName>
    <definedName name="_____________GDP90" localSheetId="8">#REF!</definedName>
    <definedName name="_____________GDP90" localSheetId="11">#REF!</definedName>
    <definedName name="_____________GDP90" localSheetId="12">#REF!</definedName>
    <definedName name="_____________GDP90" localSheetId="15">#REF!</definedName>
    <definedName name="_____________GDP90" localSheetId="19">#REF!</definedName>
    <definedName name="_____________GDP90" localSheetId="0">#REF!</definedName>
    <definedName name="_____________GDP90" localSheetId="35">#REF!</definedName>
    <definedName name="_____________GDP90">#REF!</definedName>
    <definedName name="_____________GDP91" localSheetId="5">#REF!</definedName>
    <definedName name="_____________GDP91" localSheetId="7">#REF!</definedName>
    <definedName name="_____________GDP91" localSheetId="8">#REF!</definedName>
    <definedName name="_____________GDP91" localSheetId="11">#REF!</definedName>
    <definedName name="_____________GDP91" localSheetId="12">#REF!</definedName>
    <definedName name="_____________GDP91" localSheetId="15">#REF!</definedName>
    <definedName name="_____________GDP91" localSheetId="19">#REF!</definedName>
    <definedName name="_____________GDP91" localSheetId="0">#REF!</definedName>
    <definedName name="_____________GDP91" localSheetId="35">#REF!</definedName>
    <definedName name="_____________GDP91">#REF!</definedName>
    <definedName name="_____________GDP92" localSheetId="5">#REF!</definedName>
    <definedName name="_____________GDP92" localSheetId="7">#REF!</definedName>
    <definedName name="_____________GDP92" localSheetId="8">#REF!</definedName>
    <definedName name="_____________GDP92" localSheetId="11">#REF!</definedName>
    <definedName name="_____________GDP92" localSheetId="12">#REF!</definedName>
    <definedName name="_____________GDP92" localSheetId="15">#REF!</definedName>
    <definedName name="_____________GDP92" localSheetId="19">#REF!</definedName>
    <definedName name="_____________GDP92" localSheetId="0">#REF!</definedName>
    <definedName name="_____________GDP92" localSheetId="35">#REF!</definedName>
    <definedName name="_____________GDP92">#REF!</definedName>
    <definedName name="_____________GDP93" localSheetId="5">#REF!</definedName>
    <definedName name="_____________GDP93" localSheetId="7">#REF!</definedName>
    <definedName name="_____________GDP93" localSheetId="8">#REF!</definedName>
    <definedName name="_____________GDP93" localSheetId="11">#REF!</definedName>
    <definedName name="_____________GDP93" localSheetId="12">#REF!</definedName>
    <definedName name="_____________GDP93" localSheetId="15">#REF!</definedName>
    <definedName name="_____________GDP93" localSheetId="19">#REF!</definedName>
    <definedName name="_____________GDP93" localSheetId="0">#REF!</definedName>
    <definedName name="_____________GDP93" localSheetId="35">#REF!</definedName>
    <definedName name="_____________GDP93">#REF!</definedName>
    <definedName name="_____________GDP94" localSheetId="5">#REF!</definedName>
    <definedName name="_____________GDP94" localSheetId="7">#REF!</definedName>
    <definedName name="_____________GDP94" localSheetId="8">#REF!</definedName>
    <definedName name="_____________GDP94" localSheetId="11">#REF!</definedName>
    <definedName name="_____________GDP94" localSheetId="12">#REF!</definedName>
    <definedName name="_____________GDP94" localSheetId="15">#REF!</definedName>
    <definedName name="_____________GDP94" localSheetId="19">#REF!</definedName>
    <definedName name="_____________GDP94" localSheetId="0">#REF!</definedName>
    <definedName name="_____________GDP94" localSheetId="35">#REF!</definedName>
    <definedName name="_____________GDP94">#REF!</definedName>
    <definedName name="_____________PR1">#N/A</definedName>
    <definedName name="_____________PR2">#N/A</definedName>
    <definedName name="_____________PR3">#N/A</definedName>
    <definedName name="_____________PR4">#N/A</definedName>
    <definedName name="____________GDP80" localSheetId="5">#REF!</definedName>
    <definedName name="____________GDP80" localSheetId="7">#REF!</definedName>
    <definedName name="____________GDP80" localSheetId="8">#REF!</definedName>
    <definedName name="____________GDP80" localSheetId="11">#REF!</definedName>
    <definedName name="____________GDP80" localSheetId="12">#REF!</definedName>
    <definedName name="____________GDP80" localSheetId="15">#REF!</definedName>
    <definedName name="____________GDP80" localSheetId="16">#REF!</definedName>
    <definedName name="____________GDP80" localSheetId="19">#REF!</definedName>
    <definedName name="____________GDP80" localSheetId="23">#REF!</definedName>
    <definedName name="____________GDP80" localSheetId="28">#REF!</definedName>
    <definedName name="____________GDP80" localSheetId="30">#REF!</definedName>
    <definedName name="____________GDP80" localSheetId="0">#REF!</definedName>
    <definedName name="____________GDP80" localSheetId="35">#REF!</definedName>
    <definedName name="____________GDP80" localSheetId="37">#REF!</definedName>
    <definedName name="____________GDP80" localSheetId="38">#REF!</definedName>
    <definedName name="____________GDP80">#REF!</definedName>
    <definedName name="____________GDP81" localSheetId="5">#REF!</definedName>
    <definedName name="____________GDP81" localSheetId="7">#REF!</definedName>
    <definedName name="____________GDP81" localSheetId="8">#REF!</definedName>
    <definedName name="____________GDP81" localSheetId="11">#REF!</definedName>
    <definedName name="____________GDP81" localSheetId="12">#REF!</definedName>
    <definedName name="____________GDP81" localSheetId="15">#REF!</definedName>
    <definedName name="____________GDP81" localSheetId="16">#REF!</definedName>
    <definedName name="____________GDP81" localSheetId="19">#REF!</definedName>
    <definedName name="____________GDP81" localSheetId="23">#REF!</definedName>
    <definedName name="____________GDP81" localSheetId="28">#REF!</definedName>
    <definedName name="____________GDP81" localSheetId="30">#REF!</definedName>
    <definedName name="____________GDP81" localSheetId="0">#REF!</definedName>
    <definedName name="____________GDP81" localSheetId="35">#REF!</definedName>
    <definedName name="____________GDP81" localSheetId="37">#REF!</definedName>
    <definedName name="____________GDP81" localSheetId="38">#REF!</definedName>
    <definedName name="____________GDP81">#REF!</definedName>
    <definedName name="____________GDP82" localSheetId="5">#REF!</definedName>
    <definedName name="____________GDP82" localSheetId="7">#REF!</definedName>
    <definedName name="____________GDP82" localSheetId="8">#REF!</definedName>
    <definedName name="____________GDP82" localSheetId="11">#REF!</definedName>
    <definedName name="____________GDP82" localSheetId="12">#REF!</definedName>
    <definedName name="____________GDP82" localSheetId="15">#REF!</definedName>
    <definedName name="____________GDP82" localSheetId="19">#REF!</definedName>
    <definedName name="____________GDP82" localSheetId="0">#REF!</definedName>
    <definedName name="____________GDP82" localSheetId="35">#REF!</definedName>
    <definedName name="____________GDP82">#REF!</definedName>
    <definedName name="____________GDP83" localSheetId="5">#REF!</definedName>
    <definedName name="____________GDP83" localSheetId="7">#REF!</definedName>
    <definedName name="____________GDP83" localSheetId="8">#REF!</definedName>
    <definedName name="____________GDP83" localSheetId="11">#REF!</definedName>
    <definedName name="____________GDP83" localSheetId="12">#REF!</definedName>
    <definedName name="____________GDP83" localSheetId="15">#REF!</definedName>
    <definedName name="____________GDP83" localSheetId="19">#REF!</definedName>
    <definedName name="____________GDP83" localSheetId="0">#REF!</definedName>
    <definedName name="____________GDP83" localSheetId="35">#REF!</definedName>
    <definedName name="____________GDP83">#REF!</definedName>
    <definedName name="____________GDP84" localSheetId="5">#REF!</definedName>
    <definedName name="____________GDP84" localSheetId="7">#REF!</definedName>
    <definedName name="____________GDP84" localSheetId="8">#REF!</definedName>
    <definedName name="____________GDP84" localSheetId="11">#REF!</definedName>
    <definedName name="____________GDP84" localSheetId="12">#REF!</definedName>
    <definedName name="____________GDP84" localSheetId="15">#REF!</definedName>
    <definedName name="____________GDP84" localSheetId="19">#REF!</definedName>
    <definedName name="____________GDP84" localSheetId="0">#REF!</definedName>
    <definedName name="____________GDP84" localSheetId="35">#REF!</definedName>
    <definedName name="____________GDP84">#REF!</definedName>
    <definedName name="____________GDP85" localSheetId="5">#REF!</definedName>
    <definedName name="____________GDP85" localSheetId="7">#REF!</definedName>
    <definedName name="____________GDP85" localSheetId="8">#REF!</definedName>
    <definedName name="____________GDP85" localSheetId="11">#REF!</definedName>
    <definedName name="____________GDP85" localSheetId="12">#REF!</definedName>
    <definedName name="____________GDP85" localSheetId="15">#REF!</definedName>
    <definedName name="____________GDP85" localSheetId="19">#REF!</definedName>
    <definedName name="____________GDP85" localSheetId="0">#REF!</definedName>
    <definedName name="____________GDP85" localSheetId="35">#REF!</definedName>
    <definedName name="____________GDP85">#REF!</definedName>
    <definedName name="____________GDP86" localSheetId="5">#REF!</definedName>
    <definedName name="____________GDP86" localSheetId="7">#REF!</definedName>
    <definedName name="____________GDP86" localSheetId="8">#REF!</definedName>
    <definedName name="____________GDP86" localSheetId="11">#REF!</definedName>
    <definedName name="____________GDP86" localSheetId="12">#REF!</definedName>
    <definedName name="____________GDP86" localSheetId="15">#REF!</definedName>
    <definedName name="____________GDP86" localSheetId="19">#REF!</definedName>
    <definedName name="____________GDP86" localSheetId="0">#REF!</definedName>
    <definedName name="____________GDP86" localSheetId="35">#REF!</definedName>
    <definedName name="____________GDP86">#REF!</definedName>
    <definedName name="____________GDP87" localSheetId="5">#REF!</definedName>
    <definedName name="____________GDP87" localSheetId="7">#REF!</definedName>
    <definedName name="____________GDP87" localSheetId="8">#REF!</definedName>
    <definedName name="____________GDP87" localSheetId="11">#REF!</definedName>
    <definedName name="____________GDP87" localSheetId="12">#REF!</definedName>
    <definedName name="____________GDP87" localSheetId="15">#REF!</definedName>
    <definedName name="____________GDP87" localSheetId="19">#REF!</definedName>
    <definedName name="____________GDP87" localSheetId="0">#REF!</definedName>
    <definedName name="____________GDP87" localSheetId="35">#REF!</definedName>
    <definedName name="____________GDP87">#REF!</definedName>
    <definedName name="____________GDP88" localSheetId="5">#REF!</definedName>
    <definedName name="____________GDP88" localSheetId="7">#REF!</definedName>
    <definedName name="____________GDP88" localSheetId="8">#REF!</definedName>
    <definedName name="____________GDP88" localSheetId="11">#REF!</definedName>
    <definedName name="____________GDP88" localSheetId="12">#REF!</definedName>
    <definedName name="____________GDP88" localSheetId="15">#REF!</definedName>
    <definedName name="____________GDP88" localSheetId="19">#REF!</definedName>
    <definedName name="____________GDP88" localSheetId="0">#REF!</definedName>
    <definedName name="____________GDP88" localSheetId="35">#REF!</definedName>
    <definedName name="____________GDP88">#REF!</definedName>
    <definedName name="____________GDP89" localSheetId="5">#REF!</definedName>
    <definedName name="____________GDP89" localSheetId="7">#REF!</definedName>
    <definedName name="____________GDP89" localSheetId="8">#REF!</definedName>
    <definedName name="____________GDP89" localSheetId="11">#REF!</definedName>
    <definedName name="____________GDP89" localSheetId="12">#REF!</definedName>
    <definedName name="____________GDP89" localSheetId="15">#REF!</definedName>
    <definedName name="____________GDP89" localSheetId="19">#REF!</definedName>
    <definedName name="____________GDP89" localSheetId="0">#REF!</definedName>
    <definedName name="____________GDP89" localSheetId="35">#REF!</definedName>
    <definedName name="____________GDP89">#REF!</definedName>
    <definedName name="____________GDP90" localSheetId="5">#REF!</definedName>
    <definedName name="____________GDP90" localSheetId="7">#REF!</definedName>
    <definedName name="____________GDP90" localSheetId="8">#REF!</definedName>
    <definedName name="____________GDP90" localSheetId="11">#REF!</definedName>
    <definedName name="____________GDP90" localSheetId="12">#REF!</definedName>
    <definedName name="____________GDP90" localSheetId="15">#REF!</definedName>
    <definedName name="____________GDP90" localSheetId="19">#REF!</definedName>
    <definedName name="____________GDP90" localSheetId="0">#REF!</definedName>
    <definedName name="____________GDP90" localSheetId="35">#REF!</definedName>
    <definedName name="____________GDP90">#REF!</definedName>
    <definedName name="____________GDP91" localSheetId="5">#REF!</definedName>
    <definedName name="____________GDP91" localSheetId="7">#REF!</definedName>
    <definedName name="____________GDP91" localSheetId="8">#REF!</definedName>
    <definedName name="____________GDP91" localSheetId="11">#REF!</definedName>
    <definedName name="____________GDP91" localSheetId="12">#REF!</definedName>
    <definedName name="____________GDP91" localSheetId="15">#REF!</definedName>
    <definedName name="____________GDP91" localSheetId="19">#REF!</definedName>
    <definedName name="____________GDP91" localSheetId="0">#REF!</definedName>
    <definedName name="____________GDP91" localSheetId="35">#REF!</definedName>
    <definedName name="____________GDP91">#REF!</definedName>
    <definedName name="____________GDP92" localSheetId="5">#REF!</definedName>
    <definedName name="____________GDP92" localSheetId="7">#REF!</definedName>
    <definedName name="____________GDP92" localSheetId="8">#REF!</definedName>
    <definedName name="____________GDP92" localSheetId="11">#REF!</definedName>
    <definedName name="____________GDP92" localSheetId="12">#REF!</definedName>
    <definedName name="____________GDP92" localSheetId="15">#REF!</definedName>
    <definedName name="____________GDP92" localSheetId="19">#REF!</definedName>
    <definedName name="____________GDP92" localSheetId="0">#REF!</definedName>
    <definedName name="____________GDP92" localSheetId="35">#REF!</definedName>
    <definedName name="____________GDP92">#REF!</definedName>
    <definedName name="____________GDP93" localSheetId="5">#REF!</definedName>
    <definedName name="____________GDP93" localSheetId="7">#REF!</definedName>
    <definedName name="____________GDP93" localSheetId="8">#REF!</definedName>
    <definedName name="____________GDP93" localSheetId="11">#REF!</definedName>
    <definedName name="____________GDP93" localSheetId="12">#REF!</definedName>
    <definedName name="____________GDP93" localSheetId="15">#REF!</definedName>
    <definedName name="____________GDP93" localSheetId="19">#REF!</definedName>
    <definedName name="____________GDP93" localSheetId="0">#REF!</definedName>
    <definedName name="____________GDP93" localSheetId="35">#REF!</definedName>
    <definedName name="____________GDP93">#REF!</definedName>
    <definedName name="____________GDP94" localSheetId="5">#REF!</definedName>
    <definedName name="____________GDP94" localSheetId="7">#REF!</definedName>
    <definedName name="____________GDP94" localSheetId="8">#REF!</definedName>
    <definedName name="____________GDP94" localSheetId="11">#REF!</definedName>
    <definedName name="____________GDP94" localSheetId="12">#REF!</definedName>
    <definedName name="____________GDP94" localSheetId="15">#REF!</definedName>
    <definedName name="____________GDP94" localSheetId="19">#REF!</definedName>
    <definedName name="____________GDP94" localSheetId="0">#REF!</definedName>
    <definedName name="____________GDP94" localSheetId="35">#REF!</definedName>
    <definedName name="____________GDP94">#REF!</definedName>
    <definedName name="____________PR1">#N/A</definedName>
    <definedName name="____________PR2">#N/A</definedName>
    <definedName name="____________PR3">#N/A</definedName>
    <definedName name="____________PR4">#N/A</definedName>
    <definedName name="___________GDP80" localSheetId="5">#REF!</definedName>
    <definedName name="___________GDP80" localSheetId="7">#REF!</definedName>
    <definedName name="___________GDP80" localSheetId="8">#REF!</definedName>
    <definedName name="___________GDP80" localSheetId="11">#REF!</definedName>
    <definedName name="___________GDP80" localSheetId="12">#REF!</definedName>
    <definedName name="___________GDP80" localSheetId="15">#REF!</definedName>
    <definedName name="___________GDP80" localSheetId="16">#REF!</definedName>
    <definedName name="___________GDP80" localSheetId="19">#REF!</definedName>
    <definedName name="___________GDP80" localSheetId="23">#REF!</definedName>
    <definedName name="___________GDP80" localSheetId="28">#REF!</definedName>
    <definedName name="___________GDP80" localSheetId="30">#REF!</definedName>
    <definedName name="___________GDP80" localSheetId="0">#REF!</definedName>
    <definedName name="___________GDP80" localSheetId="35">#REF!</definedName>
    <definedName name="___________GDP80" localSheetId="37">#REF!</definedName>
    <definedName name="___________GDP80" localSheetId="38">#REF!</definedName>
    <definedName name="___________GDP80">#REF!</definedName>
    <definedName name="___________GDP81" localSheetId="5">#REF!</definedName>
    <definedName name="___________GDP81" localSheetId="7">#REF!</definedName>
    <definedName name="___________GDP81" localSheetId="8">#REF!</definedName>
    <definedName name="___________GDP81" localSheetId="11">#REF!</definedName>
    <definedName name="___________GDP81" localSheetId="12">#REF!</definedName>
    <definedName name="___________GDP81" localSheetId="15">#REF!</definedName>
    <definedName name="___________GDP81" localSheetId="16">#REF!</definedName>
    <definedName name="___________GDP81" localSheetId="19">#REF!</definedName>
    <definedName name="___________GDP81" localSheetId="23">#REF!</definedName>
    <definedName name="___________GDP81" localSheetId="28">#REF!</definedName>
    <definedName name="___________GDP81" localSheetId="30">#REF!</definedName>
    <definedName name="___________GDP81" localSheetId="0">#REF!</definedName>
    <definedName name="___________GDP81" localSheetId="35">#REF!</definedName>
    <definedName name="___________GDP81" localSheetId="37">#REF!</definedName>
    <definedName name="___________GDP81" localSheetId="38">#REF!</definedName>
    <definedName name="___________GDP81">#REF!</definedName>
    <definedName name="___________GDP82" localSheetId="5">#REF!</definedName>
    <definedName name="___________GDP82" localSheetId="7">#REF!</definedName>
    <definedName name="___________GDP82" localSheetId="8">#REF!</definedName>
    <definedName name="___________GDP82" localSheetId="11">#REF!</definedName>
    <definedName name="___________GDP82" localSheetId="12">#REF!</definedName>
    <definedName name="___________GDP82" localSheetId="15">#REF!</definedName>
    <definedName name="___________GDP82" localSheetId="19">#REF!</definedName>
    <definedName name="___________GDP82" localSheetId="0">#REF!</definedName>
    <definedName name="___________GDP82" localSheetId="35">#REF!</definedName>
    <definedName name="___________GDP82">#REF!</definedName>
    <definedName name="___________GDP83" localSheetId="5">#REF!</definedName>
    <definedName name="___________GDP83" localSheetId="7">#REF!</definedName>
    <definedName name="___________GDP83" localSheetId="8">#REF!</definedName>
    <definedName name="___________GDP83" localSheetId="11">#REF!</definedName>
    <definedName name="___________GDP83" localSheetId="12">#REF!</definedName>
    <definedName name="___________GDP83" localSheetId="15">#REF!</definedName>
    <definedName name="___________GDP83" localSheetId="19">#REF!</definedName>
    <definedName name="___________GDP83" localSheetId="0">#REF!</definedName>
    <definedName name="___________GDP83" localSheetId="35">#REF!</definedName>
    <definedName name="___________GDP83">#REF!</definedName>
    <definedName name="___________GDP84" localSheetId="5">#REF!</definedName>
    <definedName name="___________GDP84" localSheetId="7">#REF!</definedName>
    <definedName name="___________GDP84" localSheetId="8">#REF!</definedName>
    <definedName name="___________GDP84" localSheetId="11">#REF!</definedName>
    <definedName name="___________GDP84" localSheetId="12">#REF!</definedName>
    <definedName name="___________GDP84" localSheetId="15">#REF!</definedName>
    <definedName name="___________GDP84" localSheetId="19">#REF!</definedName>
    <definedName name="___________GDP84" localSheetId="0">#REF!</definedName>
    <definedName name="___________GDP84" localSheetId="35">#REF!</definedName>
    <definedName name="___________GDP84">#REF!</definedName>
    <definedName name="___________GDP85" localSheetId="5">#REF!</definedName>
    <definedName name="___________GDP85" localSheetId="7">#REF!</definedName>
    <definedName name="___________GDP85" localSheetId="8">#REF!</definedName>
    <definedName name="___________GDP85" localSheetId="11">#REF!</definedName>
    <definedName name="___________GDP85" localSheetId="12">#REF!</definedName>
    <definedName name="___________GDP85" localSheetId="15">#REF!</definedName>
    <definedName name="___________GDP85" localSheetId="19">#REF!</definedName>
    <definedName name="___________GDP85" localSheetId="0">#REF!</definedName>
    <definedName name="___________GDP85" localSheetId="35">#REF!</definedName>
    <definedName name="___________GDP85">#REF!</definedName>
    <definedName name="___________GDP86" localSheetId="5">#REF!</definedName>
    <definedName name="___________GDP86" localSheetId="7">#REF!</definedName>
    <definedName name="___________GDP86" localSheetId="8">#REF!</definedName>
    <definedName name="___________GDP86" localSheetId="11">#REF!</definedName>
    <definedName name="___________GDP86" localSheetId="12">#REF!</definedName>
    <definedName name="___________GDP86" localSheetId="15">#REF!</definedName>
    <definedName name="___________GDP86" localSheetId="19">#REF!</definedName>
    <definedName name="___________GDP86" localSheetId="0">#REF!</definedName>
    <definedName name="___________GDP86" localSheetId="35">#REF!</definedName>
    <definedName name="___________GDP86">#REF!</definedName>
    <definedName name="___________GDP87" localSheetId="5">#REF!</definedName>
    <definedName name="___________GDP87" localSheetId="7">#REF!</definedName>
    <definedName name="___________GDP87" localSheetId="8">#REF!</definedName>
    <definedName name="___________GDP87" localSheetId="11">#REF!</definedName>
    <definedName name="___________GDP87" localSheetId="12">#REF!</definedName>
    <definedName name="___________GDP87" localSheetId="15">#REF!</definedName>
    <definedName name="___________GDP87" localSheetId="19">#REF!</definedName>
    <definedName name="___________GDP87" localSheetId="0">#REF!</definedName>
    <definedName name="___________GDP87" localSheetId="35">#REF!</definedName>
    <definedName name="___________GDP87">#REF!</definedName>
    <definedName name="___________GDP88" localSheetId="5">#REF!</definedName>
    <definedName name="___________GDP88" localSheetId="7">#REF!</definedName>
    <definedName name="___________GDP88" localSheetId="8">#REF!</definedName>
    <definedName name="___________GDP88" localSheetId="11">#REF!</definedName>
    <definedName name="___________GDP88" localSheetId="12">#REF!</definedName>
    <definedName name="___________GDP88" localSheetId="15">#REF!</definedName>
    <definedName name="___________GDP88" localSheetId="19">#REF!</definedName>
    <definedName name="___________GDP88" localSheetId="0">#REF!</definedName>
    <definedName name="___________GDP88" localSheetId="35">#REF!</definedName>
    <definedName name="___________GDP88">#REF!</definedName>
    <definedName name="___________GDP89" localSheetId="5">#REF!</definedName>
    <definedName name="___________GDP89" localSheetId="7">#REF!</definedName>
    <definedName name="___________GDP89" localSheetId="8">#REF!</definedName>
    <definedName name="___________GDP89" localSheetId="11">#REF!</definedName>
    <definedName name="___________GDP89" localSheetId="12">#REF!</definedName>
    <definedName name="___________GDP89" localSheetId="15">#REF!</definedName>
    <definedName name="___________GDP89" localSheetId="19">#REF!</definedName>
    <definedName name="___________GDP89" localSheetId="0">#REF!</definedName>
    <definedName name="___________GDP89" localSheetId="35">#REF!</definedName>
    <definedName name="___________GDP89">#REF!</definedName>
    <definedName name="___________GDP90" localSheetId="5">#REF!</definedName>
    <definedName name="___________GDP90" localSheetId="7">#REF!</definedName>
    <definedName name="___________GDP90" localSheetId="8">#REF!</definedName>
    <definedName name="___________GDP90" localSheetId="11">#REF!</definedName>
    <definedName name="___________GDP90" localSheetId="12">#REF!</definedName>
    <definedName name="___________GDP90" localSheetId="15">#REF!</definedName>
    <definedName name="___________GDP90" localSheetId="19">#REF!</definedName>
    <definedName name="___________GDP90" localSheetId="0">#REF!</definedName>
    <definedName name="___________GDP90" localSheetId="35">#REF!</definedName>
    <definedName name="___________GDP90">#REF!</definedName>
    <definedName name="___________GDP91" localSheetId="5">#REF!</definedName>
    <definedName name="___________GDP91" localSheetId="7">#REF!</definedName>
    <definedName name="___________GDP91" localSheetId="8">#REF!</definedName>
    <definedName name="___________GDP91" localSheetId="11">#REF!</definedName>
    <definedName name="___________GDP91" localSheetId="12">#REF!</definedName>
    <definedName name="___________GDP91" localSheetId="15">#REF!</definedName>
    <definedName name="___________GDP91" localSheetId="19">#REF!</definedName>
    <definedName name="___________GDP91" localSheetId="0">#REF!</definedName>
    <definedName name="___________GDP91" localSheetId="35">#REF!</definedName>
    <definedName name="___________GDP91">#REF!</definedName>
    <definedName name="___________GDP92" localSheetId="5">#REF!</definedName>
    <definedName name="___________GDP92" localSheetId="7">#REF!</definedName>
    <definedName name="___________GDP92" localSheetId="8">#REF!</definedName>
    <definedName name="___________GDP92" localSheetId="11">#REF!</definedName>
    <definedName name="___________GDP92" localSheetId="12">#REF!</definedName>
    <definedName name="___________GDP92" localSheetId="15">#REF!</definedName>
    <definedName name="___________GDP92" localSheetId="19">#REF!</definedName>
    <definedName name="___________GDP92" localSheetId="0">#REF!</definedName>
    <definedName name="___________GDP92" localSheetId="35">#REF!</definedName>
    <definedName name="___________GDP92">#REF!</definedName>
    <definedName name="___________GDP93" localSheetId="5">#REF!</definedName>
    <definedName name="___________GDP93" localSheetId="7">#REF!</definedName>
    <definedName name="___________GDP93" localSheetId="8">#REF!</definedName>
    <definedName name="___________GDP93" localSheetId="11">#REF!</definedName>
    <definedName name="___________GDP93" localSheetId="12">#REF!</definedName>
    <definedName name="___________GDP93" localSheetId="15">#REF!</definedName>
    <definedName name="___________GDP93" localSheetId="19">#REF!</definedName>
    <definedName name="___________GDP93" localSheetId="0">#REF!</definedName>
    <definedName name="___________GDP93" localSheetId="35">#REF!</definedName>
    <definedName name="___________GDP93">#REF!</definedName>
    <definedName name="___________GDP94" localSheetId="5">#REF!</definedName>
    <definedName name="___________GDP94" localSheetId="7">#REF!</definedName>
    <definedName name="___________GDP94" localSheetId="8">#REF!</definedName>
    <definedName name="___________GDP94" localSheetId="11">#REF!</definedName>
    <definedName name="___________GDP94" localSheetId="12">#REF!</definedName>
    <definedName name="___________GDP94" localSheetId="15">#REF!</definedName>
    <definedName name="___________GDP94" localSheetId="19">#REF!</definedName>
    <definedName name="___________GDP94" localSheetId="0">#REF!</definedName>
    <definedName name="___________GDP94" localSheetId="35">#REF!</definedName>
    <definedName name="___________GDP94">#REF!</definedName>
    <definedName name="___________PR1">#N/A</definedName>
    <definedName name="___________PR2">#N/A</definedName>
    <definedName name="___________PR3">#N/A</definedName>
    <definedName name="___________PR4">#N/A</definedName>
    <definedName name="__________GDP80" localSheetId="5">#REF!</definedName>
    <definedName name="__________GDP80" localSheetId="7">#REF!</definedName>
    <definedName name="__________GDP80" localSheetId="8">#REF!</definedName>
    <definedName name="__________GDP80" localSheetId="11">#REF!</definedName>
    <definedName name="__________GDP80" localSheetId="12">#REF!</definedName>
    <definedName name="__________GDP80" localSheetId="15">#REF!</definedName>
    <definedName name="__________GDP80" localSheetId="16">#REF!</definedName>
    <definedName name="__________GDP80" localSheetId="19">#REF!</definedName>
    <definedName name="__________GDP80" localSheetId="23">#REF!</definedName>
    <definedName name="__________GDP80" localSheetId="28">#REF!</definedName>
    <definedName name="__________GDP80" localSheetId="30">#REF!</definedName>
    <definedName name="__________GDP80" localSheetId="0">#REF!</definedName>
    <definedName name="__________GDP80" localSheetId="35">#REF!</definedName>
    <definedName name="__________GDP80" localSheetId="37">#REF!</definedName>
    <definedName name="__________GDP80" localSheetId="38">#REF!</definedName>
    <definedName name="__________GDP80">#REF!</definedName>
    <definedName name="__________GDP81" localSheetId="5">#REF!</definedName>
    <definedName name="__________GDP81" localSheetId="7">#REF!</definedName>
    <definedName name="__________GDP81" localSheetId="8">#REF!</definedName>
    <definedName name="__________GDP81" localSheetId="11">#REF!</definedName>
    <definedName name="__________GDP81" localSheetId="12">#REF!</definedName>
    <definedName name="__________GDP81" localSheetId="15">#REF!</definedName>
    <definedName name="__________GDP81" localSheetId="16">#REF!</definedName>
    <definedName name="__________GDP81" localSheetId="19">#REF!</definedName>
    <definedName name="__________GDP81" localSheetId="23">#REF!</definedName>
    <definedName name="__________GDP81" localSheetId="28">#REF!</definedName>
    <definedName name="__________GDP81" localSheetId="30">#REF!</definedName>
    <definedName name="__________GDP81" localSheetId="0">#REF!</definedName>
    <definedName name="__________GDP81" localSheetId="35">#REF!</definedName>
    <definedName name="__________GDP81" localSheetId="37">#REF!</definedName>
    <definedName name="__________GDP81" localSheetId="38">#REF!</definedName>
    <definedName name="__________GDP81">#REF!</definedName>
    <definedName name="__________GDP82" localSheetId="5">#REF!</definedName>
    <definedName name="__________GDP82" localSheetId="7">#REF!</definedName>
    <definedName name="__________GDP82" localSheetId="8">#REF!</definedName>
    <definedName name="__________GDP82" localSheetId="11">#REF!</definedName>
    <definedName name="__________GDP82" localSheetId="12">#REF!</definedName>
    <definedName name="__________GDP82" localSheetId="15">#REF!</definedName>
    <definedName name="__________GDP82" localSheetId="19">#REF!</definedName>
    <definedName name="__________GDP82" localSheetId="0">#REF!</definedName>
    <definedName name="__________GDP82" localSheetId="35">#REF!</definedName>
    <definedName name="__________GDP82">#REF!</definedName>
    <definedName name="__________GDP83" localSheetId="5">#REF!</definedName>
    <definedName name="__________GDP83" localSheetId="7">#REF!</definedName>
    <definedName name="__________GDP83" localSheetId="8">#REF!</definedName>
    <definedName name="__________GDP83" localSheetId="11">#REF!</definedName>
    <definedName name="__________GDP83" localSheetId="12">#REF!</definedName>
    <definedName name="__________GDP83" localSheetId="15">#REF!</definedName>
    <definedName name="__________GDP83" localSheetId="19">#REF!</definedName>
    <definedName name="__________GDP83" localSheetId="0">#REF!</definedName>
    <definedName name="__________GDP83" localSheetId="35">#REF!</definedName>
    <definedName name="__________GDP83">#REF!</definedName>
    <definedName name="__________GDP84" localSheetId="5">#REF!</definedName>
    <definedName name="__________GDP84" localSheetId="7">#REF!</definedName>
    <definedName name="__________GDP84" localSheetId="8">#REF!</definedName>
    <definedName name="__________GDP84" localSheetId="11">#REF!</definedName>
    <definedName name="__________GDP84" localSheetId="12">#REF!</definedName>
    <definedName name="__________GDP84" localSheetId="15">#REF!</definedName>
    <definedName name="__________GDP84" localSheetId="19">#REF!</definedName>
    <definedName name="__________GDP84" localSheetId="0">#REF!</definedName>
    <definedName name="__________GDP84" localSheetId="35">#REF!</definedName>
    <definedName name="__________GDP84">#REF!</definedName>
    <definedName name="__________GDP85" localSheetId="5">#REF!</definedName>
    <definedName name="__________GDP85" localSheetId="7">#REF!</definedName>
    <definedName name="__________GDP85" localSheetId="8">#REF!</definedName>
    <definedName name="__________GDP85" localSheetId="11">#REF!</definedName>
    <definedName name="__________GDP85" localSheetId="12">#REF!</definedName>
    <definedName name="__________GDP85" localSheetId="15">#REF!</definedName>
    <definedName name="__________GDP85" localSheetId="19">#REF!</definedName>
    <definedName name="__________GDP85" localSheetId="0">#REF!</definedName>
    <definedName name="__________GDP85" localSheetId="35">#REF!</definedName>
    <definedName name="__________GDP85">#REF!</definedName>
    <definedName name="__________GDP86" localSheetId="5">#REF!</definedName>
    <definedName name="__________GDP86" localSheetId="7">#REF!</definedName>
    <definedName name="__________GDP86" localSheetId="8">#REF!</definedName>
    <definedName name="__________GDP86" localSheetId="11">#REF!</definedName>
    <definedName name="__________GDP86" localSheetId="12">#REF!</definedName>
    <definedName name="__________GDP86" localSheetId="15">#REF!</definedName>
    <definedName name="__________GDP86" localSheetId="19">#REF!</definedName>
    <definedName name="__________GDP86" localSheetId="0">#REF!</definedName>
    <definedName name="__________GDP86" localSheetId="35">#REF!</definedName>
    <definedName name="__________GDP86">#REF!</definedName>
    <definedName name="__________GDP87" localSheetId="5">#REF!</definedName>
    <definedName name="__________GDP87" localSheetId="7">#REF!</definedName>
    <definedName name="__________GDP87" localSheetId="8">#REF!</definedName>
    <definedName name="__________GDP87" localSheetId="11">#REF!</definedName>
    <definedName name="__________GDP87" localSheetId="12">#REF!</definedName>
    <definedName name="__________GDP87" localSheetId="15">#REF!</definedName>
    <definedName name="__________GDP87" localSheetId="19">#REF!</definedName>
    <definedName name="__________GDP87" localSheetId="0">#REF!</definedName>
    <definedName name="__________GDP87" localSheetId="35">#REF!</definedName>
    <definedName name="__________GDP87">#REF!</definedName>
    <definedName name="__________GDP88" localSheetId="5">#REF!</definedName>
    <definedName name="__________GDP88" localSheetId="7">#REF!</definedName>
    <definedName name="__________GDP88" localSheetId="8">#REF!</definedName>
    <definedName name="__________GDP88" localSheetId="11">#REF!</definedName>
    <definedName name="__________GDP88" localSheetId="12">#REF!</definedName>
    <definedName name="__________GDP88" localSheetId="15">#REF!</definedName>
    <definedName name="__________GDP88" localSheetId="19">#REF!</definedName>
    <definedName name="__________GDP88" localSheetId="0">#REF!</definedName>
    <definedName name="__________GDP88" localSheetId="35">#REF!</definedName>
    <definedName name="__________GDP88">#REF!</definedName>
    <definedName name="__________GDP89" localSheetId="5">#REF!</definedName>
    <definedName name="__________GDP89" localSheetId="7">#REF!</definedName>
    <definedName name="__________GDP89" localSheetId="8">#REF!</definedName>
    <definedName name="__________GDP89" localSheetId="11">#REF!</definedName>
    <definedName name="__________GDP89" localSheetId="12">#REF!</definedName>
    <definedName name="__________GDP89" localSheetId="15">#REF!</definedName>
    <definedName name="__________GDP89" localSheetId="19">#REF!</definedName>
    <definedName name="__________GDP89" localSheetId="0">#REF!</definedName>
    <definedName name="__________GDP89" localSheetId="35">#REF!</definedName>
    <definedName name="__________GDP89">#REF!</definedName>
    <definedName name="__________GDP90" localSheetId="5">#REF!</definedName>
    <definedName name="__________GDP90" localSheetId="7">#REF!</definedName>
    <definedName name="__________GDP90" localSheetId="8">#REF!</definedName>
    <definedName name="__________GDP90" localSheetId="11">#REF!</definedName>
    <definedName name="__________GDP90" localSheetId="12">#REF!</definedName>
    <definedName name="__________GDP90" localSheetId="15">#REF!</definedName>
    <definedName name="__________GDP90" localSheetId="19">#REF!</definedName>
    <definedName name="__________GDP90" localSheetId="0">#REF!</definedName>
    <definedName name="__________GDP90" localSheetId="35">#REF!</definedName>
    <definedName name="__________GDP90">#REF!</definedName>
    <definedName name="__________GDP91" localSheetId="5">#REF!</definedName>
    <definedName name="__________GDP91" localSheetId="7">#REF!</definedName>
    <definedName name="__________GDP91" localSheetId="8">#REF!</definedName>
    <definedName name="__________GDP91" localSheetId="11">#REF!</definedName>
    <definedName name="__________GDP91" localSheetId="12">#REF!</definedName>
    <definedName name="__________GDP91" localSheetId="15">#REF!</definedName>
    <definedName name="__________GDP91" localSheetId="19">#REF!</definedName>
    <definedName name="__________GDP91" localSheetId="0">#REF!</definedName>
    <definedName name="__________GDP91" localSheetId="35">#REF!</definedName>
    <definedName name="__________GDP91">#REF!</definedName>
    <definedName name="__________GDP92" localSheetId="5">#REF!</definedName>
    <definedName name="__________GDP92" localSheetId="7">#REF!</definedName>
    <definedName name="__________GDP92" localSheetId="8">#REF!</definedName>
    <definedName name="__________GDP92" localSheetId="11">#REF!</definedName>
    <definedName name="__________GDP92" localSheetId="12">#REF!</definedName>
    <definedName name="__________GDP92" localSheetId="15">#REF!</definedName>
    <definedName name="__________GDP92" localSheetId="19">#REF!</definedName>
    <definedName name="__________GDP92" localSheetId="0">#REF!</definedName>
    <definedName name="__________GDP92" localSheetId="35">#REF!</definedName>
    <definedName name="__________GDP92">#REF!</definedName>
    <definedName name="__________GDP93" localSheetId="5">#REF!</definedName>
    <definedName name="__________GDP93" localSheetId="7">#REF!</definedName>
    <definedName name="__________GDP93" localSheetId="8">#REF!</definedName>
    <definedName name="__________GDP93" localSheetId="11">#REF!</definedName>
    <definedName name="__________GDP93" localSheetId="12">#REF!</definedName>
    <definedName name="__________GDP93" localSheetId="15">#REF!</definedName>
    <definedName name="__________GDP93" localSheetId="19">#REF!</definedName>
    <definedName name="__________GDP93" localSheetId="0">#REF!</definedName>
    <definedName name="__________GDP93" localSheetId="35">#REF!</definedName>
    <definedName name="__________GDP93">#REF!</definedName>
    <definedName name="__________GDP94" localSheetId="5">#REF!</definedName>
    <definedName name="__________GDP94" localSheetId="7">#REF!</definedName>
    <definedName name="__________GDP94" localSheetId="8">#REF!</definedName>
    <definedName name="__________GDP94" localSheetId="11">#REF!</definedName>
    <definedName name="__________GDP94" localSheetId="12">#REF!</definedName>
    <definedName name="__________GDP94" localSheetId="15">#REF!</definedName>
    <definedName name="__________GDP94" localSheetId="19">#REF!</definedName>
    <definedName name="__________GDP94" localSheetId="0">#REF!</definedName>
    <definedName name="__________GDP94" localSheetId="35">#REF!</definedName>
    <definedName name="__________GDP94">#REF!</definedName>
    <definedName name="__________PR1">#N/A</definedName>
    <definedName name="__________PR2">#N/A</definedName>
    <definedName name="__________PR3">#N/A</definedName>
    <definedName name="__________PR4">#N/A</definedName>
    <definedName name="_________GDP80" localSheetId="5">#REF!</definedName>
    <definedName name="_________GDP80" localSheetId="7">#REF!</definedName>
    <definedName name="_________GDP80" localSheetId="8">#REF!</definedName>
    <definedName name="_________GDP80" localSheetId="11">#REF!</definedName>
    <definedName name="_________GDP80" localSheetId="12">#REF!</definedName>
    <definedName name="_________GDP80" localSheetId="15">#REF!</definedName>
    <definedName name="_________GDP80" localSheetId="16">#REF!</definedName>
    <definedName name="_________GDP80" localSheetId="19">#REF!</definedName>
    <definedName name="_________GDP80" localSheetId="23">#REF!</definedName>
    <definedName name="_________GDP80" localSheetId="28">#REF!</definedName>
    <definedName name="_________GDP80" localSheetId="30">#REF!</definedName>
    <definedName name="_________GDP80" localSheetId="0">#REF!</definedName>
    <definedName name="_________GDP80" localSheetId="35">#REF!</definedName>
    <definedName name="_________GDP80" localSheetId="37">#REF!</definedName>
    <definedName name="_________GDP80" localSheetId="38">#REF!</definedName>
    <definedName name="_________GDP80">#REF!</definedName>
    <definedName name="_________GDP81" localSheetId="5">#REF!</definedName>
    <definedName name="_________GDP81" localSheetId="7">#REF!</definedName>
    <definedName name="_________GDP81" localSheetId="8">#REF!</definedName>
    <definedName name="_________GDP81" localSheetId="11">#REF!</definedName>
    <definedName name="_________GDP81" localSheetId="12">#REF!</definedName>
    <definedName name="_________GDP81" localSheetId="15">#REF!</definedName>
    <definedName name="_________GDP81" localSheetId="16">#REF!</definedName>
    <definedName name="_________GDP81" localSheetId="19">#REF!</definedName>
    <definedName name="_________GDP81" localSheetId="23">#REF!</definedName>
    <definedName name="_________GDP81" localSheetId="28">#REF!</definedName>
    <definedName name="_________GDP81" localSheetId="30">#REF!</definedName>
    <definedName name="_________GDP81" localSheetId="0">#REF!</definedName>
    <definedName name="_________GDP81" localSheetId="35">#REF!</definedName>
    <definedName name="_________GDP81" localSheetId="37">#REF!</definedName>
    <definedName name="_________GDP81" localSheetId="38">#REF!</definedName>
    <definedName name="_________GDP81">#REF!</definedName>
    <definedName name="_________GDP82" localSheetId="5">#REF!</definedName>
    <definedName name="_________GDP82" localSheetId="7">#REF!</definedName>
    <definedName name="_________GDP82" localSheetId="8">#REF!</definedName>
    <definedName name="_________GDP82" localSheetId="11">#REF!</definedName>
    <definedName name="_________GDP82" localSheetId="12">#REF!</definedName>
    <definedName name="_________GDP82" localSheetId="15">#REF!</definedName>
    <definedName name="_________GDP82" localSheetId="19">#REF!</definedName>
    <definedName name="_________GDP82" localSheetId="0">#REF!</definedName>
    <definedName name="_________GDP82" localSheetId="35">#REF!</definedName>
    <definedName name="_________GDP82">#REF!</definedName>
    <definedName name="_________GDP83" localSheetId="5">#REF!</definedName>
    <definedName name="_________GDP83" localSheetId="7">#REF!</definedName>
    <definedName name="_________GDP83" localSheetId="8">#REF!</definedName>
    <definedName name="_________GDP83" localSheetId="11">#REF!</definedName>
    <definedName name="_________GDP83" localSheetId="12">#REF!</definedName>
    <definedName name="_________GDP83" localSheetId="15">#REF!</definedName>
    <definedName name="_________GDP83" localSheetId="19">#REF!</definedName>
    <definedName name="_________GDP83" localSheetId="0">#REF!</definedName>
    <definedName name="_________GDP83" localSheetId="35">#REF!</definedName>
    <definedName name="_________GDP83">#REF!</definedName>
    <definedName name="_________GDP84" localSheetId="5">#REF!</definedName>
    <definedName name="_________GDP84" localSheetId="7">#REF!</definedName>
    <definedName name="_________GDP84" localSheetId="8">#REF!</definedName>
    <definedName name="_________GDP84" localSheetId="11">#REF!</definedName>
    <definedName name="_________GDP84" localSheetId="12">#REF!</definedName>
    <definedName name="_________GDP84" localSheetId="15">#REF!</definedName>
    <definedName name="_________GDP84" localSheetId="19">#REF!</definedName>
    <definedName name="_________GDP84" localSheetId="0">#REF!</definedName>
    <definedName name="_________GDP84" localSheetId="35">#REF!</definedName>
    <definedName name="_________GDP84">#REF!</definedName>
    <definedName name="_________GDP85" localSheetId="5">#REF!</definedName>
    <definedName name="_________GDP85" localSheetId="7">#REF!</definedName>
    <definedName name="_________GDP85" localSheetId="8">#REF!</definedName>
    <definedName name="_________GDP85" localSheetId="11">#REF!</definedName>
    <definedName name="_________GDP85" localSheetId="12">#REF!</definedName>
    <definedName name="_________GDP85" localSheetId="15">#REF!</definedName>
    <definedName name="_________GDP85" localSheetId="19">#REF!</definedName>
    <definedName name="_________GDP85" localSheetId="0">#REF!</definedName>
    <definedName name="_________GDP85" localSheetId="35">#REF!</definedName>
    <definedName name="_________GDP85">#REF!</definedName>
    <definedName name="_________GDP86" localSheetId="5">#REF!</definedName>
    <definedName name="_________GDP86" localSheetId="7">#REF!</definedName>
    <definedName name="_________GDP86" localSheetId="8">#REF!</definedName>
    <definedName name="_________GDP86" localSheetId="11">#REF!</definedName>
    <definedName name="_________GDP86" localSheetId="12">#REF!</definedName>
    <definedName name="_________GDP86" localSheetId="15">#REF!</definedName>
    <definedName name="_________GDP86" localSheetId="19">#REF!</definedName>
    <definedName name="_________GDP86" localSheetId="0">#REF!</definedName>
    <definedName name="_________GDP86" localSheetId="35">#REF!</definedName>
    <definedName name="_________GDP86">#REF!</definedName>
    <definedName name="_________GDP87" localSheetId="5">#REF!</definedName>
    <definedName name="_________GDP87" localSheetId="7">#REF!</definedName>
    <definedName name="_________GDP87" localSheetId="8">#REF!</definedName>
    <definedName name="_________GDP87" localSheetId="11">#REF!</definedName>
    <definedName name="_________GDP87" localSheetId="12">#REF!</definedName>
    <definedName name="_________GDP87" localSheetId="15">#REF!</definedName>
    <definedName name="_________GDP87" localSheetId="19">#REF!</definedName>
    <definedName name="_________GDP87" localSheetId="0">#REF!</definedName>
    <definedName name="_________GDP87" localSheetId="35">#REF!</definedName>
    <definedName name="_________GDP87">#REF!</definedName>
    <definedName name="_________GDP88" localSheetId="5">#REF!</definedName>
    <definedName name="_________GDP88" localSheetId="7">#REF!</definedName>
    <definedName name="_________GDP88" localSheetId="8">#REF!</definedName>
    <definedName name="_________GDP88" localSheetId="11">#REF!</definedName>
    <definedName name="_________GDP88" localSheetId="12">#REF!</definedName>
    <definedName name="_________GDP88" localSheetId="15">#REF!</definedName>
    <definedName name="_________GDP88" localSheetId="19">#REF!</definedName>
    <definedName name="_________GDP88" localSheetId="0">#REF!</definedName>
    <definedName name="_________GDP88" localSheetId="35">#REF!</definedName>
    <definedName name="_________GDP88">#REF!</definedName>
    <definedName name="_________GDP89" localSheetId="5">#REF!</definedName>
    <definedName name="_________GDP89" localSheetId="7">#REF!</definedName>
    <definedName name="_________GDP89" localSheetId="8">#REF!</definedName>
    <definedName name="_________GDP89" localSheetId="11">#REF!</definedName>
    <definedName name="_________GDP89" localSheetId="12">#REF!</definedName>
    <definedName name="_________GDP89" localSheetId="15">#REF!</definedName>
    <definedName name="_________GDP89" localSheetId="19">#REF!</definedName>
    <definedName name="_________GDP89" localSheetId="0">#REF!</definedName>
    <definedName name="_________GDP89" localSheetId="35">#REF!</definedName>
    <definedName name="_________GDP89">#REF!</definedName>
    <definedName name="_________GDP90" localSheetId="5">#REF!</definedName>
    <definedName name="_________GDP90" localSheetId="7">#REF!</definedName>
    <definedName name="_________GDP90" localSheetId="8">#REF!</definedName>
    <definedName name="_________GDP90" localSheetId="11">#REF!</definedName>
    <definedName name="_________GDP90" localSheetId="12">#REF!</definedName>
    <definedName name="_________GDP90" localSheetId="15">#REF!</definedName>
    <definedName name="_________GDP90" localSheetId="19">#REF!</definedName>
    <definedName name="_________GDP90" localSheetId="0">#REF!</definedName>
    <definedName name="_________GDP90" localSheetId="35">#REF!</definedName>
    <definedName name="_________GDP90">#REF!</definedName>
    <definedName name="_________GDP91" localSheetId="5">#REF!</definedName>
    <definedName name="_________GDP91" localSheetId="7">#REF!</definedName>
    <definedName name="_________GDP91" localSheetId="8">#REF!</definedName>
    <definedName name="_________GDP91" localSheetId="11">#REF!</definedName>
    <definedName name="_________GDP91" localSheetId="12">#REF!</definedName>
    <definedName name="_________GDP91" localSheetId="15">#REF!</definedName>
    <definedName name="_________GDP91" localSheetId="19">#REF!</definedName>
    <definedName name="_________GDP91" localSheetId="0">#REF!</definedName>
    <definedName name="_________GDP91" localSheetId="35">#REF!</definedName>
    <definedName name="_________GDP91">#REF!</definedName>
    <definedName name="_________GDP92" localSheetId="5">#REF!</definedName>
    <definedName name="_________GDP92" localSheetId="7">#REF!</definedName>
    <definedName name="_________GDP92" localSheetId="8">#REF!</definedName>
    <definedName name="_________GDP92" localSheetId="11">#REF!</definedName>
    <definedName name="_________GDP92" localSheetId="12">#REF!</definedName>
    <definedName name="_________GDP92" localSheetId="15">#REF!</definedName>
    <definedName name="_________GDP92" localSheetId="19">#REF!</definedName>
    <definedName name="_________GDP92" localSheetId="0">#REF!</definedName>
    <definedName name="_________GDP92" localSheetId="35">#REF!</definedName>
    <definedName name="_________GDP92">#REF!</definedName>
    <definedName name="_________GDP93" localSheetId="5">#REF!</definedName>
    <definedName name="_________GDP93" localSheetId="7">#REF!</definedName>
    <definedName name="_________GDP93" localSheetId="8">#REF!</definedName>
    <definedName name="_________GDP93" localSheetId="11">#REF!</definedName>
    <definedName name="_________GDP93" localSheetId="12">#REF!</definedName>
    <definedName name="_________GDP93" localSheetId="15">#REF!</definedName>
    <definedName name="_________GDP93" localSheetId="19">#REF!</definedName>
    <definedName name="_________GDP93" localSheetId="0">#REF!</definedName>
    <definedName name="_________GDP93" localSheetId="35">#REF!</definedName>
    <definedName name="_________GDP93">#REF!</definedName>
    <definedName name="_________GDP94" localSheetId="5">#REF!</definedName>
    <definedName name="_________GDP94" localSheetId="7">#REF!</definedName>
    <definedName name="_________GDP94" localSheetId="8">#REF!</definedName>
    <definedName name="_________GDP94" localSheetId="11">#REF!</definedName>
    <definedName name="_________GDP94" localSheetId="12">#REF!</definedName>
    <definedName name="_________GDP94" localSheetId="15">#REF!</definedName>
    <definedName name="_________GDP94" localSheetId="19">#REF!</definedName>
    <definedName name="_________GDP94" localSheetId="0">#REF!</definedName>
    <definedName name="_________GDP94" localSheetId="35">#REF!</definedName>
    <definedName name="_________GDP94">#REF!</definedName>
    <definedName name="_________PR1">#N/A</definedName>
    <definedName name="_________PR2">#N/A</definedName>
    <definedName name="_________PR3">#N/A</definedName>
    <definedName name="_________PR4">#N/A</definedName>
    <definedName name="________GDP80" localSheetId="5">#REF!</definedName>
    <definedName name="________GDP80" localSheetId="7">#REF!</definedName>
    <definedName name="________GDP80" localSheetId="8">#REF!</definedName>
    <definedName name="________GDP80" localSheetId="11">#REF!</definedName>
    <definedName name="________GDP80" localSheetId="12">#REF!</definedName>
    <definedName name="________GDP80" localSheetId="15">#REF!</definedName>
    <definedName name="________GDP80" localSheetId="16">#REF!</definedName>
    <definedName name="________GDP80" localSheetId="19">#REF!</definedName>
    <definedName name="________GDP80" localSheetId="23">#REF!</definedName>
    <definedName name="________GDP80" localSheetId="28">#REF!</definedName>
    <definedName name="________GDP80" localSheetId="30">#REF!</definedName>
    <definedName name="________GDP80" localSheetId="0">#REF!</definedName>
    <definedName name="________GDP80" localSheetId="35">#REF!</definedName>
    <definedName name="________GDP80" localSheetId="37">#REF!</definedName>
    <definedName name="________GDP80" localSheetId="38">#REF!</definedName>
    <definedName name="________GDP80">#REF!</definedName>
    <definedName name="________GDP81" localSheetId="5">#REF!</definedName>
    <definedName name="________GDP81" localSheetId="7">#REF!</definedName>
    <definedName name="________GDP81" localSheetId="8">#REF!</definedName>
    <definedName name="________GDP81" localSheetId="11">#REF!</definedName>
    <definedName name="________GDP81" localSheetId="12">#REF!</definedName>
    <definedName name="________GDP81" localSheetId="15">#REF!</definedName>
    <definedName name="________GDP81" localSheetId="16">#REF!</definedName>
    <definedName name="________GDP81" localSheetId="19">#REF!</definedName>
    <definedName name="________GDP81" localSheetId="23">#REF!</definedName>
    <definedName name="________GDP81" localSheetId="28">#REF!</definedName>
    <definedName name="________GDP81" localSheetId="30">#REF!</definedName>
    <definedName name="________GDP81" localSheetId="0">#REF!</definedName>
    <definedName name="________GDP81" localSheetId="35">#REF!</definedName>
    <definedName name="________GDP81" localSheetId="37">#REF!</definedName>
    <definedName name="________GDP81" localSheetId="38">#REF!</definedName>
    <definedName name="________GDP81">#REF!</definedName>
    <definedName name="________GDP82" localSheetId="5">#REF!</definedName>
    <definedName name="________GDP82" localSheetId="7">#REF!</definedName>
    <definedName name="________GDP82" localSheetId="8">#REF!</definedName>
    <definedName name="________GDP82" localSheetId="11">#REF!</definedName>
    <definedName name="________GDP82" localSheetId="12">#REF!</definedName>
    <definedName name="________GDP82" localSheetId="15">#REF!</definedName>
    <definedName name="________GDP82" localSheetId="19">#REF!</definedName>
    <definedName name="________GDP82" localSheetId="0">#REF!</definedName>
    <definedName name="________GDP82" localSheetId="35">#REF!</definedName>
    <definedName name="________GDP82">#REF!</definedName>
    <definedName name="________GDP83" localSheetId="5">#REF!</definedName>
    <definedName name="________GDP83" localSheetId="7">#REF!</definedName>
    <definedName name="________GDP83" localSheetId="8">#REF!</definedName>
    <definedName name="________GDP83" localSheetId="11">#REF!</definedName>
    <definedName name="________GDP83" localSheetId="12">#REF!</definedName>
    <definedName name="________GDP83" localSheetId="15">#REF!</definedName>
    <definedName name="________GDP83" localSheetId="19">#REF!</definedName>
    <definedName name="________GDP83" localSheetId="0">#REF!</definedName>
    <definedName name="________GDP83" localSheetId="35">#REF!</definedName>
    <definedName name="________GDP83">#REF!</definedName>
    <definedName name="________GDP84" localSheetId="5">#REF!</definedName>
    <definedName name="________GDP84" localSheetId="7">#REF!</definedName>
    <definedName name="________GDP84" localSheetId="8">#REF!</definedName>
    <definedName name="________GDP84" localSheetId="11">#REF!</definedName>
    <definedName name="________GDP84" localSheetId="12">#REF!</definedName>
    <definedName name="________GDP84" localSheetId="15">#REF!</definedName>
    <definedName name="________GDP84" localSheetId="19">#REF!</definedName>
    <definedName name="________GDP84" localSheetId="0">#REF!</definedName>
    <definedName name="________GDP84" localSheetId="35">#REF!</definedName>
    <definedName name="________GDP84">#REF!</definedName>
    <definedName name="________GDP85" localSheetId="5">#REF!</definedName>
    <definedName name="________GDP85" localSheetId="7">#REF!</definedName>
    <definedName name="________GDP85" localSheetId="8">#REF!</definedName>
    <definedName name="________GDP85" localSheetId="11">#REF!</definedName>
    <definedName name="________GDP85" localSheetId="12">#REF!</definedName>
    <definedName name="________GDP85" localSheetId="15">#REF!</definedName>
    <definedName name="________GDP85" localSheetId="19">#REF!</definedName>
    <definedName name="________GDP85" localSheetId="0">#REF!</definedName>
    <definedName name="________GDP85" localSheetId="35">#REF!</definedName>
    <definedName name="________GDP85">#REF!</definedName>
    <definedName name="________GDP86" localSheetId="5">#REF!</definedName>
    <definedName name="________GDP86" localSheetId="7">#REF!</definedName>
    <definedName name="________GDP86" localSheetId="8">#REF!</definedName>
    <definedName name="________GDP86" localSheetId="11">#REF!</definedName>
    <definedName name="________GDP86" localSheetId="12">#REF!</definedName>
    <definedName name="________GDP86" localSheetId="15">#REF!</definedName>
    <definedName name="________GDP86" localSheetId="19">#REF!</definedName>
    <definedName name="________GDP86" localSheetId="0">#REF!</definedName>
    <definedName name="________GDP86" localSheetId="35">#REF!</definedName>
    <definedName name="________GDP86">#REF!</definedName>
    <definedName name="________GDP87" localSheetId="5">#REF!</definedName>
    <definedName name="________GDP87" localSheetId="7">#REF!</definedName>
    <definedName name="________GDP87" localSheetId="8">#REF!</definedName>
    <definedName name="________GDP87" localSheetId="11">#REF!</definedName>
    <definedName name="________GDP87" localSheetId="12">#REF!</definedName>
    <definedName name="________GDP87" localSheetId="15">#REF!</definedName>
    <definedName name="________GDP87" localSheetId="19">#REF!</definedName>
    <definedName name="________GDP87" localSheetId="0">#REF!</definedName>
    <definedName name="________GDP87" localSheetId="35">#REF!</definedName>
    <definedName name="________GDP87">#REF!</definedName>
    <definedName name="________GDP88" localSheetId="5">#REF!</definedName>
    <definedName name="________GDP88" localSheetId="7">#REF!</definedName>
    <definedName name="________GDP88" localSheetId="8">#REF!</definedName>
    <definedName name="________GDP88" localSheetId="11">#REF!</definedName>
    <definedName name="________GDP88" localSheetId="12">#REF!</definedName>
    <definedName name="________GDP88" localSheetId="15">#REF!</definedName>
    <definedName name="________GDP88" localSheetId="19">#REF!</definedName>
    <definedName name="________GDP88" localSheetId="0">#REF!</definedName>
    <definedName name="________GDP88" localSheetId="35">#REF!</definedName>
    <definedName name="________GDP88">#REF!</definedName>
    <definedName name="________GDP89" localSheetId="5">#REF!</definedName>
    <definedName name="________GDP89" localSheetId="7">#REF!</definedName>
    <definedName name="________GDP89" localSheetId="8">#REF!</definedName>
    <definedName name="________GDP89" localSheetId="11">#REF!</definedName>
    <definedName name="________GDP89" localSheetId="12">#REF!</definedName>
    <definedName name="________GDP89" localSheetId="15">#REF!</definedName>
    <definedName name="________GDP89" localSheetId="19">#REF!</definedName>
    <definedName name="________GDP89" localSheetId="0">#REF!</definedName>
    <definedName name="________GDP89" localSheetId="35">#REF!</definedName>
    <definedName name="________GDP89">#REF!</definedName>
    <definedName name="________GDP90" localSheetId="5">#REF!</definedName>
    <definedName name="________GDP90" localSheetId="7">#REF!</definedName>
    <definedName name="________GDP90" localSheetId="8">#REF!</definedName>
    <definedName name="________GDP90" localSheetId="11">#REF!</definedName>
    <definedName name="________GDP90" localSheetId="12">#REF!</definedName>
    <definedName name="________GDP90" localSheetId="15">#REF!</definedName>
    <definedName name="________GDP90" localSheetId="19">#REF!</definedName>
    <definedName name="________GDP90" localSheetId="0">#REF!</definedName>
    <definedName name="________GDP90" localSheetId="35">#REF!</definedName>
    <definedName name="________GDP90">#REF!</definedName>
    <definedName name="________GDP91" localSheetId="5">#REF!</definedName>
    <definedName name="________GDP91" localSheetId="7">#REF!</definedName>
    <definedName name="________GDP91" localSheetId="8">#REF!</definedName>
    <definedName name="________GDP91" localSheetId="11">#REF!</definedName>
    <definedName name="________GDP91" localSheetId="12">#REF!</definedName>
    <definedName name="________GDP91" localSheetId="15">#REF!</definedName>
    <definedName name="________GDP91" localSheetId="19">#REF!</definedName>
    <definedName name="________GDP91" localSheetId="0">#REF!</definedName>
    <definedName name="________GDP91" localSheetId="35">#REF!</definedName>
    <definedName name="________GDP91">#REF!</definedName>
    <definedName name="________GDP92" localSheetId="5">#REF!</definedName>
    <definedName name="________GDP92" localSheetId="7">#REF!</definedName>
    <definedName name="________GDP92" localSheetId="8">#REF!</definedName>
    <definedName name="________GDP92" localSheetId="11">#REF!</definedName>
    <definedName name="________GDP92" localSheetId="12">#REF!</definedName>
    <definedName name="________GDP92" localSheetId="15">#REF!</definedName>
    <definedName name="________GDP92" localSheetId="19">#REF!</definedName>
    <definedName name="________GDP92" localSheetId="0">#REF!</definedName>
    <definedName name="________GDP92" localSheetId="35">#REF!</definedName>
    <definedName name="________GDP92">#REF!</definedName>
    <definedName name="________GDP93" localSheetId="5">#REF!</definedName>
    <definedName name="________GDP93" localSheetId="7">#REF!</definedName>
    <definedName name="________GDP93" localSheetId="8">#REF!</definedName>
    <definedName name="________GDP93" localSheetId="11">#REF!</definedName>
    <definedName name="________GDP93" localSheetId="12">#REF!</definedName>
    <definedName name="________GDP93" localSheetId="15">#REF!</definedName>
    <definedName name="________GDP93" localSheetId="19">#REF!</definedName>
    <definedName name="________GDP93" localSheetId="0">#REF!</definedName>
    <definedName name="________GDP93" localSheetId="35">#REF!</definedName>
    <definedName name="________GDP93">#REF!</definedName>
    <definedName name="________GDP94" localSheetId="5">#REF!</definedName>
    <definedName name="________GDP94" localSheetId="7">#REF!</definedName>
    <definedName name="________GDP94" localSheetId="8">#REF!</definedName>
    <definedName name="________GDP94" localSheetId="11">#REF!</definedName>
    <definedName name="________GDP94" localSheetId="12">#REF!</definedName>
    <definedName name="________GDP94" localSheetId="15">#REF!</definedName>
    <definedName name="________GDP94" localSheetId="19">#REF!</definedName>
    <definedName name="________GDP94" localSheetId="0">#REF!</definedName>
    <definedName name="________GDP94" localSheetId="35">#REF!</definedName>
    <definedName name="________GDP94">#REF!</definedName>
    <definedName name="________PR1">#N/A</definedName>
    <definedName name="________PR2">#N/A</definedName>
    <definedName name="________PR3">#N/A</definedName>
    <definedName name="________PR4">#N/A</definedName>
    <definedName name="_______GDP80" localSheetId="5">#REF!</definedName>
    <definedName name="_______GDP80" localSheetId="7">#REF!</definedName>
    <definedName name="_______GDP80" localSheetId="8">#REF!</definedName>
    <definedName name="_______GDP80" localSheetId="11">#REF!</definedName>
    <definedName name="_______GDP80" localSheetId="12">#REF!</definedName>
    <definedName name="_______GDP80" localSheetId="15">#REF!</definedName>
    <definedName name="_______GDP80" localSheetId="16">#REF!</definedName>
    <definedName name="_______GDP80" localSheetId="19">#REF!</definedName>
    <definedName name="_______GDP80" localSheetId="23">#REF!</definedName>
    <definedName name="_______GDP80" localSheetId="28">#REF!</definedName>
    <definedName name="_______GDP80" localSheetId="30">#REF!</definedName>
    <definedName name="_______GDP80" localSheetId="0">#REF!</definedName>
    <definedName name="_______GDP80" localSheetId="35">#REF!</definedName>
    <definedName name="_______GDP80" localSheetId="37">#REF!</definedName>
    <definedName name="_______GDP80" localSheetId="38">#REF!</definedName>
    <definedName name="_______GDP80">#REF!</definedName>
    <definedName name="_______GDP81" localSheetId="5">#REF!</definedName>
    <definedName name="_______GDP81" localSheetId="7">#REF!</definedName>
    <definedName name="_______GDP81" localSheetId="8">#REF!</definedName>
    <definedName name="_______GDP81" localSheetId="11">#REF!</definedName>
    <definedName name="_______GDP81" localSheetId="12">#REF!</definedName>
    <definedName name="_______GDP81" localSheetId="15">#REF!</definedName>
    <definedName name="_______GDP81" localSheetId="16">#REF!</definedName>
    <definedName name="_______GDP81" localSheetId="19">#REF!</definedName>
    <definedName name="_______GDP81" localSheetId="23">#REF!</definedName>
    <definedName name="_______GDP81" localSheetId="28">#REF!</definedName>
    <definedName name="_______GDP81" localSheetId="30">#REF!</definedName>
    <definedName name="_______GDP81" localSheetId="0">#REF!</definedName>
    <definedName name="_______GDP81" localSheetId="35">#REF!</definedName>
    <definedName name="_______GDP81" localSheetId="37">#REF!</definedName>
    <definedName name="_______GDP81" localSheetId="38">#REF!</definedName>
    <definedName name="_______GDP81">#REF!</definedName>
    <definedName name="_______GDP82" localSheetId="5">#REF!</definedName>
    <definedName name="_______GDP82" localSheetId="7">#REF!</definedName>
    <definedName name="_______GDP82" localSheetId="8">#REF!</definedName>
    <definedName name="_______GDP82" localSheetId="11">#REF!</definedName>
    <definedName name="_______GDP82" localSheetId="12">#REF!</definedName>
    <definedName name="_______GDP82" localSheetId="15">#REF!</definedName>
    <definedName name="_______GDP82" localSheetId="19">#REF!</definedName>
    <definedName name="_______GDP82" localSheetId="0">#REF!</definedName>
    <definedName name="_______GDP82" localSheetId="35">#REF!</definedName>
    <definedName name="_______GDP82">#REF!</definedName>
    <definedName name="_______GDP83" localSheetId="5">#REF!</definedName>
    <definedName name="_______GDP83" localSheetId="7">#REF!</definedName>
    <definedName name="_______GDP83" localSheetId="8">#REF!</definedName>
    <definedName name="_______GDP83" localSheetId="11">#REF!</definedName>
    <definedName name="_______GDP83" localSheetId="12">#REF!</definedName>
    <definedName name="_______GDP83" localSheetId="15">#REF!</definedName>
    <definedName name="_______GDP83" localSheetId="19">#REF!</definedName>
    <definedName name="_______GDP83" localSheetId="0">#REF!</definedName>
    <definedName name="_______GDP83" localSheetId="35">#REF!</definedName>
    <definedName name="_______GDP83">#REF!</definedName>
    <definedName name="_______GDP84" localSheetId="5">#REF!</definedName>
    <definedName name="_______GDP84" localSheetId="7">#REF!</definedName>
    <definedName name="_______GDP84" localSheetId="8">#REF!</definedName>
    <definedName name="_______GDP84" localSheetId="11">#REF!</definedName>
    <definedName name="_______GDP84" localSheetId="12">#REF!</definedName>
    <definedName name="_______GDP84" localSheetId="15">#REF!</definedName>
    <definedName name="_______GDP84" localSheetId="19">#REF!</definedName>
    <definedName name="_______GDP84" localSheetId="0">#REF!</definedName>
    <definedName name="_______GDP84" localSheetId="35">#REF!</definedName>
    <definedName name="_______GDP84">#REF!</definedName>
    <definedName name="_______GDP85" localSheetId="5">#REF!</definedName>
    <definedName name="_______GDP85" localSheetId="7">#REF!</definedName>
    <definedName name="_______GDP85" localSheetId="8">#REF!</definedName>
    <definedName name="_______GDP85" localSheetId="11">#REF!</definedName>
    <definedName name="_______GDP85" localSheetId="12">#REF!</definedName>
    <definedName name="_______GDP85" localSheetId="15">#REF!</definedName>
    <definedName name="_______GDP85" localSheetId="19">#REF!</definedName>
    <definedName name="_______GDP85" localSheetId="0">#REF!</definedName>
    <definedName name="_______GDP85" localSheetId="35">#REF!</definedName>
    <definedName name="_______GDP85">#REF!</definedName>
    <definedName name="_______GDP86" localSheetId="5">#REF!</definedName>
    <definedName name="_______GDP86" localSheetId="7">#REF!</definedName>
    <definedName name="_______GDP86" localSheetId="8">#REF!</definedName>
    <definedName name="_______GDP86" localSheetId="11">#REF!</definedName>
    <definedName name="_______GDP86" localSheetId="12">#REF!</definedName>
    <definedName name="_______GDP86" localSheetId="15">#REF!</definedName>
    <definedName name="_______GDP86" localSheetId="19">#REF!</definedName>
    <definedName name="_______GDP86" localSheetId="0">#REF!</definedName>
    <definedName name="_______GDP86" localSheetId="35">#REF!</definedName>
    <definedName name="_______GDP86">#REF!</definedName>
    <definedName name="_______GDP87" localSheetId="5">#REF!</definedName>
    <definedName name="_______GDP87" localSheetId="7">#REF!</definedName>
    <definedName name="_______GDP87" localSheetId="8">#REF!</definedName>
    <definedName name="_______GDP87" localSheetId="11">#REF!</definedName>
    <definedName name="_______GDP87" localSheetId="12">#REF!</definedName>
    <definedName name="_______GDP87" localSheetId="15">#REF!</definedName>
    <definedName name="_______GDP87" localSheetId="19">#REF!</definedName>
    <definedName name="_______GDP87" localSheetId="0">#REF!</definedName>
    <definedName name="_______GDP87" localSheetId="35">#REF!</definedName>
    <definedName name="_______GDP87">#REF!</definedName>
    <definedName name="_______GDP88" localSheetId="5">#REF!</definedName>
    <definedName name="_______GDP88" localSheetId="7">#REF!</definedName>
    <definedName name="_______GDP88" localSheetId="8">#REF!</definedName>
    <definedName name="_______GDP88" localSheetId="11">#REF!</definedName>
    <definedName name="_______GDP88" localSheetId="12">#REF!</definedName>
    <definedName name="_______GDP88" localSheetId="15">#REF!</definedName>
    <definedName name="_______GDP88" localSheetId="19">#REF!</definedName>
    <definedName name="_______GDP88" localSheetId="0">#REF!</definedName>
    <definedName name="_______GDP88" localSheetId="35">#REF!</definedName>
    <definedName name="_______GDP88">#REF!</definedName>
    <definedName name="_______GDP89" localSheetId="5">#REF!</definedName>
    <definedName name="_______GDP89" localSheetId="7">#REF!</definedName>
    <definedName name="_______GDP89" localSheetId="8">#REF!</definedName>
    <definedName name="_______GDP89" localSheetId="11">#REF!</definedName>
    <definedName name="_______GDP89" localSheetId="12">#REF!</definedName>
    <definedName name="_______GDP89" localSheetId="15">#REF!</definedName>
    <definedName name="_______GDP89" localSheetId="19">#REF!</definedName>
    <definedName name="_______GDP89" localSheetId="0">#REF!</definedName>
    <definedName name="_______GDP89" localSheetId="35">#REF!</definedName>
    <definedName name="_______GDP89">#REF!</definedName>
    <definedName name="_______GDP90" localSheetId="5">#REF!</definedName>
    <definedName name="_______GDP90" localSheetId="7">#REF!</definedName>
    <definedName name="_______GDP90" localSheetId="8">#REF!</definedName>
    <definedName name="_______GDP90" localSheetId="11">#REF!</definedName>
    <definedName name="_______GDP90" localSheetId="12">#REF!</definedName>
    <definedName name="_______GDP90" localSheetId="15">#REF!</definedName>
    <definedName name="_______GDP90" localSheetId="19">#REF!</definedName>
    <definedName name="_______GDP90" localSheetId="0">#REF!</definedName>
    <definedName name="_______GDP90" localSheetId="35">#REF!</definedName>
    <definedName name="_______GDP90">#REF!</definedName>
    <definedName name="_______GDP91" localSheetId="5">#REF!</definedName>
    <definedName name="_______GDP91" localSheetId="7">#REF!</definedName>
    <definedName name="_______GDP91" localSheetId="8">#REF!</definedName>
    <definedName name="_______GDP91" localSheetId="11">#REF!</definedName>
    <definedName name="_______GDP91" localSheetId="12">#REF!</definedName>
    <definedName name="_______GDP91" localSheetId="15">#REF!</definedName>
    <definedName name="_______GDP91" localSheetId="19">#REF!</definedName>
    <definedName name="_______GDP91" localSheetId="0">#REF!</definedName>
    <definedName name="_______GDP91" localSheetId="35">#REF!</definedName>
    <definedName name="_______GDP91">#REF!</definedName>
    <definedName name="_______GDP92" localSheetId="5">#REF!</definedName>
    <definedName name="_______GDP92" localSheetId="7">#REF!</definedName>
    <definedName name="_______GDP92" localSheetId="8">#REF!</definedName>
    <definedName name="_______GDP92" localSheetId="11">#REF!</definedName>
    <definedName name="_______GDP92" localSheetId="12">#REF!</definedName>
    <definedName name="_______GDP92" localSheetId="15">#REF!</definedName>
    <definedName name="_______GDP92" localSheetId="19">#REF!</definedName>
    <definedName name="_______GDP92" localSheetId="0">#REF!</definedName>
    <definedName name="_______GDP92" localSheetId="35">#REF!</definedName>
    <definedName name="_______GDP92">#REF!</definedName>
    <definedName name="_______GDP93" localSheetId="5">#REF!</definedName>
    <definedName name="_______GDP93" localSheetId="7">#REF!</definedName>
    <definedName name="_______GDP93" localSheetId="8">#REF!</definedName>
    <definedName name="_______GDP93" localSheetId="11">#REF!</definedName>
    <definedName name="_______GDP93" localSheetId="12">#REF!</definedName>
    <definedName name="_______GDP93" localSheetId="15">#REF!</definedName>
    <definedName name="_______GDP93" localSheetId="19">#REF!</definedName>
    <definedName name="_______GDP93" localSheetId="0">#REF!</definedName>
    <definedName name="_______GDP93" localSheetId="35">#REF!</definedName>
    <definedName name="_______GDP93">#REF!</definedName>
    <definedName name="_______GDP94" localSheetId="5">#REF!</definedName>
    <definedName name="_______GDP94" localSheetId="7">#REF!</definedName>
    <definedName name="_______GDP94" localSheetId="8">#REF!</definedName>
    <definedName name="_______GDP94" localSheetId="11">#REF!</definedName>
    <definedName name="_______GDP94" localSheetId="12">#REF!</definedName>
    <definedName name="_______GDP94" localSheetId="15">#REF!</definedName>
    <definedName name="_______GDP94" localSheetId="19">#REF!</definedName>
    <definedName name="_______GDP94" localSheetId="0">#REF!</definedName>
    <definedName name="_______GDP94" localSheetId="35">#REF!</definedName>
    <definedName name="_______GDP94">#REF!</definedName>
    <definedName name="_______PR1">#N/A</definedName>
    <definedName name="_______PR2">#N/A</definedName>
    <definedName name="_______PR3">#N/A</definedName>
    <definedName name="_______PR4">#N/A</definedName>
    <definedName name="______GDP80" localSheetId="5">#REF!</definedName>
    <definedName name="______GDP80" localSheetId="7">#REF!</definedName>
    <definedName name="______GDP80" localSheetId="8">#REF!</definedName>
    <definedName name="______GDP80" localSheetId="11">#REF!</definedName>
    <definedName name="______GDP80" localSheetId="12">#REF!</definedName>
    <definedName name="______GDP80" localSheetId="15">#REF!</definedName>
    <definedName name="______GDP80" localSheetId="16">#REF!</definedName>
    <definedName name="______GDP80" localSheetId="19">#REF!</definedName>
    <definedName name="______GDP80" localSheetId="23">#REF!</definedName>
    <definedName name="______GDP80" localSheetId="28">#REF!</definedName>
    <definedName name="______GDP80" localSheetId="30">#REF!</definedName>
    <definedName name="______GDP80" localSheetId="0">#REF!</definedName>
    <definedName name="______GDP80" localSheetId="35">#REF!</definedName>
    <definedName name="______GDP80" localSheetId="37">#REF!</definedName>
    <definedName name="______GDP80" localSheetId="38">#REF!</definedName>
    <definedName name="______GDP80">#REF!</definedName>
    <definedName name="______GDP81" localSheetId="5">#REF!</definedName>
    <definedName name="______GDP81" localSheetId="7">#REF!</definedName>
    <definedName name="______GDP81" localSheetId="8">#REF!</definedName>
    <definedName name="______GDP81" localSheetId="11">#REF!</definedName>
    <definedName name="______GDP81" localSheetId="12">#REF!</definedName>
    <definedName name="______GDP81" localSheetId="15">#REF!</definedName>
    <definedName name="______GDP81" localSheetId="16">#REF!</definedName>
    <definedName name="______GDP81" localSheetId="19">#REF!</definedName>
    <definedName name="______GDP81" localSheetId="23">#REF!</definedName>
    <definedName name="______GDP81" localSheetId="28">#REF!</definedName>
    <definedName name="______GDP81" localSheetId="30">#REF!</definedName>
    <definedName name="______GDP81" localSheetId="0">#REF!</definedName>
    <definedName name="______GDP81" localSheetId="35">#REF!</definedName>
    <definedName name="______GDP81" localSheetId="37">#REF!</definedName>
    <definedName name="______GDP81" localSheetId="38">#REF!</definedName>
    <definedName name="______GDP81">#REF!</definedName>
    <definedName name="______GDP82" localSheetId="5">#REF!</definedName>
    <definedName name="______GDP82" localSheetId="7">#REF!</definedName>
    <definedName name="______GDP82" localSheetId="8">#REF!</definedName>
    <definedName name="______GDP82" localSheetId="11">#REF!</definedName>
    <definedName name="______GDP82" localSheetId="12">#REF!</definedName>
    <definedName name="______GDP82" localSheetId="15">#REF!</definedName>
    <definedName name="______GDP82" localSheetId="19">#REF!</definedName>
    <definedName name="______GDP82" localSheetId="0">#REF!</definedName>
    <definedName name="______GDP82" localSheetId="35">#REF!</definedName>
    <definedName name="______GDP82">#REF!</definedName>
    <definedName name="______GDP83" localSheetId="5">#REF!</definedName>
    <definedName name="______GDP83" localSheetId="7">#REF!</definedName>
    <definedName name="______GDP83" localSheetId="8">#REF!</definedName>
    <definedName name="______GDP83" localSheetId="11">#REF!</definedName>
    <definedName name="______GDP83" localSheetId="12">#REF!</definedName>
    <definedName name="______GDP83" localSheetId="15">#REF!</definedName>
    <definedName name="______GDP83" localSheetId="19">#REF!</definedName>
    <definedName name="______GDP83" localSheetId="0">#REF!</definedName>
    <definedName name="______GDP83" localSheetId="35">#REF!</definedName>
    <definedName name="______GDP83">#REF!</definedName>
    <definedName name="______GDP84" localSheetId="5">#REF!</definedName>
    <definedName name="______GDP84" localSheetId="7">#REF!</definedName>
    <definedName name="______GDP84" localSheetId="8">#REF!</definedName>
    <definedName name="______GDP84" localSheetId="11">#REF!</definedName>
    <definedName name="______GDP84" localSheetId="12">#REF!</definedName>
    <definedName name="______GDP84" localSheetId="15">#REF!</definedName>
    <definedName name="______GDP84" localSheetId="19">#REF!</definedName>
    <definedName name="______GDP84" localSheetId="0">#REF!</definedName>
    <definedName name="______GDP84" localSheetId="35">#REF!</definedName>
    <definedName name="______GDP84">#REF!</definedName>
    <definedName name="______GDP85" localSheetId="5">#REF!</definedName>
    <definedName name="______GDP85" localSheetId="7">#REF!</definedName>
    <definedName name="______GDP85" localSheetId="8">#REF!</definedName>
    <definedName name="______GDP85" localSheetId="11">#REF!</definedName>
    <definedName name="______GDP85" localSheetId="12">#REF!</definedName>
    <definedName name="______GDP85" localSheetId="15">#REF!</definedName>
    <definedName name="______GDP85" localSheetId="19">#REF!</definedName>
    <definedName name="______GDP85" localSheetId="0">#REF!</definedName>
    <definedName name="______GDP85" localSheetId="35">#REF!</definedName>
    <definedName name="______GDP85">#REF!</definedName>
    <definedName name="______GDP86" localSheetId="5">#REF!</definedName>
    <definedName name="______GDP86" localSheetId="7">#REF!</definedName>
    <definedName name="______GDP86" localSheetId="8">#REF!</definedName>
    <definedName name="______GDP86" localSheetId="11">#REF!</definedName>
    <definedName name="______GDP86" localSheetId="12">#REF!</definedName>
    <definedName name="______GDP86" localSheetId="15">#REF!</definedName>
    <definedName name="______GDP86" localSheetId="19">#REF!</definedName>
    <definedName name="______GDP86" localSheetId="0">#REF!</definedName>
    <definedName name="______GDP86" localSheetId="35">#REF!</definedName>
    <definedName name="______GDP86">#REF!</definedName>
    <definedName name="______GDP87" localSheetId="5">#REF!</definedName>
    <definedName name="______GDP87" localSheetId="7">#REF!</definedName>
    <definedName name="______GDP87" localSheetId="8">#REF!</definedName>
    <definedName name="______GDP87" localSheetId="11">#REF!</definedName>
    <definedName name="______GDP87" localSheetId="12">#REF!</definedName>
    <definedName name="______GDP87" localSheetId="15">#REF!</definedName>
    <definedName name="______GDP87" localSheetId="19">#REF!</definedName>
    <definedName name="______GDP87" localSheetId="0">#REF!</definedName>
    <definedName name="______GDP87" localSheetId="35">#REF!</definedName>
    <definedName name="______GDP87">#REF!</definedName>
    <definedName name="______GDP88" localSheetId="5">#REF!</definedName>
    <definedName name="______GDP88" localSheetId="7">#REF!</definedName>
    <definedName name="______GDP88" localSheetId="8">#REF!</definedName>
    <definedName name="______GDP88" localSheetId="11">#REF!</definedName>
    <definedName name="______GDP88" localSheetId="12">#REF!</definedName>
    <definedName name="______GDP88" localSheetId="15">#REF!</definedName>
    <definedName name="______GDP88" localSheetId="19">#REF!</definedName>
    <definedName name="______GDP88" localSheetId="0">#REF!</definedName>
    <definedName name="______GDP88" localSheetId="35">#REF!</definedName>
    <definedName name="______GDP88">#REF!</definedName>
    <definedName name="______GDP89" localSheetId="5">#REF!</definedName>
    <definedName name="______GDP89" localSheetId="7">#REF!</definedName>
    <definedName name="______GDP89" localSheetId="8">#REF!</definedName>
    <definedName name="______GDP89" localSheetId="11">#REF!</definedName>
    <definedName name="______GDP89" localSheetId="12">#REF!</definedName>
    <definedName name="______GDP89" localSheetId="15">#REF!</definedName>
    <definedName name="______GDP89" localSheetId="19">#REF!</definedName>
    <definedName name="______GDP89" localSheetId="0">#REF!</definedName>
    <definedName name="______GDP89" localSheetId="35">#REF!</definedName>
    <definedName name="______GDP89">#REF!</definedName>
    <definedName name="______GDP90" localSheetId="5">#REF!</definedName>
    <definedName name="______GDP90" localSheetId="7">#REF!</definedName>
    <definedName name="______GDP90" localSheetId="8">#REF!</definedName>
    <definedName name="______GDP90" localSheetId="11">#REF!</definedName>
    <definedName name="______GDP90" localSheetId="12">#REF!</definedName>
    <definedName name="______GDP90" localSheetId="15">#REF!</definedName>
    <definedName name="______GDP90" localSheetId="19">#REF!</definedName>
    <definedName name="______GDP90" localSheetId="0">#REF!</definedName>
    <definedName name="______GDP90" localSheetId="35">#REF!</definedName>
    <definedName name="______GDP90">#REF!</definedName>
    <definedName name="______GDP91" localSheetId="5">#REF!</definedName>
    <definedName name="______GDP91" localSheetId="7">#REF!</definedName>
    <definedName name="______GDP91" localSheetId="8">#REF!</definedName>
    <definedName name="______GDP91" localSheetId="11">#REF!</definedName>
    <definedName name="______GDP91" localSheetId="12">#REF!</definedName>
    <definedName name="______GDP91" localSheetId="15">#REF!</definedName>
    <definedName name="______GDP91" localSheetId="19">#REF!</definedName>
    <definedName name="______GDP91" localSheetId="0">#REF!</definedName>
    <definedName name="______GDP91" localSheetId="35">#REF!</definedName>
    <definedName name="______GDP91">#REF!</definedName>
    <definedName name="______GDP92" localSheetId="5">#REF!</definedName>
    <definedName name="______GDP92" localSheetId="7">#REF!</definedName>
    <definedName name="______GDP92" localSheetId="8">#REF!</definedName>
    <definedName name="______GDP92" localSheetId="11">#REF!</definedName>
    <definedName name="______GDP92" localSheetId="12">#REF!</definedName>
    <definedName name="______GDP92" localSheetId="15">#REF!</definedName>
    <definedName name="______GDP92" localSheetId="19">#REF!</definedName>
    <definedName name="______GDP92" localSheetId="0">#REF!</definedName>
    <definedName name="______GDP92" localSheetId="35">#REF!</definedName>
    <definedName name="______GDP92">#REF!</definedName>
    <definedName name="______GDP93" localSheetId="5">#REF!</definedName>
    <definedName name="______GDP93" localSheetId="7">#REF!</definedName>
    <definedName name="______GDP93" localSheetId="8">#REF!</definedName>
    <definedName name="______GDP93" localSheetId="11">#REF!</definedName>
    <definedName name="______GDP93" localSheetId="12">#REF!</definedName>
    <definedName name="______GDP93" localSheetId="15">#REF!</definedName>
    <definedName name="______GDP93" localSheetId="19">#REF!</definedName>
    <definedName name="______GDP93" localSheetId="0">#REF!</definedName>
    <definedName name="______GDP93" localSheetId="35">#REF!</definedName>
    <definedName name="______GDP93">#REF!</definedName>
    <definedName name="______GDP94" localSheetId="5">#REF!</definedName>
    <definedName name="______GDP94" localSheetId="7">#REF!</definedName>
    <definedName name="______GDP94" localSheetId="8">#REF!</definedName>
    <definedName name="______GDP94" localSheetId="11">#REF!</definedName>
    <definedName name="______GDP94" localSheetId="12">#REF!</definedName>
    <definedName name="______GDP94" localSheetId="15">#REF!</definedName>
    <definedName name="______GDP94" localSheetId="19">#REF!</definedName>
    <definedName name="______GDP94" localSheetId="0">#REF!</definedName>
    <definedName name="______GDP94" localSheetId="35">#REF!</definedName>
    <definedName name="______GDP94">#REF!</definedName>
    <definedName name="______PR1">#N/A</definedName>
    <definedName name="______PR2">#N/A</definedName>
    <definedName name="______PR3">#N/A</definedName>
    <definedName name="______PR4">#N/A</definedName>
    <definedName name="_____GDP80" localSheetId="5">#REF!</definedName>
    <definedName name="_____GDP80" localSheetId="7">#REF!</definedName>
    <definedName name="_____GDP80" localSheetId="8">#REF!</definedName>
    <definedName name="_____GDP80" localSheetId="11">#REF!</definedName>
    <definedName name="_____GDP80" localSheetId="12">#REF!</definedName>
    <definedName name="_____GDP80" localSheetId="15">#REF!</definedName>
    <definedName name="_____GDP80" localSheetId="16">#REF!</definedName>
    <definedName name="_____GDP80" localSheetId="19">#REF!</definedName>
    <definedName name="_____GDP80" localSheetId="23">#REF!</definedName>
    <definedName name="_____GDP80" localSheetId="28">#REF!</definedName>
    <definedName name="_____GDP80" localSheetId="30">#REF!</definedName>
    <definedName name="_____GDP80" localSheetId="0">#REF!</definedName>
    <definedName name="_____GDP80" localSheetId="35">#REF!</definedName>
    <definedName name="_____GDP80" localSheetId="37">#REF!</definedName>
    <definedName name="_____GDP80" localSheetId="38">#REF!</definedName>
    <definedName name="_____GDP80">#REF!</definedName>
    <definedName name="_____GDP81" localSheetId="5">#REF!</definedName>
    <definedName name="_____GDP81" localSheetId="7">#REF!</definedName>
    <definedName name="_____GDP81" localSheetId="8">#REF!</definedName>
    <definedName name="_____GDP81" localSheetId="11">#REF!</definedName>
    <definedName name="_____GDP81" localSheetId="12">#REF!</definedName>
    <definedName name="_____GDP81" localSheetId="15">#REF!</definedName>
    <definedName name="_____GDP81" localSheetId="16">#REF!</definedName>
    <definedName name="_____GDP81" localSheetId="19">#REF!</definedName>
    <definedName name="_____GDP81" localSheetId="23">#REF!</definedName>
    <definedName name="_____GDP81" localSheetId="28">#REF!</definedName>
    <definedName name="_____GDP81" localSheetId="30">#REF!</definedName>
    <definedName name="_____GDP81" localSheetId="0">#REF!</definedName>
    <definedName name="_____GDP81" localSheetId="35">#REF!</definedName>
    <definedName name="_____GDP81" localSheetId="37">#REF!</definedName>
    <definedName name="_____GDP81" localSheetId="38">#REF!</definedName>
    <definedName name="_____GDP81">#REF!</definedName>
    <definedName name="_____GDP82" localSheetId="5">#REF!</definedName>
    <definedName name="_____GDP82" localSheetId="7">#REF!</definedName>
    <definedName name="_____GDP82" localSheetId="8">#REF!</definedName>
    <definedName name="_____GDP82" localSheetId="11">#REF!</definedName>
    <definedName name="_____GDP82" localSheetId="12">#REF!</definedName>
    <definedName name="_____GDP82" localSheetId="15">#REF!</definedName>
    <definedName name="_____GDP82" localSheetId="19">#REF!</definedName>
    <definedName name="_____GDP82" localSheetId="0">#REF!</definedName>
    <definedName name="_____GDP82" localSheetId="35">#REF!</definedName>
    <definedName name="_____GDP82">#REF!</definedName>
    <definedName name="_____GDP83" localSheetId="5">#REF!</definedName>
    <definedName name="_____GDP83" localSheetId="7">#REF!</definedName>
    <definedName name="_____GDP83" localSheetId="8">#REF!</definedName>
    <definedName name="_____GDP83" localSheetId="11">#REF!</definedName>
    <definedName name="_____GDP83" localSheetId="12">#REF!</definedName>
    <definedName name="_____GDP83" localSheetId="15">#REF!</definedName>
    <definedName name="_____GDP83" localSheetId="19">#REF!</definedName>
    <definedName name="_____GDP83" localSheetId="0">#REF!</definedName>
    <definedName name="_____GDP83" localSheetId="35">#REF!</definedName>
    <definedName name="_____GDP83">#REF!</definedName>
    <definedName name="_____GDP84" localSheetId="5">#REF!</definedName>
    <definedName name="_____GDP84" localSheetId="7">#REF!</definedName>
    <definedName name="_____GDP84" localSheetId="8">#REF!</definedName>
    <definedName name="_____GDP84" localSheetId="11">#REF!</definedName>
    <definedName name="_____GDP84" localSheetId="12">#REF!</definedName>
    <definedName name="_____GDP84" localSheetId="15">#REF!</definedName>
    <definedName name="_____GDP84" localSheetId="19">#REF!</definedName>
    <definedName name="_____GDP84" localSheetId="0">#REF!</definedName>
    <definedName name="_____GDP84" localSheetId="35">#REF!</definedName>
    <definedName name="_____GDP84">#REF!</definedName>
    <definedName name="_____GDP85" localSheetId="5">#REF!</definedName>
    <definedName name="_____GDP85" localSheetId="7">#REF!</definedName>
    <definedName name="_____GDP85" localSheetId="8">#REF!</definedName>
    <definedName name="_____GDP85" localSheetId="11">#REF!</definedName>
    <definedName name="_____GDP85" localSheetId="12">#REF!</definedName>
    <definedName name="_____GDP85" localSheetId="15">#REF!</definedName>
    <definedName name="_____GDP85" localSheetId="19">#REF!</definedName>
    <definedName name="_____GDP85" localSheetId="0">#REF!</definedName>
    <definedName name="_____GDP85" localSheetId="35">#REF!</definedName>
    <definedName name="_____GDP85">#REF!</definedName>
    <definedName name="_____GDP86" localSheetId="5">#REF!</definedName>
    <definedName name="_____GDP86" localSheetId="7">#REF!</definedName>
    <definedName name="_____GDP86" localSheetId="8">#REF!</definedName>
    <definedName name="_____GDP86" localSheetId="11">#REF!</definedName>
    <definedName name="_____GDP86" localSheetId="12">#REF!</definedName>
    <definedName name="_____GDP86" localSheetId="15">#REF!</definedName>
    <definedName name="_____GDP86" localSheetId="19">#REF!</definedName>
    <definedName name="_____GDP86" localSheetId="0">#REF!</definedName>
    <definedName name="_____GDP86" localSheetId="35">#REF!</definedName>
    <definedName name="_____GDP86">#REF!</definedName>
    <definedName name="_____GDP87" localSheetId="5">#REF!</definedName>
    <definedName name="_____GDP87" localSheetId="7">#REF!</definedName>
    <definedName name="_____GDP87" localSheetId="8">#REF!</definedName>
    <definedName name="_____GDP87" localSheetId="11">#REF!</definedName>
    <definedName name="_____GDP87" localSheetId="12">#REF!</definedName>
    <definedName name="_____GDP87" localSheetId="15">#REF!</definedName>
    <definedName name="_____GDP87" localSheetId="19">#REF!</definedName>
    <definedName name="_____GDP87" localSheetId="0">#REF!</definedName>
    <definedName name="_____GDP87" localSheetId="35">#REF!</definedName>
    <definedName name="_____GDP87">#REF!</definedName>
    <definedName name="_____GDP88" localSheetId="5">#REF!</definedName>
    <definedName name="_____GDP88" localSheetId="7">#REF!</definedName>
    <definedName name="_____GDP88" localSheetId="8">#REF!</definedName>
    <definedName name="_____GDP88" localSheetId="11">#REF!</definedName>
    <definedName name="_____GDP88" localSheetId="12">#REF!</definedName>
    <definedName name="_____GDP88" localSheetId="15">#REF!</definedName>
    <definedName name="_____GDP88" localSheetId="19">#REF!</definedName>
    <definedName name="_____GDP88" localSheetId="0">#REF!</definedName>
    <definedName name="_____GDP88" localSheetId="35">#REF!</definedName>
    <definedName name="_____GDP88">#REF!</definedName>
    <definedName name="_____GDP89" localSheetId="5">#REF!</definedName>
    <definedName name="_____GDP89" localSheetId="7">#REF!</definedName>
    <definedName name="_____GDP89" localSheetId="8">#REF!</definedName>
    <definedName name="_____GDP89" localSheetId="11">#REF!</definedName>
    <definedName name="_____GDP89" localSheetId="12">#REF!</definedName>
    <definedName name="_____GDP89" localSheetId="15">#REF!</definedName>
    <definedName name="_____GDP89" localSheetId="19">#REF!</definedName>
    <definedName name="_____GDP89" localSheetId="0">#REF!</definedName>
    <definedName name="_____GDP89" localSheetId="35">#REF!</definedName>
    <definedName name="_____GDP89">#REF!</definedName>
    <definedName name="_____GDP90" localSheetId="5">#REF!</definedName>
    <definedName name="_____GDP90" localSheetId="7">#REF!</definedName>
    <definedName name="_____GDP90" localSheetId="8">#REF!</definedName>
    <definedName name="_____GDP90" localSheetId="11">#REF!</definedName>
    <definedName name="_____GDP90" localSheetId="12">#REF!</definedName>
    <definedName name="_____GDP90" localSheetId="15">#REF!</definedName>
    <definedName name="_____GDP90" localSheetId="19">#REF!</definedName>
    <definedName name="_____GDP90" localSheetId="0">#REF!</definedName>
    <definedName name="_____GDP90" localSheetId="35">#REF!</definedName>
    <definedName name="_____GDP90">#REF!</definedName>
    <definedName name="_____GDP91" localSheetId="5">#REF!</definedName>
    <definedName name="_____GDP91" localSheetId="7">#REF!</definedName>
    <definedName name="_____GDP91" localSheetId="8">#REF!</definedName>
    <definedName name="_____GDP91" localSheetId="11">#REF!</definedName>
    <definedName name="_____GDP91" localSheetId="12">#REF!</definedName>
    <definedName name="_____GDP91" localSheetId="15">#REF!</definedName>
    <definedName name="_____GDP91" localSheetId="19">#REF!</definedName>
    <definedName name="_____GDP91" localSheetId="0">#REF!</definedName>
    <definedName name="_____GDP91" localSheetId="35">#REF!</definedName>
    <definedName name="_____GDP91">#REF!</definedName>
    <definedName name="_____GDP92" localSheetId="5">#REF!</definedName>
    <definedName name="_____GDP92" localSheetId="7">#REF!</definedName>
    <definedName name="_____GDP92" localSheetId="8">#REF!</definedName>
    <definedName name="_____GDP92" localSheetId="11">#REF!</definedName>
    <definedName name="_____GDP92" localSheetId="12">#REF!</definedName>
    <definedName name="_____GDP92" localSheetId="15">#REF!</definedName>
    <definedName name="_____GDP92" localSheetId="19">#REF!</definedName>
    <definedName name="_____GDP92" localSheetId="0">#REF!</definedName>
    <definedName name="_____GDP92" localSheetId="35">#REF!</definedName>
    <definedName name="_____GDP92">#REF!</definedName>
    <definedName name="_____GDP93" localSheetId="5">#REF!</definedName>
    <definedName name="_____GDP93" localSheetId="7">#REF!</definedName>
    <definedName name="_____GDP93" localSheetId="8">#REF!</definedName>
    <definedName name="_____GDP93" localSheetId="11">#REF!</definedName>
    <definedName name="_____GDP93" localSheetId="12">#REF!</definedName>
    <definedName name="_____GDP93" localSheetId="15">#REF!</definedName>
    <definedName name="_____GDP93" localSheetId="19">#REF!</definedName>
    <definedName name="_____GDP93" localSheetId="0">#REF!</definedName>
    <definedName name="_____GDP93" localSheetId="35">#REF!</definedName>
    <definedName name="_____GDP93">#REF!</definedName>
    <definedName name="_____GDP94" localSheetId="5">#REF!</definedName>
    <definedName name="_____GDP94" localSheetId="7">#REF!</definedName>
    <definedName name="_____GDP94" localSheetId="8">#REF!</definedName>
    <definedName name="_____GDP94" localSheetId="11">#REF!</definedName>
    <definedName name="_____GDP94" localSheetId="12">#REF!</definedName>
    <definedName name="_____GDP94" localSheetId="15">#REF!</definedName>
    <definedName name="_____GDP94" localSheetId="19">#REF!</definedName>
    <definedName name="_____GDP94" localSheetId="0">#REF!</definedName>
    <definedName name="_____GDP94" localSheetId="35">#REF!</definedName>
    <definedName name="_____GDP94">#REF!</definedName>
    <definedName name="_____PR1">#N/A</definedName>
    <definedName name="_____PR2">#N/A</definedName>
    <definedName name="_____PR3">#N/A</definedName>
    <definedName name="_____PR4">#N/A</definedName>
    <definedName name="____GDP80" localSheetId="5">#REF!</definedName>
    <definedName name="____GDP80" localSheetId="7">#REF!</definedName>
    <definedName name="____GDP80" localSheetId="8">#REF!</definedName>
    <definedName name="____GDP80" localSheetId="11">#REF!</definedName>
    <definedName name="____GDP80" localSheetId="12">#REF!</definedName>
    <definedName name="____GDP80" localSheetId="15">#REF!</definedName>
    <definedName name="____GDP80" localSheetId="16">#REF!</definedName>
    <definedName name="____GDP80" localSheetId="19">#REF!</definedName>
    <definedName name="____GDP80" localSheetId="23">#REF!</definedName>
    <definedName name="____GDP80" localSheetId="28">#REF!</definedName>
    <definedName name="____GDP80" localSheetId="30">#REF!</definedName>
    <definedName name="____GDP80" localSheetId="0">#REF!</definedName>
    <definedName name="____GDP80" localSheetId="35">#REF!</definedName>
    <definedName name="____GDP80" localSheetId="37">#REF!</definedName>
    <definedName name="____GDP80" localSheetId="38">#REF!</definedName>
    <definedName name="____GDP80">#REF!</definedName>
    <definedName name="____GDP81" localSheetId="5">#REF!</definedName>
    <definedName name="____GDP81" localSheetId="7">#REF!</definedName>
    <definedName name="____GDP81" localSheetId="8">#REF!</definedName>
    <definedName name="____GDP81" localSheetId="11">#REF!</definedName>
    <definedName name="____GDP81" localSheetId="12">#REF!</definedName>
    <definedName name="____GDP81" localSheetId="15">#REF!</definedName>
    <definedName name="____GDP81" localSheetId="16">#REF!</definedName>
    <definedName name="____GDP81" localSheetId="19">#REF!</definedName>
    <definedName name="____GDP81" localSheetId="23">#REF!</definedName>
    <definedName name="____GDP81" localSheetId="28">#REF!</definedName>
    <definedName name="____GDP81" localSheetId="30">#REF!</definedName>
    <definedName name="____GDP81" localSheetId="0">#REF!</definedName>
    <definedName name="____GDP81" localSheetId="35">#REF!</definedName>
    <definedName name="____GDP81" localSheetId="37">#REF!</definedName>
    <definedName name="____GDP81" localSheetId="38">#REF!</definedName>
    <definedName name="____GDP81">#REF!</definedName>
    <definedName name="____GDP82" localSheetId="5">#REF!</definedName>
    <definedName name="____GDP82" localSheetId="7">#REF!</definedName>
    <definedName name="____GDP82" localSheetId="8">#REF!</definedName>
    <definedName name="____GDP82" localSheetId="11">#REF!</definedName>
    <definedName name="____GDP82" localSheetId="12">#REF!</definedName>
    <definedName name="____GDP82" localSheetId="15">#REF!</definedName>
    <definedName name="____GDP82" localSheetId="19">#REF!</definedName>
    <definedName name="____GDP82" localSheetId="0">#REF!</definedName>
    <definedName name="____GDP82" localSheetId="35">#REF!</definedName>
    <definedName name="____GDP82">#REF!</definedName>
    <definedName name="____GDP83" localSheetId="5">#REF!</definedName>
    <definedName name="____GDP83" localSheetId="7">#REF!</definedName>
    <definedName name="____GDP83" localSheetId="8">#REF!</definedName>
    <definedName name="____GDP83" localSheetId="11">#REF!</definedName>
    <definedName name="____GDP83" localSheetId="12">#REF!</definedName>
    <definedName name="____GDP83" localSheetId="15">#REF!</definedName>
    <definedName name="____GDP83" localSheetId="19">#REF!</definedName>
    <definedName name="____GDP83" localSheetId="0">#REF!</definedName>
    <definedName name="____GDP83" localSheetId="35">#REF!</definedName>
    <definedName name="____GDP83">#REF!</definedName>
    <definedName name="____GDP84" localSheetId="5">#REF!</definedName>
    <definedName name="____GDP84" localSheetId="7">#REF!</definedName>
    <definedName name="____GDP84" localSheetId="8">#REF!</definedName>
    <definedName name="____GDP84" localSheetId="11">#REF!</definedName>
    <definedName name="____GDP84" localSheetId="12">#REF!</definedName>
    <definedName name="____GDP84" localSheetId="15">#REF!</definedName>
    <definedName name="____GDP84" localSheetId="19">#REF!</definedName>
    <definedName name="____GDP84" localSheetId="0">#REF!</definedName>
    <definedName name="____GDP84" localSheetId="35">#REF!</definedName>
    <definedName name="____GDP84">#REF!</definedName>
    <definedName name="____GDP85" localSheetId="5">#REF!</definedName>
    <definedName name="____GDP85" localSheetId="7">#REF!</definedName>
    <definedName name="____GDP85" localSheetId="8">#REF!</definedName>
    <definedName name="____GDP85" localSheetId="11">#REF!</definedName>
    <definedName name="____GDP85" localSheetId="12">#REF!</definedName>
    <definedName name="____GDP85" localSheetId="15">#REF!</definedName>
    <definedName name="____GDP85" localSheetId="19">#REF!</definedName>
    <definedName name="____GDP85" localSheetId="0">#REF!</definedName>
    <definedName name="____GDP85" localSheetId="35">#REF!</definedName>
    <definedName name="____GDP85">#REF!</definedName>
    <definedName name="____GDP86" localSheetId="5">#REF!</definedName>
    <definedName name="____GDP86" localSheetId="7">#REF!</definedName>
    <definedName name="____GDP86" localSheetId="8">#REF!</definedName>
    <definedName name="____GDP86" localSheetId="11">#REF!</definedName>
    <definedName name="____GDP86" localSheetId="12">#REF!</definedName>
    <definedName name="____GDP86" localSheetId="15">#REF!</definedName>
    <definedName name="____GDP86" localSheetId="19">#REF!</definedName>
    <definedName name="____GDP86" localSheetId="0">#REF!</definedName>
    <definedName name="____GDP86" localSheetId="35">#REF!</definedName>
    <definedName name="____GDP86">#REF!</definedName>
    <definedName name="____GDP87" localSheetId="5">#REF!</definedName>
    <definedName name="____GDP87" localSheetId="7">#REF!</definedName>
    <definedName name="____GDP87" localSheetId="8">#REF!</definedName>
    <definedName name="____GDP87" localSheetId="11">#REF!</definedName>
    <definedName name="____GDP87" localSheetId="12">#REF!</definedName>
    <definedName name="____GDP87" localSheetId="15">#REF!</definedName>
    <definedName name="____GDP87" localSheetId="19">#REF!</definedName>
    <definedName name="____GDP87" localSheetId="0">#REF!</definedName>
    <definedName name="____GDP87" localSheetId="35">#REF!</definedName>
    <definedName name="____GDP87">#REF!</definedName>
    <definedName name="____GDP88" localSheetId="5">#REF!</definedName>
    <definedName name="____GDP88" localSheetId="7">#REF!</definedName>
    <definedName name="____GDP88" localSheetId="8">#REF!</definedName>
    <definedName name="____GDP88" localSheetId="11">#REF!</definedName>
    <definedName name="____GDP88" localSheetId="12">#REF!</definedName>
    <definedName name="____GDP88" localSheetId="15">#REF!</definedName>
    <definedName name="____GDP88" localSheetId="19">#REF!</definedName>
    <definedName name="____GDP88" localSheetId="0">#REF!</definedName>
    <definedName name="____GDP88" localSheetId="35">#REF!</definedName>
    <definedName name="____GDP88">#REF!</definedName>
    <definedName name="____GDP89" localSheetId="5">#REF!</definedName>
    <definedName name="____GDP89" localSheetId="7">#REF!</definedName>
    <definedName name="____GDP89" localSheetId="8">#REF!</definedName>
    <definedName name="____GDP89" localSheetId="11">#REF!</definedName>
    <definedName name="____GDP89" localSheetId="12">#REF!</definedName>
    <definedName name="____GDP89" localSheetId="15">#REF!</definedName>
    <definedName name="____GDP89" localSheetId="19">#REF!</definedName>
    <definedName name="____GDP89" localSheetId="0">#REF!</definedName>
    <definedName name="____GDP89" localSheetId="35">#REF!</definedName>
    <definedName name="____GDP89">#REF!</definedName>
    <definedName name="____GDP90" localSheetId="5">#REF!</definedName>
    <definedName name="____GDP90" localSheetId="7">#REF!</definedName>
    <definedName name="____GDP90" localSheetId="8">#REF!</definedName>
    <definedName name="____GDP90" localSheetId="11">#REF!</definedName>
    <definedName name="____GDP90" localSheetId="12">#REF!</definedName>
    <definedName name="____GDP90" localSheetId="15">#REF!</definedName>
    <definedName name="____GDP90" localSheetId="19">#REF!</definedName>
    <definedName name="____GDP90" localSheetId="0">#REF!</definedName>
    <definedName name="____GDP90" localSheetId="35">#REF!</definedName>
    <definedName name="____GDP90">#REF!</definedName>
    <definedName name="____GDP91" localSheetId="5">#REF!</definedName>
    <definedName name="____GDP91" localSheetId="7">#REF!</definedName>
    <definedName name="____GDP91" localSheetId="8">#REF!</definedName>
    <definedName name="____GDP91" localSheetId="11">#REF!</definedName>
    <definedName name="____GDP91" localSheetId="12">#REF!</definedName>
    <definedName name="____GDP91" localSheetId="15">#REF!</definedName>
    <definedName name="____GDP91" localSheetId="19">#REF!</definedName>
    <definedName name="____GDP91" localSheetId="0">#REF!</definedName>
    <definedName name="____GDP91" localSheetId="35">#REF!</definedName>
    <definedName name="____GDP91">#REF!</definedName>
    <definedName name="____GDP92" localSheetId="5">#REF!</definedName>
    <definedName name="____GDP92" localSheetId="7">#REF!</definedName>
    <definedName name="____GDP92" localSheetId="8">#REF!</definedName>
    <definedName name="____GDP92" localSheetId="11">#REF!</definedName>
    <definedName name="____GDP92" localSheetId="12">#REF!</definedName>
    <definedName name="____GDP92" localSheetId="15">#REF!</definedName>
    <definedName name="____GDP92" localSheetId="19">#REF!</definedName>
    <definedName name="____GDP92" localSheetId="0">#REF!</definedName>
    <definedName name="____GDP92" localSheetId="35">#REF!</definedName>
    <definedName name="____GDP92">#REF!</definedName>
    <definedName name="____GDP93" localSheetId="5">#REF!</definedName>
    <definedName name="____GDP93" localSheetId="7">#REF!</definedName>
    <definedName name="____GDP93" localSheetId="8">#REF!</definedName>
    <definedName name="____GDP93" localSheetId="11">#REF!</definedName>
    <definedName name="____GDP93" localSheetId="12">#REF!</definedName>
    <definedName name="____GDP93" localSheetId="15">#REF!</definedName>
    <definedName name="____GDP93" localSheetId="19">#REF!</definedName>
    <definedName name="____GDP93" localSheetId="0">#REF!</definedName>
    <definedName name="____GDP93" localSheetId="35">#REF!</definedName>
    <definedName name="____GDP93">#REF!</definedName>
    <definedName name="____GDP94" localSheetId="5">#REF!</definedName>
    <definedName name="____GDP94" localSheetId="7">#REF!</definedName>
    <definedName name="____GDP94" localSheetId="8">#REF!</definedName>
    <definedName name="____GDP94" localSheetId="11">#REF!</definedName>
    <definedName name="____GDP94" localSheetId="12">#REF!</definedName>
    <definedName name="____GDP94" localSheetId="15">#REF!</definedName>
    <definedName name="____GDP94" localSheetId="19">#REF!</definedName>
    <definedName name="____GDP94" localSheetId="0">#REF!</definedName>
    <definedName name="____GDP94" localSheetId="35">#REF!</definedName>
    <definedName name="____GDP94">#REF!</definedName>
    <definedName name="____PR1">#N/A</definedName>
    <definedName name="____PR2">#N/A</definedName>
    <definedName name="____PR3">#N/A</definedName>
    <definedName name="____PR4">#N/A</definedName>
    <definedName name="___GDP80" localSheetId="5">#REF!</definedName>
    <definedName name="___GDP80" localSheetId="7">#REF!</definedName>
    <definedName name="___GDP80" localSheetId="8">#REF!</definedName>
    <definedName name="___GDP80" localSheetId="11">#REF!</definedName>
    <definedName name="___GDP80" localSheetId="12">#REF!</definedName>
    <definedName name="___GDP80" localSheetId="15">#REF!</definedName>
    <definedName name="___GDP80" localSheetId="16">#REF!</definedName>
    <definedName name="___GDP80" localSheetId="19">#REF!</definedName>
    <definedName name="___GDP80" localSheetId="23">#REF!</definedName>
    <definedName name="___GDP80" localSheetId="28">#REF!</definedName>
    <definedName name="___GDP80" localSheetId="30">#REF!</definedName>
    <definedName name="___GDP80" localSheetId="0">#REF!</definedName>
    <definedName name="___GDP80" localSheetId="35">#REF!</definedName>
    <definedName name="___GDP80" localSheetId="37">#REF!</definedName>
    <definedName name="___GDP80" localSheetId="38">#REF!</definedName>
    <definedName name="___GDP80">#REF!</definedName>
    <definedName name="___GDP81" localSheetId="5">#REF!</definedName>
    <definedName name="___GDP81" localSheetId="7">#REF!</definedName>
    <definedName name="___GDP81" localSheetId="8">#REF!</definedName>
    <definedName name="___GDP81" localSheetId="11">#REF!</definedName>
    <definedName name="___GDP81" localSheetId="12">#REF!</definedName>
    <definedName name="___GDP81" localSheetId="15">#REF!</definedName>
    <definedName name="___GDP81" localSheetId="16">#REF!</definedName>
    <definedName name="___GDP81" localSheetId="19">#REF!</definedName>
    <definedName name="___GDP81" localSheetId="23">#REF!</definedName>
    <definedName name="___GDP81" localSheetId="28">#REF!</definedName>
    <definedName name="___GDP81" localSheetId="30">#REF!</definedName>
    <definedName name="___GDP81" localSheetId="0">#REF!</definedName>
    <definedName name="___GDP81" localSheetId="35">#REF!</definedName>
    <definedName name="___GDP81" localSheetId="37">#REF!</definedName>
    <definedName name="___GDP81" localSheetId="38">#REF!</definedName>
    <definedName name="___GDP81">#REF!</definedName>
    <definedName name="___GDP82" localSheetId="5">#REF!</definedName>
    <definedName name="___GDP82" localSheetId="7">#REF!</definedName>
    <definedName name="___GDP82" localSheetId="8">#REF!</definedName>
    <definedName name="___GDP82" localSheetId="11">#REF!</definedName>
    <definedName name="___GDP82" localSheetId="12">#REF!</definedName>
    <definedName name="___GDP82" localSheetId="15">#REF!</definedName>
    <definedName name="___GDP82" localSheetId="19">#REF!</definedName>
    <definedName name="___GDP82" localSheetId="0">#REF!</definedName>
    <definedName name="___GDP82" localSheetId="35">#REF!</definedName>
    <definedName name="___GDP82">#REF!</definedName>
    <definedName name="___GDP83" localSheetId="5">#REF!</definedName>
    <definedName name="___GDP83" localSheetId="7">#REF!</definedName>
    <definedName name="___GDP83" localSheetId="8">#REF!</definedName>
    <definedName name="___GDP83" localSheetId="11">#REF!</definedName>
    <definedName name="___GDP83" localSheetId="12">#REF!</definedName>
    <definedName name="___GDP83" localSheetId="15">#REF!</definedName>
    <definedName name="___GDP83" localSheetId="19">#REF!</definedName>
    <definedName name="___GDP83" localSheetId="0">#REF!</definedName>
    <definedName name="___GDP83" localSheetId="35">#REF!</definedName>
    <definedName name="___GDP83">#REF!</definedName>
    <definedName name="___GDP84" localSheetId="5">#REF!</definedName>
    <definedName name="___GDP84" localSheetId="7">#REF!</definedName>
    <definedName name="___GDP84" localSheetId="8">#REF!</definedName>
    <definedName name="___GDP84" localSheetId="11">#REF!</definedName>
    <definedName name="___GDP84" localSheetId="12">#REF!</definedName>
    <definedName name="___GDP84" localSheetId="15">#REF!</definedName>
    <definedName name="___GDP84" localSheetId="19">#REF!</definedName>
    <definedName name="___GDP84" localSheetId="0">#REF!</definedName>
    <definedName name="___GDP84" localSheetId="35">#REF!</definedName>
    <definedName name="___GDP84">#REF!</definedName>
    <definedName name="___GDP85" localSheetId="5">#REF!</definedName>
    <definedName name="___GDP85" localSheetId="7">#REF!</definedName>
    <definedName name="___GDP85" localSheetId="8">#REF!</definedName>
    <definedName name="___GDP85" localSheetId="11">#REF!</definedName>
    <definedName name="___GDP85" localSheetId="12">#REF!</definedName>
    <definedName name="___GDP85" localSheetId="15">#REF!</definedName>
    <definedName name="___GDP85" localSheetId="19">#REF!</definedName>
    <definedName name="___GDP85" localSheetId="0">#REF!</definedName>
    <definedName name="___GDP85" localSheetId="35">#REF!</definedName>
    <definedName name="___GDP85">#REF!</definedName>
    <definedName name="___GDP86" localSheetId="5">#REF!</definedName>
    <definedName name="___GDP86" localSheetId="7">#REF!</definedName>
    <definedName name="___GDP86" localSheetId="8">#REF!</definedName>
    <definedName name="___GDP86" localSheetId="11">#REF!</definedName>
    <definedName name="___GDP86" localSheetId="12">#REF!</definedName>
    <definedName name="___GDP86" localSheetId="15">#REF!</definedName>
    <definedName name="___GDP86" localSheetId="19">#REF!</definedName>
    <definedName name="___GDP86" localSheetId="0">#REF!</definedName>
    <definedName name="___GDP86" localSheetId="35">#REF!</definedName>
    <definedName name="___GDP86">#REF!</definedName>
    <definedName name="___GDP87" localSheetId="5">#REF!</definedName>
    <definedName name="___GDP87" localSheetId="7">#REF!</definedName>
    <definedName name="___GDP87" localSheetId="8">#REF!</definedName>
    <definedName name="___GDP87" localSheetId="11">#REF!</definedName>
    <definedName name="___GDP87" localSheetId="12">#REF!</definedName>
    <definedName name="___GDP87" localSheetId="15">#REF!</definedName>
    <definedName name="___GDP87" localSheetId="19">#REF!</definedName>
    <definedName name="___GDP87" localSheetId="0">#REF!</definedName>
    <definedName name="___GDP87" localSheetId="35">#REF!</definedName>
    <definedName name="___GDP87">#REF!</definedName>
    <definedName name="___GDP88" localSheetId="5">#REF!</definedName>
    <definedName name="___GDP88" localSheetId="7">#REF!</definedName>
    <definedName name="___GDP88" localSheetId="8">#REF!</definedName>
    <definedName name="___GDP88" localSheetId="11">#REF!</definedName>
    <definedName name="___GDP88" localSheetId="12">#REF!</definedName>
    <definedName name="___GDP88" localSheetId="15">#REF!</definedName>
    <definedName name="___GDP88" localSheetId="19">#REF!</definedName>
    <definedName name="___GDP88" localSheetId="0">#REF!</definedName>
    <definedName name="___GDP88" localSheetId="35">#REF!</definedName>
    <definedName name="___GDP88">#REF!</definedName>
    <definedName name="___GDP89" localSheetId="5">#REF!</definedName>
    <definedName name="___GDP89" localSheetId="7">#REF!</definedName>
    <definedName name="___GDP89" localSheetId="8">#REF!</definedName>
    <definedName name="___GDP89" localSheetId="11">#REF!</definedName>
    <definedName name="___GDP89" localSheetId="12">#REF!</definedName>
    <definedName name="___GDP89" localSheetId="15">#REF!</definedName>
    <definedName name="___GDP89" localSheetId="19">#REF!</definedName>
    <definedName name="___GDP89" localSheetId="0">#REF!</definedName>
    <definedName name="___GDP89" localSheetId="35">#REF!</definedName>
    <definedName name="___GDP89">#REF!</definedName>
    <definedName name="___GDP90" localSheetId="5">#REF!</definedName>
    <definedName name="___GDP90" localSheetId="7">#REF!</definedName>
    <definedName name="___GDP90" localSheetId="8">#REF!</definedName>
    <definedName name="___GDP90" localSheetId="11">#REF!</definedName>
    <definedName name="___GDP90" localSheetId="12">#REF!</definedName>
    <definedName name="___GDP90" localSheetId="15">#REF!</definedName>
    <definedName name="___GDP90" localSheetId="19">#REF!</definedName>
    <definedName name="___GDP90" localSheetId="0">#REF!</definedName>
    <definedName name="___GDP90" localSheetId="35">#REF!</definedName>
    <definedName name="___GDP90">#REF!</definedName>
    <definedName name="___GDP91" localSheetId="5">#REF!</definedName>
    <definedName name="___GDP91" localSheetId="7">#REF!</definedName>
    <definedName name="___GDP91" localSheetId="8">#REF!</definedName>
    <definedName name="___GDP91" localSheetId="11">#REF!</definedName>
    <definedName name="___GDP91" localSheetId="12">#REF!</definedName>
    <definedName name="___GDP91" localSheetId="15">#REF!</definedName>
    <definedName name="___GDP91" localSheetId="19">#REF!</definedName>
    <definedName name="___GDP91" localSheetId="0">#REF!</definedName>
    <definedName name="___GDP91" localSheetId="35">#REF!</definedName>
    <definedName name="___GDP91">#REF!</definedName>
    <definedName name="___GDP92" localSheetId="5">#REF!</definedName>
    <definedName name="___GDP92" localSheetId="7">#REF!</definedName>
    <definedName name="___GDP92" localSheetId="8">#REF!</definedName>
    <definedName name="___GDP92" localSheetId="11">#REF!</definedName>
    <definedName name="___GDP92" localSheetId="12">#REF!</definedName>
    <definedName name="___GDP92" localSheetId="15">#REF!</definedName>
    <definedName name="___GDP92" localSheetId="19">#REF!</definedName>
    <definedName name="___GDP92" localSheetId="0">#REF!</definedName>
    <definedName name="___GDP92" localSheetId="35">#REF!</definedName>
    <definedName name="___GDP92">#REF!</definedName>
    <definedName name="___GDP93" localSheetId="5">#REF!</definedName>
    <definedName name="___GDP93" localSheetId="7">#REF!</definedName>
    <definedName name="___GDP93" localSheetId="8">#REF!</definedName>
    <definedName name="___GDP93" localSheetId="11">#REF!</definedName>
    <definedName name="___GDP93" localSheetId="12">#REF!</definedName>
    <definedName name="___GDP93" localSheetId="15">#REF!</definedName>
    <definedName name="___GDP93" localSheetId="19">#REF!</definedName>
    <definedName name="___GDP93" localSheetId="0">#REF!</definedName>
    <definedName name="___GDP93" localSheetId="35">#REF!</definedName>
    <definedName name="___GDP93">#REF!</definedName>
    <definedName name="___GDP94" localSheetId="5">#REF!</definedName>
    <definedName name="___GDP94" localSheetId="7">#REF!</definedName>
    <definedName name="___GDP94" localSheetId="8">#REF!</definedName>
    <definedName name="___GDP94" localSheetId="11">#REF!</definedName>
    <definedName name="___GDP94" localSheetId="12">#REF!</definedName>
    <definedName name="___GDP94" localSheetId="15">#REF!</definedName>
    <definedName name="___GDP94" localSheetId="19">#REF!</definedName>
    <definedName name="___GDP94" localSheetId="0">#REF!</definedName>
    <definedName name="___GDP94" localSheetId="35">#REF!</definedName>
    <definedName name="___GDP94">#REF!</definedName>
    <definedName name="___PR1">#N/A</definedName>
    <definedName name="___PR2">#N/A</definedName>
    <definedName name="___PR3">#N/A</definedName>
    <definedName name="___PR4">#N/A</definedName>
    <definedName name="__GDP80" localSheetId="5">#REF!</definedName>
    <definedName name="__GDP80" localSheetId="7">#REF!</definedName>
    <definedName name="__GDP80" localSheetId="8">#REF!</definedName>
    <definedName name="__GDP80" localSheetId="11">#REF!</definedName>
    <definedName name="__GDP80" localSheetId="12">#REF!</definedName>
    <definedName name="__GDP80" localSheetId="15">#REF!</definedName>
    <definedName name="__GDP80" localSheetId="16">#REF!</definedName>
    <definedName name="__GDP80" localSheetId="19">#REF!</definedName>
    <definedName name="__GDP80" localSheetId="23">#REF!</definedName>
    <definedName name="__GDP80" localSheetId="28">#REF!</definedName>
    <definedName name="__GDP80" localSheetId="30">#REF!</definedName>
    <definedName name="__GDP80" localSheetId="0">#REF!</definedName>
    <definedName name="__GDP80" localSheetId="35">#REF!</definedName>
    <definedName name="__GDP80" localSheetId="37">#REF!</definedName>
    <definedName name="__GDP80" localSheetId="38">#REF!</definedName>
    <definedName name="__GDP80">#REF!</definedName>
    <definedName name="__GDP81" localSheetId="5">#REF!</definedName>
    <definedName name="__GDP81" localSheetId="7">#REF!</definedName>
    <definedName name="__GDP81" localSheetId="8">#REF!</definedName>
    <definedName name="__GDP81" localSheetId="11">#REF!</definedName>
    <definedName name="__GDP81" localSheetId="12">#REF!</definedName>
    <definedName name="__GDP81" localSheetId="15">#REF!</definedName>
    <definedName name="__GDP81" localSheetId="16">#REF!</definedName>
    <definedName name="__GDP81" localSheetId="19">#REF!</definedName>
    <definedName name="__GDP81" localSheetId="23">#REF!</definedName>
    <definedName name="__GDP81" localSheetId="28">#REF!</definedName>
    <definedName name="__GDP81" localSheetId="30">#REF!</definedName>
    <definedName name="__GDP81" localSheetId="0">#REF!</definedName>
    <definedName name="__GDP81" localSheetId="35">#REF!</definedName>
    <definedName name="__GDP81" localSheetId="37">#REF!</definedName>
    <definedName name="__GDP81" localSheetId="38">#REF!</definedName>
    <definedName name="__GDP81">#REF!</definedName>
    <definedName name="__GDP82" localSheetId="5">#REF!</definedName>
    <definedName name="__GDP82" localSheetId="7">#REF!</definedName>
    <definedName name="__GDP82" localSheetId="8">#REF!</definedName>
    <definedName name="__GDP82" localSheetId="11">#REF!</definedName>
    <definedName name="__GDP82" localSheetId="12">#REF!</definedName>
    <definedName name="__GDP82" localSheetId="15">#REF!</definedName>
    <definedName name="__GDP82" localSheetId="19">#REF!</definedName>
    <definedName name="__GDP82" localSheetId="0">#REF!</definedName>
    <definedName name="__GDP82" localSheetId="35">#REF!</definedName>
    <definedName name="__GDP82">#REF!</definedName>
    <definedName name="__GDP83" localSheetId="5">#REF!</definedName>
    <definedName name="__GDP83" localSheetId="7">#REF!</definedName>
    <definedName name="__GDP83" localSheetId="8">#REF!</definedName>
    <definedName name="__GDP83" localSheetId="11">#REF!</definedName>
    <definedName name="__GDP83" localSheetId="12">#REF!</definedName>
    <definedName name="__GDP83" localSheetId="15">#REF!</definedName>
    <definedName name="__GDP83" localSheetId="19">#REF!</definedName>
    <definedName name="__GDP83" localSheetId="0">#REF!</definedName>
    <definedName name="__GDP83" localSheetId="35">#REF!</definedName>
    <definedName name="__GDP83">#REF!</definedName>
    <definedName name="__GDP84" localSheetId="5">#REF!</definedName>
    <definedName name="__GDP84" localSheetId="7">#REF!</definedName>
    <definedName name="__GDP84" localSheetId="8">#REF!</definedName>
    <definedName name="__GDP84" localSheetId="11">#REF!</definedName>
    <definedName name="__GDP84" localSheetId="12">#REF!</definedName>
    <definedName name="__GDP84" localSheetId="15">#REF!</definedName>
    <definedName name="__GDP84" localSheetId="19">#REF!</definedName>
    <definedName name="__GDP84" localSheetId="0">#REF!</definedName>
    <definedName name="__GDP84" localSheetId="35">#REF!</definedName>
    <definedName name="__GDP84">#REF!</definedName>
    <definedName name="__GDP85" localSheetId="5">#REF!</definedName>
    <definedName name="__GDP85" localSheetId="7">#REF!</definedName>
    <definedName name="__GDP85" localSheetId="8">#REF!</definedName>
    <definedName name="__GDP85" localSheetId="11">#REF!</definedName>
    <definedName name="__GDP85" localSheetId="12">#REF!</definedName>
    <definedName name="__GDP85" localSheetId="15">#REF!</definedName>
    <definedName name="__GDP85" localSheetId="19">#REF!</definedName>
    <definedName name="__GDP85" localSheetId="0">#REF!</definedName>
    <definedName name="__GDP85" localSheetId="35">#REF!</definedName>
    <definedName name="__GDP85">#REF!</definedName>
    <definedName name="__GDP86" localSheetId="5">#REF!</definedName>
    <definedName name="__GDP86" localSheetId="7">#REF!</definedName>
    <definedName name="__GDP86" localSheetId="8">#REF!</definedName>
    <definedName name="__GDP86" localSheetId="11">#REF!</definedName>
    <definedName name="__GDP86" localSheetId="12">#REF!</definedName>
    <definedName name="__GDP86" localSheetId="15">#REF!</definedName>
    <definedName name="__GDP86" localSheetId="19">#REF!</definedName>
    <definedName name="__GDP86" localSheetId="0">#REF!</definedName>
    <definedName name="__GDP86" localSheetId="35">#REF!</definedName>
    <definedName name="__GDP86">#REF!</definedName>
    <definedName name="__GDP87" localSheetId="5">#REF!</definedName>
    <definedName name="__GDP87" localSheetId="7">#REF!</definedName>
    <definedName name="__GDP87" localSheetId="8">#REF!</definedName>
    <definedName name="__GDP87" localSheetId="11">#REF!</definedName>
    <definedName name="__GDP87" localSheetId="12">#REF!</definedName>
    <definedName name="__GDP87" localSheetId="15">#REF!</definedName>
    <definedName name="__GDP87" localSheetId="19">#REF!</definedName>
    <definedName name="__GDP87" localSheetId="0">#REF!</definedName>
    <definedName name="__GDP87" localSheetId="35">#REF!</definedName>
    <definedName name="__GDP87">#REF!</definedName>
    <definedName name="__GDP88" localSheetId="5">#REF!</definedName>
    <definedName name="__GDP88" localSheetId="7">#REF!</definedName>
    <definedName name="__GDP88" localSheetId="8">#REF!</definedName>
    <definedName name="__GDP88" localSheetId="11">#REF!</definedName>
    <definedName name="__GDP88" localSheetId="12">#REF!</definedName>
    <definedName name="__GDP88" localSheetId="15">#REF!</definedName>
    <definedName name="__GDP88" localSheetId="19">#REF!</definedName>
    <definedName name="__GDP88" localSheetId="0">#REF!</definedName>
    <definedName name="__GDP88" localSheetId="35">#REF!</definedName>
    <definedName name="__GDP88">#REF!</definedName>
    <definedName name="__GDP89" localSheetId="5">#REF!</definedName>
    <definedName name="__GDP89" localSheetId="7">#REF!</definedName>
    <definedName name="__GDP89" localSheetId="8">#REF!</definedName>
    <definedName name="__GDP89" localSheetId="11">#REF!</definedName>
    <definedName name="__GDP89" localSheetId="12">#REF!</definedName>
    <definedName name="__GDP89" localSheetId="15">#REF!</definedName>
    <definedName name="__GDP89" localSheetId="19">#REF!</definedName>
    <definedName name="__GDP89" localSheetId="0">#REF!</definedName>
    <definedName name="__GDP89" localSheetId="35">#REF!</definedName>
    <definedName name="__GDP89">#REF!</definedName>
    <definedName name="__GDP90" localSheetId="5">#REF!</definedName>
    <definedName name="__GDP90" localSheetId="7">#REF!</definedName>
    <definedName name="__GDP90" localSheetId="8">#REF!</definedName>
    <definedName name="__GDP90" localSheetId="11">#REF!</definedName>
    <definedName name="__GDP90" localSheetId="12">#REF!</definedName>
    <definedName name="__GDP90" localSheetId="15">#REF!</definedName>
    <definedName name="__GDP90" localSheetId="19">#REF!</definedName>
    <definedName name="__GDP90" localSheetId="0">#REF!</definedName>
    <definedName name="__GDP90" localSheetId="35">#REF!</definedName>
    <definedName name="__GDP90">#REF!</definedName>
    <definedName name="__GDP91" localSheetId="5">#REF!</definedName>
    <definedName name="__GDP91" localSheetId="7">#REF!</definedName>
    <definedName name="__GDP91" localSheetId="8">#REF!</definedName>
    <definedName name="__GDP91" localSheetId="11">#REF!</definedName>
    <definedName name="__GDP91" localSheetId="12">#REF!</definedName>
    <definedName name="__GDP91" localSheetId="15">#REF!</definedName>
    <definedName name="__GDP91" localSheetId="19">#REF!</definedName>
    <definedName name="__GDP91" localSheetId="0">#REF!</definedName>
    <definedName name="__GDP91" localSheetId="35">#REF!</definedName>
    <definedName name="__GDP91">#REF!</definedName>
    <definedName name="__GDP92" localSheetId="5">#REF!</definedName>
    <definedName name="__GDP92" localSheetId="7">#REF!</definedName>
    <definedName name="__GDP92" localSheetId="8">#REF!</definedName>
    <definedName name="__GDP92" localSheetId="11">#REF!</definedName>
    <definedName name="__GDP92" localSheetId="12">#REF!</definedName>
    <definedName name="__GDP92" localSheetId="15">#REF!</definedName>
    <definedName name="__GDP92" localSheetId="19">#REF!</definedName>
    <definedName name="__GDP92" localSheetId="0">#REF!</definedName>
    <definedName name="__GDP92" localSheetId="35">#REF!</definedName>
    <definedName name="__GDP92">#REF!</definedName>
    <definedName name="__GDP93" localSheetId="5">#REF!</definedName>
    <definedName name="__GDP93" localSheetId="7">#REF!</definedName>
    <definedName name="__GDP93" localSheetId="8">#REF!</definedName>
    <definedName name="__GDP93" localSheetId="11">#REF!</definedName>
    <definedName name="__GDP93" localSheetId="12">#REF!</definedName>
    <definedName name="__GDP93" localSheetId="15">#REF!</definedName>
    <definedName name="__GDP93" localSheetId="19">#REF!</definedName>
    <definedName name="__GDP93" localSheetId="0">#REF!</definedName>
    <definedName name="__GDP93" localSheetId="35">#REF!</definedName>
    <definedName name="__GDP93">#REF!</definedName>
    <definedName name="__GDP94" localSheetId="5">#REF!</definedName>
    <definedName name="__GDP94" localSheetId="7">#REF!</definedName>
    <definedName name="__GDP94" localSheetId="8">#REF!</definedName>
    <definedName name="__GDP94" localSheetId="11">#REF!</definedName>
    <definedName name="__GDP94" localSheetId="12">#REF!</definedName>
    <definedName name="__GDP94" localSheetId="15">#REF!</definedName>
    <definedName name="__GDP94" localSheetId="19">#REF!</definedName>
    <definedName name="__GDP94" localSheetId="0">#REF!</definedName>
    <definedName name="__GDP94" localSheetId="35">#REF!</definedName>
    <definedName name="__GDP94">#REF!</definedName>
    <definedName name="__PR1">#N/A</definedName>
    <definedName name="__PR2">#N/A</definedName>
    <definedName name="__PR3">#N/A</definedName>
    <definedName name="__PR4">#N/A</definedName>
    <definedName name="_GDP80" localSheetId="5">#REF!</definedName>
    <definedName name="_GDP80" localSheetId="7">#REF!</definedName>
    <definedName name="_GDP80" localSheetId="8">#REF!</definedName>
    <definedName name="_GDP80" localSheetId="11">#REF!</definedName>
    <definedName name="_GDP80" localSheetId="12">#REF!</definedName>
    <definedName name="_GDP80" localSheetId="15">#REF!</definedName>
    <definedName name="_GDP80" localSheetId="16">#REF!</definedName>
    <definedName name="_GDP80" localSheetId="19">#REF!</definedName>
    <definedName name="_GDP80" localSheetId="23">#REF!</definedName>
    <definedName name="_GDP80" localSheetId="28">#REF!</definedName>
    <definedName name="_GDP80" localSheetId="30">#REF!</definedName>
    <definedName name="_GDP80" localSheetId="0">#REF!</definedName>
    <definedName name="_GDP80" localSheetId="35">#REF!</definedName>
    <definedName name="_GDP80" localSheetId="37">#REF!</definedName>
    <definedName name="_GDP80" localSheetId="38">#REF!</definedName>
    <definedName name="_GDP80">#REF!</definedName>
    <definedName name="_GDP81" localSheetId="5">#REF!</definedName>
    <definedName name="_GDP81" localSheetId="7">#REF!</definedName>
    <definedName name="_GDP81" localSheetId="8">#REF!</definedName>
    <definedName name="_GDP81" localSheetId="11">#REF!</definedName>
    <definedName name="_GDP81" localSheetId="12">#REF!</definedName>
    <definedName name="_GDP81" localSheetId="15">#REF!</definedName>
    <definedName name="_GDP81" localSheetId="16">#REF!</definedName>
    <definedName name="_GDP81" localSheetId="19">#REF!</definedName>
    <definedName name="_GDP81" localSheetId="23">#REF!</definedName>
    <definedName name="_GDP81" localSheetId="28">#REF!</definedName>
    <definedName name="_GDP81" localSheetId="30">#REF!</definedName>
    <definedName name="_GDP81" localSheetId="0">#REF!</definedName>
    <definedName name="_GDP81" localSheetId="35">#REF!</definedName>
    <definedName name="_GDP81" localSheetId="37">#REF!</definedName>
    <definedName name="_GDP81" localSheetId="38">#REF!</definedName>
    <definedName name="_GDP81">#REF!</definedName>
    <definedName name="_GDP82" localSheetId="5">#REF!</definedName>
    <definedName name="_GDP82" localSheetId="7">#REF!</definedName>
    <definedName name="_GDP82" localSheetId="8">#REF!</definedName>
    <definedName name="_GDP82" localSheetId="11">#REF!</definedName>
    <definedName name="_GDP82" localSheetId="12">#REF!</definedName>
    <definedName name="_GDP82" localSheetId="15">#REF!</definedName>
    <definedName name="_GDP82" localSheetId="19">#REF!</definedName>
    <definedName name="_GDP82" localSheetId="0">#REF!</definedName>
    <definedName name="_GDP82" localSheetId="35">#REF!</definedName>
    <definedName name="_GDP82">#REF!</definedName>
    <definedName name="_GDP83" localSheetId="5">#REF!</definedName>
    <definedName name="_GDP83" localSheetId="7">#REF!</definedName>
    <definedName name="_GDP83" localSheetId="8">#REF!</definedName>
    <definedName name="_GDP83" localSheetId="11">#REF!</definedName>
    <definedName name="_GDP83" localSheetId="12">#REF!</definedName>
    <definedName name="_GDP83" localSheetId="15">#REF!</definedName>
    <definedName name="_GDP83" localSheetId="19">#REF!</definedName>
    <definedName name="_GDP83" localSheetId="0">#REF!</definedName>
    <definedName name="_GDP83" localSheetId="35">#REF!</definedName>
    <definedName name="_GDP83">#REF!</definedName>
    <definedName name="_GDP84" localSheetId="5">#REF!</definedName>
    <definedName name="_GDP84" localSheetId="7">#REF!</definedName>
    <definedName name="_GDP84" localSheetId="8">#REF!</definedName>
    <definedName name="_GDP84" localSheetId="11">#REF!</definedName>
    <definedName name="_GDP84" localSheetId="12">#REF!</definedName>
    <definedName name="_GDP84" localSheetId="15">#REF!</definedName>
    <definedName name="_GDP84" localSheetId="19">#REF!</definedName>
    <definedName name="_GDP84" localSheetId="0">#REF!</definedName>
    <definedName name="_GDP84" localSheetId="35">#REF!</definedName>
    <definedName name="_GDP84">#REF!</definedName>
    <definedName name="_GDP85" localSheetId="5">#REF!</definedName>
    <definedName name="_GDP85" localSheetId="7">#REF!</definedName>
    <definedName name="_GDP85" localSheetId="8">#REF!</definedName>
    <definedName name="_GDP85" localSheetId="11">#REF!</definedName>
    <definedName name="_GDP85" localSheetId="12">#REF!</definedName>
    <definedName name="_GDP85" localSheetId="15">#REF!</definedName>
    <definedName name="_GDP85" localSheetId="19">#REF!</definedName>
    <definedName name="_GDP85" localSheetId="0">#REF!</definedName>
    <definedName name="_GDP85" localSheetId="35">#REF!</definedName>
    <definedName name="_GDP85">#REF!</definedName>
    <definedName name="_GDP86" localSheetId="5">#REF!</definedName>
    <definedName name="_GDP86" localSheetId="7">#REF!</definedName>
    <definedName name="_GDP86" localSheetId="8">#REF!</definedName>
    <definedName name="_GDP86" localSheetId="11">#REF!</definedName>
    <definedName name="_GDP86" localSheetId="12">#REF!</definedName>
    <definedName name="_GDP86" localSheetId="15">#REF!</definedName>
    <definedName name="_GDP86" localSheetId="19">#REF!</definedName>
    <definedName name="_GDP86" localSheetId="0">#REF!</definedName>
    <definedName name="_GDP86" localSheetId="35">#REF!</definedName>
    <definedName name="_GDP86">#REF!</definedName>
    <definedName name="_GDP87" localSheetId="5">#REF!</definedName>
    <definedName name="_GDP87" localSheetId="7">#REF!</definedName>
    <definedName name="_GDP87" localSheetId="8">#REF!</definedName>
    <definedName name="_GDP87" localSheetId="11">#REF!</definedName>
    <definedName name="_GDP87" localSheetId="12">#REF!</definedName>
    <definedName name="_GDP87" localSheetId="15">#REF!</definedName>
    <definedName name="_GDP87" localSheetId="19">#REF!</definedName>
    <definedName name="_GDP87" localSheetId="0">#REF!</definedName>
    <definedName name="_GDP87" localSheetId="35">#REF!</definedName>
    <definedName name="_GDP87">#REF!</definedName>
    <definedName name="_GDP88" localSheetId="5">#REF!</definedName>
    <definedName name="_GDP88" localSheetId="7">#REF!</definedName>
    <definedName name="_GDP88" localSheetId="8">#REF!</definedName>
    <definedName name="_GDP88" localSheetId="11">#REF!</definedName>
    <definedName name="_GDP88" localSheetId="12">#REF!</definedName>
    <definedName name="_GDP88" localSheetId="15">#REF!</definedName>
    <definedName name="_GDP88" localSheetId="19">#REF!</definedName>
    <definedName name="_GDP88" localSheetId="0">#REF!</definedName>
    <definedName name="_GDP88" localSheetId="35">#REF!</definedName>
    <definedName name="_GDP88">#REF!</definedName>
    <definedName name="_GDP89" localSheetId="5">#REF!</definedName>
    <definedName name="_GDP89" localSheetId="7">#REF!</definedName>
    <definedName name="_GDP89" localSheetId="8">#REF!</definedName>
    <definedName name="_GDP89" localSheetId="11">#REF!</definedName>
    <definedName name="_GDP89" localSheetId="12">#REF!</definedName>
    <definedName name="_GDP89" localSheetId="15">#REF!</definedName>
    <definedName name="_GDP89" localSheetId="19">#REF!</definedName>
    <definedName name="_GDP89" localSheetId="0">#REF!</definedName>
    <definedName name="_GDP89" localSheetId="35">#REF!</definedName>
    <definedName name="_GDP89">#REF!</definedName>
    <definedName name="_GDP90" localSheetId="5">#REF!</definedName>
    <definedName name="_GDP90" localSheetId="7">#REF!</definedName>
    <definedName name="_GDP90" localSheetId="8">#REF!</definedName>
    <definedName name="_GDP90" localSheetId="11">#REF!</definedName>
    <definedName name="_GDP90" localSheetId="12">#REF!</definedName>
    <definedName name="_GDP90" localSheetId="15">#REF!</definedName>
    <definedName name="_GDP90" localSheetId="19">#REF!</definedName>
    <definedName name="_GDP90" localSheetId="0">#REF!</definedName>
    <definedName name="_GDP90" localSheetId="35">#REF!</definedName>
    <definedName name="_GDP90">#REF!</definedName>
    <definedName name="_GDP91" localSheetId="5">#REF!</definedName>
    <definedName name="_GDP91" localSheetId="7">#REF!</definedName>
    <definedName name="_GDP91" localSheetId="8">#REF!</definedName>
    <definedName name="_GDP91" localSheetId="11">#REF!</definedName>
    <definedName name="_GDP91" localSheetId="12">#REF!</definedName>
    <definedName name="_GDP91" localSheetId="15">#REF!</definedName>
    <definedName name="_GDP91" localSheetId="19">#REF!</definedName>
    <definedName name="_GDP91" localSheetId="0">#REF!</definedName>
    <definedName name="_GDP91" localSheetId="35">#REF!</definedName>
    <definedName name="_GDP91">#REF!</definedName>
    <definedName name="_GDP92" localSheetId="5">#REF!</definedName>
    <definedName name="_GDP92" localSheetId="7">#REF!</definedName>
    <definedName name="_GDP92" localSheetId="8">#REF!</definedName>
    <definedName name="_GDP92" localSheetId="11">#REF!</definedName>
    <definedName name="_GDP92" localSheetId="12">#REF!</definedName>
    <definedName name="_GDP92" localSheetId="15">#REF!</definedName>
    <definedName name="_GDP92" localSheetId="19">#REF!</definedName>
    <definedName name="_GDP92" localSheetId="0">#REF!</definedName>
    <definedName name="_GDP92" localSheetId="35">#REF!</definedName>
    <definedName name="_GDP92">#REF!</definedName>
    <definedName name="_GDP93" localSheetId="5">#REF!</definedName>
    <definedName name="_GDP93" localSheetId="7">#REF!</definedName>
    <definedName name="_GDP93" localSheetId="8">#REF!</definedName>
    <definedName name="_GDP93" localSheetId="11">#REF!</definedName>
    <definedName name="_GDP93" localSheetId="12">#REF!</definedName>
    <definedName name="_GDP93" localSheetId="15">#REF!</definedName>
    <definedName name="_GDP93" localSheetId="19">#REF!</definedName>
    <definedName name="_GDP93" localSheetId="0">#REF!</definedName>
    <definedName name="_GDP93" localSheetId="35">#REF!</definedName>
    <definedName name="_GDP93">#REF!</definedName>
    <definedName name="_GDP94" localSheetId="5">#REF!</definedName>
    <definedName name="_GDP94" localSheetId="7">#REF!</definedName>
    <definedName name="_GDP94" localSheetId="8">#REF!</definedName>
    <definedName name="_GDP94" localSheetId="11">#REF!</definedName>
    <definedName name="_GDP94" localSheetId="12">#REF!</definedName>
    <definedName name="_GDP94" localSheetId="15">#REF!</definedName>
    <definedName name="_GDP94" localSheetId="19">#REF!</definedName>
    <definedName name="_GDP94" localSheetId="0">#REF!</definedName>
    <definedName name="_GDP94" localSheetId="35">#REF!</definedName>
    <definedName name="_GDP94">#REF!</definedName>
    <definedName name="_Order1" hidden="1">255</definedName>
    <definedName name="_Order2" hidden="1">255</definedName>
    <definedName name="_PR1">#N/A</definedName>
    <definedName name="_PR2">#N/A</definedName>
    <definedName name="_PR3">#N/A</definedName>
    <definedName name="_PR4">#N/A</definedName>
    <definedName name="_Toto" localSheetId="5">#REF!</definedName>
    <definedName name="_Toto" localSheetId="7">#REF!</definedName>
    <definedName name="_Toto" localSheetId="8">#REF!</definedName>
    <definedName name="_Toto" localSheetId="11">#REF!</definedName>
    <definedName name="_Toto" localSheetId="12">#REF!</definedName>
    <definedName name="_Toto" localSheetId="15">#REF!</definedName>
    <definedName name="_Toto" localSheetId="16">#REF!</definedName>
    <definedName name="_Toto" localSheetId="19">#REF!</definedName>
    <definedName name="_Toto" localSheetId="23">#REF!</definedName>
    <definedName name="_Toto" localSheetId="28">#REF!</definedName>
    <definedName name="_Toto" localSheetId="30">#REF!</definedName>
    <definedName name="_Toto" localSheetId="0">#REF!</definedName>
    <definedName name="_Toto" localSheetId="37">#REF!</definedName>
    <definedName name="_Toto" localSheetId="38">#REF!</definedName>
    <definedName name="_Toto">#REF!</definedName>
    <definedName name="A" localSheetId="5">#REF!</definedName>
    <definedName name="A" localSheetId="7">#REF!</definedName>
    <definedName name="A" localSheetId="8">#REF!</definedName>
    <definedName name="A" localSheetId="11">#REF!</definedName>
    <definedName name="A" localSheetId="12">#REF!</definedName>
    <definedName name="A" localSheetId="15">#REF!</definedName>
    <definedName name="A" localSheetId="16">#REF!</definedName>
    <definedName name="A" localSheetId="19">#REF!</definedName>
    <definedName name="A" localSheetId="23">#REF!</definedName>
    <definedName name="A" localSheetId="28">#REF!</definedName>
    <definedName name="A" localSheetId="30">#REF!</definedName>
    <definedName name="A" localSheetId="0">#REF!</definedName>
    <definedName name="A" localSheetId="35">#REF!</definedName>
    <definedName name="A" localSheetId="37">#REF!</definedName>
    <definedName name="A" localSheetId="38">#REF!</definedName>
    <definedName name="A">#REF!</definedName>
    <definedName name="aitr" localSheetId="5">#REF!</definedName>
    <definedName name="aitr" localSheetId="7">#REF!</definedName>
    <definedName name="aitr" localSheetId="8">#REF!</definedName>
    <definedName name="aitr" localSheetId="11">#REF!</definedName>
    <definedName name="aitr" localSheetId="12">#REF!</definedName>
    <definedName name="aitr" localSheetId="15">#REF!</definedName>
    <definedName name="aitr" localSheetId="19">#REF!</definedName>
    <definedName name="aitr" localSheetId="0">#REF!</definedName>
    <definedName name="aitr" localSheetId="35">#REF!</definedName>
    <definedName name="aitr">#REF!</definedName>
    <definedName name="AITRCodes" localSheetId="5">#REF!</definedName>
    <definedName name="AITRCodes" localSheetId="7">#REF!</definedName>
    <definedName name="AITRCodes" localSheetId="8">#REF!</definedName>
    <definedName name="AITRCodes" localSheetId="11">#REF!</definedName>
    <definedName name="AITRCodes" localSheetId="12">#REF!</definedName>
    <definedName name="AITRCodes" localSheetId="15">#REF!</definedName>
    <definedName name="AITRCodes" localSheetId="19">#REF!</definedName>
    <definedName name="AITRCodes" localSheetId="0">#REF!</definedName>
    <definedName name="AITRCodes">#REF!</definedName>
    <definedName name="AITRData" localSheetId="5">#REF!</definedName>
    <definedName name="AITRData" localSheetId="7">#REF!</definedName>
    <definedName name="AITRData" localSheetId="8">#REF!</definedName>
    <definedName name="AITRData" localSheetId="11">#REF!</definedName>
    <definedName name="AITRData" localSheetId="12">#REF!</definedName>
    <definedName name="AITRData" localSheetId="15">#REF!</definedName>
    <definedName name="AITRData" localSheetId="19">#REF!</definedName>
    <definedName name="AITRData" localSheetId="0">#REF!</definedName>
    <definedName name="AITRData">#REF!</definedName>
    <definedName name="AITRdesc" localSheetId="5">#REF!</definedName>
    <definedName name="AITRdesc" localSheetId="7">#REF!</definedName>
    <definedName name="AITRdesc" localSheetId="8">#REF!</definedName>
    <definedName name="AITRdesc" localSheetId="11">#REF!</definedName>
    <definedName name="AITRdesc" localSheetId="12">#REF!</definedName>
    <definedName name="AITRdesc" localSheetId="15">#REF!</definedName>
    <definedName name="AITRdesc" localSheetId="19">#REF!</definedName>
    <definedName name="AITRdesc" localSheetId="0">#REF!</definedName>
    <definedName name="AITRdesc">#REF!</definedName>
    <definedName name="AITRname" localSheetId="5">#REF!</definedName>
    <definedName name="AITRname" localSheetId="7">#REF!</definedName>
    <definedName name="AITRname" localSheetId="8">#REF!</definedName>
    <definedName name="AITRname" localSheetId="11">#REF!</definedName>
    <definedName name="AITRname" localSheetId="12">#REF!</definedName>
    <definedName name="AITRname" localSheetId="15">#REF!</definedName>
    <definedName name="AITRname" localSheetId="19">#REF!</definedName>
    <definedName name="AITRname" localSheetId="0">#REF!</definedName>
    <definedName name="AITRname">#REF!</definedName>
    <definedName name="AllSchemesAITR" localSheetId="5">#REF!</definedName>
    <definedName name="AllSchemesAITR" localSheetId="7">#REF!</definedName>
    <definedName name="AllSchemesAITR" localSheetId="8">#REF!</definedName>
    <definedName name="AllSchemesAITR" localSheetId="11">#REF!</definedName>
    <definedName name="AllSchemesAITR" localSheetId="12">#REF!</definedName>
    <definedName name="AllSchemesAITR" localSheetId="15">#REF!</definedName>
    <definedName name="AllSchemesAITR" localSheetId="19">#REF!</definedName>
    <definedName name="AllSchemesAITR" localSheetId="0">#REF!</definedName>
    <definedName name="AllSchemesAITR">#REF!</definedName>
    <definedName name="AllSchemesNet" localSheetId="5">#REF!</definedName>
    <definedName name="AllSchemesNet" localSheetId="7">#REF!</definedName>
    <definedName name="AllSchemesNet" localSheetId="8">#REF!</definedName>
    <definedName name="AllSchemesNet" localSheetId="11">#REF!</definedName>
    <definedName name="AllSchemesNet" localSheetId="12">#REF!</definedName>
    <definedName name="AllSchemesNet" localSheetId="15">#REF!</definedName>
    <definedName name="AllSchemesNet" localSheetId="19">#REF!</definedName>
    <definedName name="AllSchemesNet" localSheetId="0">#REF!</definedName>
    <definedName name="AllSchemesNet">#REF!</definedName>
    <definedName name="apwtr" localSheetId="5">#REF!</definedName>
    <definedName name="apwtr" localSheetId="7">#REF!</definedName>
    <definedName name="apwtr" localSheetId="8">#REF!</definedName>
    <definedName name="apwtr" localSheetId="11">#REF!</definedName>
    <definedName name="apwtr" localSheetId="12">#REF!</definedName>
    <definedName name="apwtr" localSheetId="15">#REF!</definedName>
    <definedName name="apwtr" localSheetId="19">#REF!</definedName>
    <definedName name="apwtr" localSheetId="0">#REF!</definedName>
    <definedName name="apwtr" localSheetId="35">#REF!</definedName>
    <definedName name="apwtr">#REF!</definedName>
    <definedName name="B" localSheetId="5">#REF!</definedName>
    <definedName name="B" localSheetId="7">#REF!</definedName>
    <definedName name="B" localSheetId="8">#REF!</definedName>
    <definedName name="B" localSheetId="11">#REF!</definedName>
    <definedName name="B" localSheetId="12">#REF!</definedName>
    <definedName name="B" localSheetId="15">#REF!</definedName>
    <definedName name="B" localSheetId="19">#REF!</definedName>
    <definedName name="B" localSheetId="28">#REF!</definedName>
    <definedName name="B" localSheetId="0">#REF!</definedName>
    <definedName name="B" localSheetId="35">#REF!</definedName>
    <definedName name="B">#REF!</definedName>
    <definedName name="BMASKeyIsInplace">FALSE</definedName>
    <definedName name="Cash_MT" localSheetId="5">#REF!</definedName>
    <definedName name="Cash_MT" localSheetId="7">#REF!</definedName>
    <definedName name="Cash_MT" localSheetId="8">#REF!</definedName>
    <definedName name="Cash_MT" localSheetId="11">#REF!</definedName>
    <definedName name="Cash_MT" localSheetId="12">#REF!</definedName>
    <definedName name="Cash_MT" localSheetId="15">#REF!</definedName>
    <definedName name="Cash_MT" localSheetId="19">#REF!</definedName>
    <definedName name="Cash_MT" localSheetId="28">#REF!</definedName>
    <definedName name="Cash_MT" localSheetId="0">#REF!</definedName>
    <definedName name="Cash_MT">#REF!</definedName>
    <definedName name="Cash_MT_DISABILITY" localSheetId="5">#REF!</definedName>
    <definedName name="Cash_MT_DISABILITY" localSheetId="7">#REF!</definedName>
    <definedName name="Cash_MT_DISABILITY" localSheetId="8">#REF!</definedName>
    <definedName name="Cash_MT_DISABILITY" localSheetId="11">#REF!</definedName>
    <definedName name="Cash_MT_DISABILITY" localSheetId="12">#REF!</definedName>
    <definedName name="Cash_MT_DISABILITY" localSheetId="15">#REF!</definedName>
    <definedName name="Cash_MT_DISABILITY" localSheetId="19">#REF!</definedName>
    <definedName name="Cash_MT_DISABILITY" localSheetId="28">#REF!</definedName>
    <definedName name="Cash_MT_DISABILITY" localSheetId="0">#REF!</definedName>
    <definedName name="Cash_MT_DISABILITY">#REF!</definedName>
    <definedName name="Cash_MT_FAMILY" localSheetId="5">#REF!</definedName>
    <definedName name="Cash_MT_FAMILY" localSheetId="7">#REF!</definedName>
    <definedName name="Cash_MT_FAMILY" localSheetId="8">#REF!</definedName>
    <definedName name="Cash_MT_FAMILY" localSheetId="11">#REF!</definedName>
    <definedName name="Cash_MT_FAMILY" localSheetId="12">#REF!</definedName>
    <definedName name="Cash_MT_FAMILY" localSheetId="15">#REF!</definedName>
    <definedName name="Cash_MT_FAMILY" localSheetId="19">#REF!</definedName>
    <definedName name="Cash_MT_FAMILY" localSheetId="0">#REF!</definedName>
    <definedName name="Cash_MT_FAMILY">#REF!</definedName>
    <definedName name="Cash_MT_OLDAGE" localSheetId="5">#REF!</definedName>
    <definedName name="Cash_MT_OLDAGE" localSheetId="7">#REF!</definedName>
    <definedName name="Cash_MT_OLDAGE" localSheetId="8">#REF!</definedName>
    <definedName name="Cash_MT_OLDAGE" localSheetId="11">#REF!</definedName>
    <definedName name="Cash_MT_OLDAGE" localSheetId="12">#REF!</definedName>
    <definedName name="Cash_MT_OLDAGE" localSheetId="15">#REF!</definedName>
    <definedName name="Cash_MT_OLDAGE" localSheetId="19">#REF!</definedName>
    <definedName name="Cash_MT_OLDAGE" localSheetId="0">#REF!</definedName>
    <definedName name="Cash_MT_OLDAGE">#REF!</definedName>
    <definedName name="Cash_MT_SICKNESS" localSheetId="5">#REF!</definedName>
    <definedName name="Cash_MT_SICKNESS" localSheetId="7">#REF!</definedName>
    <definedName name="Cash_MT_SICKNESS" localSheetId="8">#REF!</definedName>
    <definedName name="Cash_MT_SICKNESS" localSheetId="11">#REF!</definedName>
    <definedName name="Cash_MT_SICKNESS" localSheetId="12">#REF!</definedName>
    <definedName name="Cash_MT_SICKNESS" localSheetId="15">#REF!</definedName>
    <definedName name="Cash_MT_SICKNESS" localSheetId="19">#REF!</definedName>
    <definedName name="Cash_MT_SICKNESS" localSheetId="0">#REF!</definedName>
    <definedName name="Cash_MT_SICKNESS">#REF!</definedName>
    <definedName name="Cash_MT_SOCIALEXCLUSION" localSheetId="5">#REF!</definedName>
    <definedName name="Cash_MT_SOCIALEXCLUSION" localSheetId="7">#REF!</definedName>
    <definedName name="Cash_MT_SOCIALEXCLUSION" localSheetId="8">#REF!</definedName>
    <definedName name="Cash_MT_SOCIALEXCLUSION" localSheetId="11">#REF!</definedName>
    <definedName name="Cash_MT_SOCIALEXCLUSION" localSheetId="12">#REF!</definedName>
    <definedName name="Cash_MT_SOCIALEXCLUSION" localSheetId="15">#REF!</definedName>
    <definedName name="Cash_MT_SOCIALEXCLUSION" localSheetId="19">#REF!</definedName>
    <definedName name="Cash_MT_SOCIALEXCLUSION" localSheetId="0">#REF!</definedName>
    <definedName name="Cash_MT_SOCIALEXCLUSION">#REF!</definedName>
    <definedName name="Cash_MT_SURVIVORS" localSheetId="5">#REF!</definedName>
    <definedName name="Cash_MT_SURVIVORS" localSheetId="7">#REF!</definedName>
    <definedName name="Cash_MT_SURVIVORS" localSheetId="8">#REF!</definedName>
    <definedName name="Cash_MT_SURVIVORS" localSheetId="11">#REF!</definedName>
    <definedName name="Cash_MT_SURVIVORS" localSheetId="12">#REF!</definedName>
    <definedName name="Cash_MT_SURVIVORS" localSheetId="15">#REF!</definedName>
    <definedName name="Cash_MT_SURVIVORS" localSheetId="19">#REF!</definedName>
    <definedName name="Cash_MT_SURVIVORS" localSheetId="0">#REF!</definedName>
    <definedName name="Cash_MT_SURVIVORS">#REF!</definedName>
    <definedName name="Cash_MT_UNEMPLOYMENT" localSheetId="5">#REF!</definedName>
    <definedName name="Cash_MT_UNEMPLOYMENT" localSheetId="7">#REF!</definedName>
    <definedName name="Cash_MT_UNEMPLOYMENT" localSheetId="8">#REF!</definedName>
    <definedName name="Cash_MT_UNEMPLOYMENT" localSheetId="11">#REF!</definedName>
    <definedName name="Cash_MT_UNEMPLOYMENT" localSheetId="12">#REF!</definedName>
    <definedName name="Cash_MT_UNEMPLOYMENT" localSheetId="15">#REF!</definedName>
    <definedName name="Cash_MT_UNEMPLOYMENT" localSheetId="19">#REF!</definedName>
    <definedName name="Cash_MT_UNEMPLOYMENT" localSheetId="0">#REF!</definedName>
    <definedName name="Cash_MT_UNEMPLOYMENT">#REF!</definedName>
    <definedName name="Cash_NonMT" localSheetId="5">#REF!</definedName>
    <definedName name="Cash_NonMT" localSheetId="7">#REF!</definedName>
    <definedName name="Cash_NonMT" localSheetId="8">#REF!</definedName>
    <definedName name="Cash_NonMT" localSheetId="11">#REF!</definedName>
    <definedName name="Cash_NonMT" localSheetId="12">#REF!</definedName>
    <definedName name="Cash_NonMT" localSheetId="15">#REF!</definedName>
    <definedName name="Cash_NonMT" localSheetId="19">#REF!</definedName>
    <definedName name="Cash_NonMT" localSheetId="0">#REF!</definedName>
    <definedName name="Cash_NonMT">#REF!</definedName>
    <definedName name="Cash_NonMT_DISABILITY" localSheetId="5">#REF!</definedName>
    <definedName name="Cash_NonMT_DISABILITY" localSheetId="7">#REF!</definedName>
    <definedName name="Cash_NonMT_DISABILITY" localSheetId="8">#REF!</definedName>
    <definedName name="Cash_NonMT_DISABILITY" localSheetId="11">#REF!</definedName>
    <definedName name="Cash_NonMT_DISABILITY" localSheetId="12">#REF!</definedName>
    <definedName name="Cash_NonMT_DISABILITY" localSheetId="15">#REF!</definedName>
    <definedName name="Cash_NonMT_DISABILITY" localSheetId="19">#REF!</definedName>
    <definedName name="Cash_NonMT_DISABILITY" localSheetId="0">#REF!</definedName>
    <definedName name="Cash_NonMT_DISABILITY">#REF!</definedName>
    <definedName name="Cash_NonMT_FAMILY" localSheetId="5">#REF!</definedName>
    <definedName name="Cash_NonMT_FAMILY" localSheetId="7">#REF!</definedName>
    <definedName name="Cash_NonMT_FAMILY" localSheetId="8">#REF!</definedName>
    <definedName name="Cash_NonMT_FAMILY" localSheetId="11">#REF!</definedName>
    <definedName name="Cash_NonMT_FAMILY" localSheetId="12">#REF!</definedName>
    <definedName name="Cash_NonMT_FAMILY" localSheetId="15">#REF!</definedName>
    <definedName name="Cash_NonMT_FAMILY" localSheetId="19">#REF!</definedName>
    <definedName name="Cash_NonMT_FAMILY" localSheetId="0">#REF!</definedName>
    <definedName name="Cash_NonMT_FAMILY">#REF!</definedName>
    <definedName name="Cash_NonMT_OLDAGE" localSheetId="5">#REF!</definedName>
    <definedName name="Cash_NonMT_OLDAGE" localSheetId="7">#REF!</definedName>
    <definedName name="Cash_NonMT_OLDAGE" localSheetId="8">#REF!</definedName>
    <definedName name="Cash_NonMT_OLDAGE" localSheetId="11">#REF!</definedName>
    <definedName name="Cash_NonMT_OLDAGE" localSheetId="12">#REF!</definedName>
    <definedName name="Cash_NonMT_OLDAGE" localSheetId="15">#REF!</definedName>
    <definedName name="Cash_NonMT_OLDAGE" localSheetId="19">#REF!</definedName>
    <definedName name="Cash_NonMT_OLDAGE" localSheetId="0">#REF!</definedName>
    <definedName name="Cash_NonMT_OLDAGE">#REF!</definedName>
    <definedName name="Cash_NonMT_SICKNESS" localSheetId="5">#REF!</definedName>
    <definedName name="Cash_NonMT_SICKNESS" localSheetId="7">#REF!</definedName>
    <definedName name="Cash_NonMT_SICKNESS" localSheetId="8">#REF!</definedName>
    <definedName name="Cash_NonMT_SICKNESS" localSheetId="11">#REF!</definedName>
    <definedName name="Cash_NonMT_SICKNESS" localSheetId="12">#REF!</definedName>
    <definedName name="Cash_NonMT_SICKNESS" localSheetId="15">#REF!</definedName>
    <definedName name="Cash_NonMT_SICKNESS" localSheetId="19">#REF!</definedName>
    <definedName name="Cash_NonMT_SICKNESS" localSheetId="0">#REF!</definedName>
    <definedName name="Cash_NonMT_SICKNESS">#REF!</definedName>
    <definedName name="Cash_NonMT_SOCIALEXCLUSION" localSheetId="5">#REF!</definedName>
    <definedName name="Cash_NonMT_SOCIALEXCLUSION" localSheetId="7">#REF!</definedName>
    <definedName name="Cash_NonMT_SOCIALEXCLUSION" localSheetId="8">#REF!</definedName>
    <definedName name="Cash_NonMT_SOCIALEXCLUSION" localSheetId="11">#REF!</definedName>
    <definedName name="Cash_NonMT_SOCIALEXCLUSION" localSheetId="12">#REF!</definedName>
    <definedName name="Cash_NonMT_SOCIALEXCLUSION" localSheetId="15">#REF!</definedName>
    <definedName name="Cash_NonMT_SOCIALEXCLUSION" localSheetId="19">#REF!</definedName>
    <definedName name="Cash_NonMT_SOCIALEXCLUSION" localSheetId="0">#REF!</definedName>
    <definedName name="Cash_NonMT_SOCIALEXCLUSION">#REF!</definedName>
    <definedName name="Cash_NonMT_SURVIVORS" localSheetId="5">#REF!</definedName>
    <definedName name="Cash_NonMT_SURVIVORS" localSheetId="7">#REF!</definedName>
    <definedName name="Cash_NonMT_SURVIVORS" localSheetId="8">#REF!</definedName>
    <definedName name="Cash_NonMT_SURVIVORS" localSheetId="11">#REF!</definedName>
    <definedName name="Cash_NonMT_SURVIVORS" localSheetId="12">#REF!</definedName>
    <definedName name="Cash_NonMT_SURVIVORS" localSheetId="15">#REF!</definedName>
    <definedName name="Cash_NonMT_SURVIVORS" localSheetId="19">#REF!</definedName>
    <definedName name="Cash_NonMT_SURVIVORS" localSheetId="0">#REF!</definedName>
    <definedName name="Cash_NonMT_SURVIVORS">#REF!</definedName>
    <definedName name="Cash_NonMT_UNEMPLOYMENT" localSheetId="5">#REF!</definedName>
    <definedName name="Cash_NonMT_UNEMPLOYMENT" localSheetId="7">#REF!</definedName>
    <definedName name="Cash_NonMT_UNEMPLOYMENT" localSheetId="8">#REF!</definedName>
    <definedName name="Cash_NonMT_UNEMPLOYMENT" localSheetId="11">#REF!</definedName>
    <definedName name="Cash_NonMT_UNEMPLOYMENT" localSheetId="12">#REF!</definedName>
    <definedName name="Cash_NonMT_UNEMPLOYMENT" localSheetId="15">#REF!</definedName>
    <definedName name="Cash_NonMT_UNEMPLOYMENT" localSheetId="19">#REF!</definedName>
    <definedName name="Cash_NonMT_UNEMPLOYMENT" localSheetId="0">#REF!</definedName>
    <definedName name="Cash_NonMT_UNEMPLOYMENT">#REF!</definedName>
    <definedName name="codeAUT99" localSheetId="5">#REF!</definedName>
    <definedName name="codeAUT99" localSheetId="7">#REF!</definedName>
    <definedName name="codeAUT99" localSheetId="8">#REF!</definedName>
    <definedName name="codeAUT99" localSheetId="11">#REF!</definedName>
    <definedName name="codeAUT99" localSheetId="12">#REF!</definedName>
    <definedName name="codeAUT99" localSheetId="15">#REF!</definedName>
    <definedName name="codeAUT99" localSheetId="19">#REF!</definedName>
    <definedName name="codeAUT99" localSheetId="0">#REF!</definedName>
    <definedName name="codeAUT99" localSheetId="35">#REF!</definedName>
    <definedName name="codeAUT99">#REF!</definedName>
    <definedName name="codeCAN99" localSheetId="5">#REF!</definedName>
    <definedName name="codeCAN99" localSheetId="7">#REF!</definedName>
    <definedName name="codeCAN99" localSheetId="8">#REF!</definedName>
    <definedName name="codeCAN99" localSheetId="11">#REF!</definedName>
    <definedName name="codeCAN99" localSheetId="12">#REF!</definedName>
    <definedName name="codeCAN99" localSheetId="15">#REF!</definedName>
    <definedName name="codeCAN99" localSheetId="19">#REF!</definedName>
    <definedName name="codeCAN99" localSheetId="0">#REF!</definedName>
    <definedName name="codeCAN99" localSheetId="35">#REF!</definedName>
    <definedName name="codeCAN99">#REF!</definedName>
    <definedName name="codeDEU99" localSheetId="5">#REF!</definedName>
    <definedName name="codeDEU99" localSheetId="7">#REF!</definedName>
    <definedName name="codeDEU99" localSheetId="8">#REF!</definedName>
    <definedName name="codeDEU99" localSheetId="11">#REF!</definedName>
    <definedName name="codeDEU99" localSheetId="12">#REF!</definedName>
    <definedName name="codeDEU99" localSheetId="15">#REF!</definedName>
    <definedName name="codeDEU99" localSheetId="19">#REF!</definedName>
    <definedName name="codeDEU99" localSheetId="0">#REF!</definedName>
    <definedName name="codeDEU99" localSheetId="35">#REF!</definedName>
    <definedName name="codeDEU99">#REF!</definedName>
    <definedName name="codeFIN" localSheetId="5">#REF!</definedName>
    <definedName name="codeFIN" localSheetId="7">#REF!</definedName>
    <definedName name="codeFIN" localSheetId="8">#REF!</definedName>
    <definedName name="codeFIN" localSheetId="11">#REF!</definedName>
    <definedName name="codeFIN" localSheetId="12">#REF!</definedName>
    <definedName name="codeFIN" localSheetId="15">#REF!</definedName>
    <definedName name="codeFIN" localSheetId="19">#REF!</definedName>
    <definedName name="codeFIN" localSheetId="0">#REF!</definedName>
    <definedName name="codeFIN" localSheetId="35">#REF!</definedName>
    <definedName name="codeFIN">#REF!</definedName>
    <definedName name="codeFIN99" localSheetId="5">#REF!</definedName>
    <definedName name="codeFIN99" localSheetId="7">#REF!</definedName>
    <definedName name="codeFIN99" localSheetId="8">#REF!</definedName>
    <definedName name="codeFIN99" localSheetId="11">#REF!</definedName>
    <definedName name="codeFIN99" localSheetId="12">#REF!</definedName>
    <definedName name="codeFIN99" localSheetId="15">#REF!</definedName>
    <definedName name="codeFIN99" localSheetId="19">#REF!</definedName>
    <definedName name="codeFIN99" localSheetId="0">#REF!</definedName>
    <definedName name="codeFIN99" localSheetId="35">#REF!</definedName>
    <definedName name="codeFIN99">#REF!</definedName>
    <definedName name="codeGBR" localSheetId="5">#REF!</definedName>
    <definedName name="codeGBR" localSheetId="7">#REF!</definedName>
    <definedName name="codeGBR" localSheetId="8">#REF!</definedName>
    <definedName name="codeGBR" localSheetId="11">#REF!</definedName>
    <definedName name="codeGBR" localSheetId="12">#REF!</definedName>
    <definedName name="codeGBR" localSheetId="15">#REF!</definedName>
    <definedName name="codeGBR" localSheetId="19">#REF!</definedName>
    <definedName name="codeGBR" localSheetId="0">#REF!</definedName>
    <definedName name="codeGBR" localSheetId="35">#REF!</definedName>
    <definedName name="codeGBR">#REF!</definedName>
    <definedName name="codeGBR99" localSheetId="5">#REF!</definedName>
    <definedName name="codeGBR99" localSheetId="7">#REF!</definedName>
    <definedName name="codeGBR99" localSheetId="8">#REF!</definedName>
    <definedName name="codeGBR99" localSheetId="11">#REF!</definedName>
    <definedName name="codeGBR99" localSheetId="12">#REF!</definedName>
    <definedName name="codeGBR99" localSheetId="15">#REF!</definedName>
    <definedName name="codeGBR99" localSheetId="19">#REF!</definedName>
    <definedName name="codeGBR99" localSheetId="0">#REF!</definedName>
    <definedName name="codeGBR99" localSheetId="35">#REF!</definedName>
    <definedName name="codeGBR99">#REF!</definedName>
    <definedName name="codeIRL" localSheetId="5">#REF!</definedName>
    <definedName name="codeIRL" localSheetId="7">#REF!</definedName>
    <definedName name="codeIRL" localSheetId="8">#REF!</definedName>
    <definedName name="codeIRL" localSheetId="11">#REF!</definedName>
    <definedName name="codeIRL" localSheetId="12">#REF!</definedName>
    <definedName name="codeIRL" localSheetId="15">#REF!</definedName>
    <definedName name="codeIRL" localSheetId="19">#REF!</definedName>
    <definedName name="codeIRL" localSheetId="0">#REF!</definedName>
    <definedName name="codeIRL" localSheetId="35">#REF!</definedName>
    <definedName name="codeIRL">#REF!</definedName>
    <definedName name="codeNZL99" localSheetId="5">#REF!</definedName>
    <definedName name="codeNZL99" localSheetId="7">#REF!</definedName>
    <definedName name="codeNZL99" localSheetId="8">#REF!</definedName>
    <definedName name="codeNZL99" localSheetId="11">#REF!</definedName>
    <definedName name="codeNZL99" localSheetId="12">#REF!</definedName>
    <definedName name="codeNZL99" localSheetId="15">#REF!</definedName>
    <definedName name="codeNZL99" localSheetId="19">#REF!</definedName>
    <definedName name="codeNZL99" localSheetId="0">#REF!</definedName>
    <definedName name="codeNZL99" localSheetId="35">#REF!</definedName>
    <definedName name="codeNZL99">#REF!</definedName>
    <definedName name="codeUSA99" localSheetId="5">#REF!</definedName>
    <definedName name="codeUSA99" localSheetId="7">#REF!</definedName>
    <definedName name="codeUSA99" localSheetId="8">#REF!</definedName>
    <definedName name="codeUSA99" localSheetId="11">#REF!</definedName>
    <definedName name="codeUSA99" localSheetId="12">#REF!</definedName>
    <definedName name="codeUSA99" localSheetId="15">#REF!</definedName>
    <definedName name="codeUSA99" localSheetId="19">#REF!</definedName>
    <definedName name="codeUSA99" localSheetId="0">#REF!</definedName>
    <definedName name="codeUSA99" localSheetId="35">#REF!</definedName>
    <definedName name="codeUSA99">#REF!</definedName>
    <definedName name="CountryYear" localSheetId="5">#REF!</definedName>
    <definedName name="CountryYear" localSheetId="7">#REF!</definedName>
    <definedName name="CountryYear" localSheetId="8">#REF!</definedName>
    <definedName name="CountryYear" localSheetId="11">#REF!</definedName>
    <definedName name="CountryYear" localSheetId="12">#REF!</definedName>
    <definedName name="CountryYear" localSheetId="15">#REF!</definedName>
    <definedName name="CountryYear" localSheetId="19">#REF!</definedName>
    <definedName name="CountryYear" localSheetId="0">#REF!</definedName>
    <definedName name="CountryYear">#REF!</definedName>
    <definedName name="CountryYear_Fiscal" localSheetId="5">#REF!</definedName>
    <definedName name="CountryYear_Fiscal" localSheetId="7">#REF!</definedName>
    <definedName name="CountryYear_Fiscal" localSheetId="8">#REF!</definedName>
    <definedName name="CountryYear_Fiscal" localSheetId="11">#REF!</definedName>
    <definedName name="CountryYear_Fiscal" localSheetId="12">#REF!</definedName>
    <definedName name="CountryYear_Fiscal" localSheetId="15">#REF!</definedName>
    <definedName name="CountryYear_Fiscal" localSheetId="19">#REF!</definedName>
    <definedName name="CountryYear_Fiscal" localSheetId="0">#REF!</definedName>
    <definedName name="CountryYear_Fiscal">#REF!</definedName>
    <definedName name="CountryYear_Net" localSheetId="5">#REF!</definedName>
    <definedName name="CountryYear_Net" localSheetId="7">#REF!</definedName>
    <definedName name="CountryYear_Net" localSheetId="8">#REF!</definedName>
    <definedName name="CountryYear_Net" localSheetId="11">#REF!</definedName>
    <definedName name="CountryYear_Net" localSheetId="12">#REF!</definedName>
    <definedName name="CountryYear_Net" localSheetId="15">#REF!</definedName>
    <definedName name="CountryYear_Net" localSheetId="19">#REF!</definedName>
    <definedName name="CountryYear_Net" localSheetId="0">#REF!</definedName>
    <definedName name="CountryYear_Net">#REF!</definedName>
    <definedName name="dfg" localSheetId="5">#REF!</definedName>
    <definedName name="dfg" localSheetId="7">#REF!</definedName>
    <definedName name="dfg" localSheetId="8">#REF!</definedName>
    <definedName name="dfg" localSheetId="11">#REF!</definedName>
    <definedName name="dfg" localSheetId="12">#REF!</definedName>
    <definedName name="dfg" localSheetId="15">#REF!</definedName>
    <definedName name="dfg" localSheetId="19">#REF!</definedName>
    <definedName name="dfg" localSheetId="0">#REF!</definedName>
    <definedName name="dfg" localSheetId="35">#REF!</definedName>
    <definedName name="dfg">#REF!</definedName>
    <definedName name="EIRE" localSheetId="5">#REF!</definedName>
    <definedName name="EIRE" localSheetId="7">#REF!</definedName>
    <definedName name="EIRE" localSheetId="8">#REF!</definedName>
    <definedName name="EIRE" localSheetId="11">#REF!</definedName>
    <definedName name="EIRE" localSheetId="12">#REF!</definedName>
    <definedName name="EIRE" localSheetId="15">#REF!</definedName>
    <definedName name="EIRE" localSheetId="19">#REF!</definedName>
    <definedName name="EIRE" localSheetId="0">#REF!</definedName>
    <definedName name="EIRE" localSheetId="35">#REF!</definedName>
    <definedName name="EIRE">#REF!</definedName>
    <definedName name="euro" localSheetId="5">#REF!</definedName>
    <definedName name="euro" localSheetId="7">#REF!</definedName>
    <definedName name="euro" localSheetId="8">#REF!</definedName>
    <definedName name="euro" localSheetId="11">#REF!</definedName>
    <definedName name="euro" localSheetId="12">#REF!</definedName>
    <definedName name="euro" localSheetId="15">#REF!</definedName>
    <definedName name="euro" localSheetId="19">#REF!</definedName>
    <definedName name="euro" localSheetId="0">#REF!</definedName>
    <definedName name="euro" localSheetId="35">#REF!</definedName>
    <definedName name="euro">#REF!</definedName>
    <definedName name="FiscalData" localSheetId="5">#REF!</definedName>
    <definedName name="FiscalData" localSheetId="7">#REF!</definedName>
    <definedName name="FiscalData" localSheetId="8">#REF!</definedName>
    <definedName name="FiscalData" localSheetId="11">#REF!</definedName>
    <definedName name="FiscalData" localSheetId="12">#REF!</definedName>
    <definedName name="FiscalData" localSheetId="15">#REF!</definedName>
    <definedName name="FiscalData" localSheetId="19">#REF!</definedName>
    <definedName name="FiscalData" localSheetId="0">#REF!</definedName>
    <definedName name="FiscalData">#REF!</definedName>
    <definedName name="gdp" localSheetId="5">#REF!</definedName>
    <definedName name="gdp" localSheetId="7">#REF!</definedName>
    <definedName name="gdp" localSheetId="8">#REF!</definedName>
    <definedName name="gdp" localSheetId="11">#REF!</definedName>
    <definedName name="gdp" localSheetId="12">#REF!</definedName>
    <definedName name="gdp" localSheetId="15">#REF!</definedName>
    <definedName name="gdp" localSheetId="19">#REF!</definedName>
    <definedName name="gdp" localSheetId="0">#REF!</definedName>
    <definedName name="gdp" localSheetId="35">#REF!</definedName>
    <definedName name="gdp">#REF!</definedName>
    <definedName name="Lump_MT" localSheetId="5">#REF!</definedName>
    <definedName name="Lump_MT" localSheetId="7">#REF!</definedName>
    <definedName name="Lump_MT" localSheetId="8">#REF!</definedName>
    <definedName name="Lump_MT" localSheetId="11">#REF!</definedName>
    <definedName name="Lump_MT" localSheetId="12">#REF!</definedName>
    <definedName name="Lump_MT" localSheetId="15">#REF!</definedName>
    <definedName name="Lump_MT" localSheetId="19">#REF!</definedName>
    <definedName name="Lump_MT" localSheetId="0">#REF!</definedName>
    <definedName name="Lump_MT">#REF!</definedName>
    <definedName name="Lump_MT_DISABILITY" localSheetId="5">#REF!</definedName>
    <definedName name="Lump_MT_DISABILITY" localSheetId="7">#REF!</definedName>
    <definedName name="Lump_MT_DISABILITY" localSheetId="8">#REF!</definedName>
    <definedName name="Lump_MT_DISABILITY" localSheetId="11">#REF!</definedName>
    <definedName name="Lump_MT_DISABILITY" localSheetId="12">#REF!</definedName>
    <definedName name="Lump_MT_DISABILITY" localSheetId="15">#REF!</definedName>
    <definedName name="Lump_MT_DISABILITY" localSheetId="19">#REF!</definedName>
    <definedName name="Lump_MT_DISABILITY" localSheetId="0">#REF!</definedName>
    <definedName name="Lump_MT_DISABILITY">#REF!</definedName>
    <definedName name="Lump_MT_FAMILY" localSheetId="5">#REF!</definedName>
    <definedName name="Lump_MT_FAMILY" localSheetId="7">#REF!</definedName>
    <definedName name="Lump_MT_FAMILY" localSheetId="8">#REF!</definedName>
    <definedName name="Lump_MT_FAMILY" localSheetId="11">#REF!</definedName>
    <definedName name="Lump_MT_FAMILY" localSheetId="12">#REF!</definedName>
    <definedName name="Lump_MT_FAMILY" localSheetId="15">#REF!</definedName>
    <definedName name="Lump_MT_FAMILY" localSheetId="19">#REF!</definedName>
    <definedName name="Lump_MT_FAMILY" localSheetId="0">#REF!</definedName>
    <definedName name="Lump_MT_FAMILY">#REF!</definedName>
    <definedName name="Lump_MT_OLDAGE" localSheetId="5">#REF!</definedName>
    <definedName name="Lump_MT_OLDAGE" localSheetId="7">#REF!</definedName>
    <definedName name="Lump_MT_OLDAGE" localSheetId="8">#REF!</definedName>
    <definedName name="Lump_MT_OLDAGE" localSheetId="11">#REF!</definedName>
    <definedName name="Lump_MT_OLDAGE" localSheetId="12">#REF!</definedName>
    <definedName name="Lump_MT_OLDAGE" localSheetId="15">#REF!</definedName>
    <definedName name="Lump_MT_OLDAGE" localSheetId="19">#REF!</definedName>
    <definedName name="Lump_MT_OLDAGE" localSheetId="0">#REF!</definedName>
    <definedName name="Lump_MT_OLDAGE">#REF!</definedName>
    <definedName name="Lump_MT_SICKNESS" localSheetId="5">#REF!</definedName>
    <definedName name="Lump_MT_SICKNESS" localSheetId="7">#REF!</definedName>
    <definedName name="Lump_MT_SICKNESS" localSheetId="8">#REF!</definedName>
    <definedName name="Lump_MT_SICKNESS" localSheetId="11">#REF!</definedName>
    <definedName name="Lump_MT_SICKNESS" localSheetId="12">#REF!</definedName>
    <definedName name="Lump_MT_SICKNESS" localSheetId="15">#REF!</definedName>
    <definedName name="Lump_MT_SICKNESS" localSheetId="19">#REF!</definedName>
    <definedName name="Lump_MT_SICKNESS" localSheetId="0">#REF!</definedName>
    <definedName name="Lump_MT_SICKNESS">#REF!</definedName>
    <definedName name="Lump_MT_SOCIALEXCLUSION" localSheetId="5">#REF!</definedName>
    <definedName name="Lump_MT_SOCIALEXCLUSION" localSheetId="7">#REF!</definedName>
    <definedName name="Lump_MT_SOCIALEXCLUSION" localSheetId="8">#REF!</definedName>
    <definedName name="Lump_MT_SOCIALEXCLUSION" localSheetId="11">#REF!</definedName>
    <definedName name="Lump_MT_SOCIALEXCLUSION" localSheetId="12">#REF!</definedName>
    <definedName name="Lump_MT_SOCIALEXCLUSION" localSheetId="15">#REF!</definedName>
    <definedName name="Lump_MT_SOCIALEXCLUSION" localSheetId="19">#REF!</definedName>
    <definedName name="Lump_MT_SOCIALEXCLUSION" localSheetId="0">#REF!</definedName>
    <definedName name="Lump_MT_SOCIALEXCLUSION">#REF!</definedName>
    <definedName name="Lump_MT_SURVIVORS" localSheetId="5">#REF!</definedName>
    <definedName name="Lump_MT_SURVIVORS" localSheetId="7">#REF!</definedName>
    <definedName name="Lump_MT_SURVIVORS" localSheetId="8">#REF!</definedName>
    <definedName name="Lump_MT_SURVIVORS" localSheetId="11">#REF!</definedName>
    <definedName name="Lump_MT_SURVIVORS" localSheetId="12">#REF!</definedName>
    <definedName name="Lump_MT_SURVIVORS" localSheetId="15">#REF!</definedName>
    <definedName name="Lump_MT_SURVIVORS" localSheetId="19">#REF!</definedName>
    <definedName name="Lump_MT_SURVIVORS" localSheetId="0">#REF!</definedName>
    <definedName name="Lump_MT_SURVIVORS">#REF!</definedName>
    <definedName name="Lump_MT_UNEMPLOYMENT" localSheetId="5">#REF!</definedName>
    <definedName name="Lump_MT_UNEMPLOYMENT" localSheetId="7">#REF!</definedName>
    <definedName name="Lump_MT_UNEMPLOYMENT" localSheetId="8">#REF!</definedName>
    <definedName name="Lump_MT_UNEMPLOYMENT" localSheetId="11">#REF!</definedName>
    <definedName name="Lump_MT_UNEMPLOYMENT" localSheetId="12">#REF!</definedName>
    <definedName name="Lump_MT_UNEMPLOYMENT" localSheetId="15">#REF!</definedName>
    <definedName name="Lump_MT_UNEMPLOYMENT" localSheetId="19">#REF!</definedName>
    <definedName name="Lump_MT_UNEMPLOYMENT" localSheetId="0">#REF!</definedName>
    <definedName name="Lump_MT_UNEMPLOYMENT">#REF!</definedName>
    <definedName name="Lump_NonMT" localSheetId="5">#REF!</definedName>
    <definedName name="Lump_NonMT" localSheetId="7">#REF!</definedName>
    <definedName name="Lump_NonMT" localSheetId="8">#REF!</definedName>
    <definedName name="Lump_NonMT" localSheetId="11">#REF!</definedName>
    <definedName name="Lump_NonMT" localSheetId="12">#REF!</definedName>
    <definedName name="Lump_NonMT" localSheetId="15">#REF!</definedName>
    <definedName name="Lump_NonMT" localSheetId="19">#REF!</definedName>
    <definedName name="Lump_NonMT" localSheetId="0">#REF!</definedName>
    <definedName name="Lump_NonMT">#REF!</definedName>
    <definedName name="Lump_NonMT_DISABILITY" localSheetId="5">#REF!</definedName>
    <definedName name="Lump_NonMT_DISABILITY" localSheetId="7">#REF!</definedName>
    <definedName name="Lump_NonMT_DISABILITY" localSheetId="8">#REF!</definedName>
    <definedName name="Lump_NonMT_DISABILITY" localSheetId="11">#REF!</definedName>
    <definedName name="Lump_NonMT_DISABILITY" localSheetId="12">#REF!</definedName>
    <definedName name="Lump_NonMT_DISABILITY" localSheetId="15">#REF!</definedName>
    <definedName name="Lump_NonMT_DISABILITY" localSheetId="19">#REF!</definedName>
    <definedName name="Lump_NonMT_DISABILITY" localSheetId="0">#REF!</definedName>
    <definedName name="Lump_NonMT_DISABILITY">#REF!</definedName>
    <definedName name="Lump_NonMT_FAMILY" localSheetId="5">#REF!</definedName>
    <definedName name="Lump_NonMT_FAMILY" localSheetId="7">#REF!</definedName>
    <definedName name="Lump_NonMT_FAMILY" localSheetId="8">#REF!</definedName>
    <definedName name="Lump_NonMT_FAMILY" localSheetId="11">#REF!</definedName>
    <definedName name="Lump_NonMT_FAMILY" localSheetId="12">#REF!</definedName>
    <definedName name="Lump_NonMT_FAMILY" localSheetId="15">#REF!</definedName>
    <definedName name="Lump_NonMT_FAMILY" localSheetId="19">#REF!</definedName>
    <definedName name="Lump_NonMT_FAMILY" localSheetId="0">#REF!</definedName>
    <definedName name="Lump_NonMT_FAMILY">#REF!</definedName>
    <definedName name="Lump_NonMT_OLDAGE" localSheetId="5">#REF!</definedName>
    <definedName name="Lump_NonMT_OLDAGE" localSheetId="7">#REF!</definedName>
    <definedName name="Lump_NonMT_OLDAGE" localSheetId="8">#REF!</definedName>
    <definedName name="Lump_NonMT_OLDAGE" localSheetId="11">#REF!</definedName>
    <definedName name="Lump_NonMT_OLDAGE" localSheetId="12">#REF!</definedName>
    <definedName name="Lump_NonMT_OLDAGE" localSheetId="15">#REF!</definedName>
    <definedName name="Lump_NonMT_OLDAGE" localSheetId="19">#REF!</definedName>
    <definedName name="Lump_NonMT_OLDAGE" localSheetId="0">#REF!</definedName>
    <definedName name="Lump_NonMT_OLDAGE">#REF!</definedName>
    <definedName name="Lump_NonMT_SICKNESS" localSheetId="5">#REF!</definedName>
    <definedName name="Lump_NonMT_SICKNESS" localSheetId="7">#REF!</definedName>
    <definedName name="Lump_NonMT_SICKNESS" localSheetId="8">#REF!</definedName>
    <definedName name="Lump_NonMT_SICKNESS" localSheetId="11">#REF!</definedName>
    <definedName name="Lump_NonMT_SICKNESS" localSheetId="12">#REF!</definedName>
    <definedName name="Lump_NonMT_SICKNESS" localSheetId="15">#REF!</definedName>
    <definedName name="Lump_NonMT_SICKNESS" localSheetId="19">#REF!</definedName>
    <definedName name="Lump_NonMT_SICKNESS" localSheetId="0">#REF!</definedName>
    <definedName name="Lump_NonMT_SICKNESS">#REF!</definedName>
    <definedName name="Lump_NonMT_SOCIALEXCLUSION" localSheetId="5">#REF!</definedName>
    <definedName name="Lump_NonMT_SOCIALEXCLUSION" localSheetId="7">#REF!</definedName>
    <definedName name="Lump_NonMT_SOCIALEXCLUSION" localSheetId="8">#REF!</definedName>
    <definedName name="Lump_NonMT_SOCIALEXCLUSION" localSheetId="11">#REF!</definedName>
    <definedName name="Lump_NonMT_SOCIALEXCLUSION" localSheetId="12">#REF!</definedName>
    <definedName name="Lump_NonMT_SOCIALEXCLUSION" localSheetId="15">#REF!</definedName>
    <definedName name="Lump_NonMT_SOCIALEXCLUSION" localSheetId="19">#REF!</definedName>
    <definedName name="Lump_NonMT_SOCIALEXCLUSION" localSheetId="0">#REF!</definedName>
    <definedName name="Lump_NonMT_SOCIALEXCLUSION">#REF!</definedName>
    <definedName name="Lump_NonMT_SURVIVORS" localSheetId="5">#REF!</definedName>
    <definedName name="Lump_NonMT_SURVIVORS" localSheetId="7">#REF!</definedName>
    <definedName name="Lump_NonMT_SURVIVORS" localSheetId="8">#REF!</definedName>
    <definedName name="Lump_NonMT_SURVIVORS" localSheetId="11">#REF!</definedName>
    <definedName name="Lump_NonMT_SURVIVORS" localSheetId="12">#REF!</definedName>
    <definedName name="Lump_NonMT_SURVIVORS" localSheetId="15">#REF!</definedName>
    <definedName name="Lump_NonMT_SURVIVORS" localSheetId="19">#REF!</definedName>
    <definedName name="Lump_NonMT_SURVIVORS" localSheetId="0">#REF!</definedName>
    <definedName name="Lump_NonMT_SURVIVORS">#REF!</definedName>
    <definedName name="Lump_NonMT_UNEMPLOYMENT" localSheetId="5">#REF!</definedName>
    <definedName name="Lump_NonMT_UNEMPLOYMENT" localSheetId="7">#REF!</definedName>
    <definedName name="Lump_NonMT_UNEMPLOYMENT" localSheetId="8">#REF!</definedName>
    <definedName name="Lump_NonMT_UNEMPLOYMENT" localSheetId="11">#REF!</definedName>
    <definedName name="Lump_NonMT_UNEMPLOYMENT" localSheetId="12">#REF!</definedName>
    <definedName name="Lump_NonMT_UNEMPLOYMENT" localSheetId="15">#REF!</definedName>
    <definedName name="Lump_NonMT_UNEMPLOYMENT" localSheetId="19">#REF!</definedName>
    <definedName name="Lump_NonMT_UNEMPLOYMENT" localSheetId="0">#REF!</definedName>
    <definedName name="Lump_NonMT_UNEMPLOYMENT">#REF!</definedName>
    <definedName name="MT" localSheetId="5">#REF!</definedName>
    <definedName name="MT" localSheetId="7">#REF!</definedName>
    <definedName name="MT" localSheetId="8">#REF!</definedName>
    <definedName name="MT" localSheetId="11">#REF!</definedName>
    <definedName name="MT" localSheetId="12">#REF!</definedName>
    <definedName name="MT" localSheetId="15">#REF!</definedName>
    <definedName name="MT" localSheetId="19">#REF!</definedName>
    <definedName name="MT" localSheetId="0">#REF!</definedName>
    <definedName name="MT">#REF!</definedName>
    <definedName name="MT_DISABILITY" localSheetId="5">#REF!</definedName>
    <definedName name="MT_DISABILITY" localSheetId="7">#REF!</definedName>
    <definedName name="MT_DISABILITY" localSheetId="8">#REF!</definedName>
    <definedName name="MT_DISABILITY" localSheetId="11">#REF!</definedName>
    <definedName name="MT_DISABILITY" localSheetId="12">#REF!</definedName>
    <definedName name="MT_DISABILITY" localSheetId="15">#REF!</definedName>
    <definedName name="MT_DISABILITY" localSheetId="19">#REF!</definedName>
    <definedName name="MT_DISABILITY" localSheetId="0">#REF!</definedName>
    <definedName name="MT_DISABILITY">#REF!</definedName>
    <definedName name="MT_FAMILY" localSheetId="5">#REF!</definedName>
    <definedName name="MT_FAMILY" localSheetId="7">#REF!</definedName>
    <definedName name="MT_FAMILY" localSheetId="8">#REF!</definedName>
    <definedName name="MT_FAMILY" localSheetId="11">#REF!</definedName>
    <definedName name="MT_FAMILY" localSheetId="12">#REF!</definedName>
    <definedName name="MT_FAMILY" localSheetId="15">#REF!</definedName>
    <definedName name="MT_FAMILY" localSheetId="19">#REF!</definedName>
    <definedName name="MT_FAMILY" localSheetId="0">#REF!</definedName>
    <definedName name="MT_FAMILY">#REF!</definedName>
    <definedName name="MT_OLDAGE" localSheetId="5">#REF!</definedName>
    <definedName name="MT_OLDAGE" localSheetId="7">#REF!</definedName>
    <definedName name="MT_OLDAGE" localSheetId="8">#REF!</definedName>
    <definedName name="MT_OLDAGE" localSheetId="11">#REF!</definedName>
    <definedName name="MT_OLDAGE" localSheetId="12">#REF!</definedName>
    <definedName name="MT_OLDAGE" localSheetId="15">#REF!</definedName>
    <definedName name="MT_OLDAGE" localSheetId="19">#REF!</definedName>
    <definedName name="MT_OLDAGE" localSheetId="0">#REF!</definedName>
    <definedName name="MT_OLDAGE">#REF!</definedName>
    <definedName name="MT_SICKNESS" localSheetId="5">#REF!</definedName>
    <definedName name="MT_SICKNESS" localSheetId="7">#REF!</definedName>
    <definedName name="MT_SICKNESS" localSheetId="8">#REF!</definedName>
    <definedName name="MT_SICKNESS" localSheetId="11">#REF!</definedName>
    <definedName name="MT_SICKNESS" localSheetId="12">#REF!</definedName>
    <definedName name="MT_SICKNESS" localSheetId="15">#REF!</definedName>
    <definedName name="MT_SICKNESS" localSheetId="19">#REF!</definedName>
    <definedName name="MT_SICKNESS" localSheetId="0">#REF!</definedName>
    <definedName name="MT_SICKNESS">#REF!</definedName>
    <definedName name="MT_SOCIALEXCLUSION" localSheetId="5">#REF!</definedName>
    <definedName name="MT_SOCIALEXCLUSION" localSheetId="7">#REF!</definedName>
    <definedName name="MT_SOCIALEXCLUSION" localSheetId="8">#REF!</definedName>
    <definedName name="MT_SOCIALEXCLUSION" localSheetId="11">#REF!</definedName>
    <definedName name="MT_SOCIALEXCLUSION" localSheetId="12">#REF!</definedName>
    <definedName name="MT_SOCIALEXCLUSION" localSheetId="15">#REF!</definedName>
    <definedName name="MT_SOCIALEXCLUSION" localSheetId="19">#REF!</definedName>
    <definedName name="MT_SOCIALEXCLUSION" localSheetId="0">#REF!</definedName>
    <definedName name="MT_SOCIALEXCLUSION">#REF!</definedName>
    <definedName name="MT_SURVIVORS" localSheetId="5">#REF!</definedName>
    <definedName name="MT_SURVIVORS" localSheetId="7">#REF!</definedName>
    <definedName name="MT_SURVIVORS" localSheetId="8">#REF!</definedName>
    <definedName name="MT_SURVIVORS" localSheetId="11">#REF!</definedName>
    <definedName name="MT_SURVIVORS" localSheetId="12">#REF!</definedName>
    <definedName name="MT_SURVIVORS" localSheetId="15">#REF!</definedName>
    <definedName name="MT_SURVIVORS" localSheetId="19">#REF!</definedName>
    <definedName name="MT_SURVIVORS" localSheetId="0">#REF!</definedName>
    <definedName name="MT_SURVIVORS">#REF!</definedName>
    <definedName name="MT_UNEMPLOYMENT" localSheetId="5">#REF!</definedName>
    <definedName name="MT_UNEMPLOYMENT" localSheetId="7">#REF!</definedName>
    <definedName name="MT_UNEMPLOYMENT" localSheetId="8">#REF!</definedName>
    <definedName name="MT_UNEMPLOYMENT" localSheetId="11">#REF!</definedName>
    <definedName name="MT_UNEMPLOYMENT" localSheetId="12">#REF!</definedName>
    <definedName name="MT_UNEMPLOYMENT" localSheetId="15">#REF!</definedName>
    <definedName name="MT_UNEMPLOYMENT" localSheetId="19">#REF!</definedName>
    <definedName name="MT_UNEMPLOYMENT" localSheetId="0">#REF!</definedName>
    <definedName name="MT_UNEMPLOYMENT">#REF!</definedName>
    <definedName name="NetData" localSheetId="5">#REF!</definedName>
    <definedName name="NetData" localSheetId="7">#REF!</definedName>
    <definedName name="NetData" localSheetId="8">#REF!</definedName>
    <definedName name="NetData" localSheetId="11">#REF!</definedName>
    <definedName name="NetData" localSheetId="12">#REF!</definedName>
    <definedName name="NetData" localSheetId="15">#REF!</definedName>
    <definedName name="NetData" localSheetId="19">#REF!</definedName>
    <definedName name="NetData" localSheetId="0">#REF!</definedName>
    <definedName name="NetData">#REF!</definedName>
    <definedName name="NoDataEntered">"*"</definedName>
    <definedName name="NonMT" localSheetId="5">#REF!</definedName>
    <definedName name="NonMT" localSheetId="7">#REF!</definedName>
    <definedName name="NonMT" localSheetId="8">#REF!</definedName>
    <definedName name="NonMT" localSheetId="11">#REF!</definedName>
    <definedName name="NonMT" localSheetId="12">#REF!</definedName>
    <definedName name="NonMT" localSheetId="15">#REF!</definedName>
    <definedName name="NonMT" localSheetId="16">#REF!</definedName>
    <definedName name="NonMT" localSheetId="19">#REF!</definedName>
    <definedName name="NonMT" localSheetId="23">#REF!</definedName>
    <definedName name="NonMT" localSheetId="28">#REF!</definedName>
    <definedName name="NonMT" localSheetId="30">#REF!</definedName>
    <definedName name="NonMT" localSheetId="0">#REF!</definedName>
    <definedName name="NonMT" localSheetId="37">#REF!</definedName>
    <definedName name="NonMT" localSheetId="38">#REF!</definedName>
    <definedName name="NonMT">#REF!</definedName>
    <definedName name="NonMT_DISABILITY" localSheetId="5">#REF!</definedName>
    <definedName name="NonMT_DISABILITY" localSheetId="7">#REF!</definedName>
    <definedName name="NonMT_DISABILITY" localSheetId="8">#REF!</definedName>
    <definedName name="NonMT_DISABILITY" localSheetId="11">#REF!</definedName>
    <definedName name="NonMT_DISABILITY" localSheetId="12">#REF!</definedName>
    <definedName name="NonMT_DISABILITY" localSheetId="15">#REF!</definedName>
    <definedName name="NonMT_DISABILITY" localSheetId="16">#REF!</definedName>
    <definedName name="NonMT_DISABILITY" localSheetId="19">#REF!</definedName>
    <definedName name="NonMT_DISABILITY" localSheetId="23">#REF!</definedName>
    <definedName name="NonMT_DISABILITY" localSheetId="28">#REF!</definedName>
    <definedName name="NonMT_DISABILITY" localSheetId="30">#REF!</definedName>
    <definedName name="NonMT_DISABILITY" localSheetId="0">#REF!</definedName>
    <definedName name="NonMT_DISABILITY" localSheetId="37">#REF!</definedName>
    <definedName name="NonMT_DISABILITY" localSheetId="38">#REF!</definedName>
    <definedName name="NonMT_DISABILITY">#REF!</definedName>
    <definedName name="NonMT_FAMILY" localSheetId="5">#REF!</definedName>
    <definedName name="NonMT_FAMILY" localSheetId="7">#REF!</definedName>
    <definedName name="NonMT_FAMILY" localSheetId="8">#REF!</definedName>
    <definedName name="NonMT_FAMILY" localSheetId="11">#REF!</definedName>
    <definedName name="NonMT_FAMILY" localSheetId="12">#REF!</definedName>
    <definedName name="NonMT_FAMILY" localSheetId="15">#REF!</definedName>
    <definedName name="NonMT_FAMILY" localSheetId="16">#REF!</definedName>
    <definedName name="NonMT_FAMILY" localSheetId="19">#REF!</definedName>
    <definedName name="NonMT_FAMILY" localSheetId="28">#REF!</definedName>
    <definedName name="NonMT_FAMILY" localSheetId="30">#REF!</definedName>
    <definedName name="NonMT_FAMILY" localSheetId="0">#REF!</definedName>
    <definedName name="NonMT_FAMILY" localSheetId="37">#REF!</definedName>
    <definedName name="NonMT_FAMILY" localSheetId="38">#REF!</definedName>
    <definedName name="NonMT_FAMILY">#REF!</definedName>
    <definedName name="NonMT_OLDAGE" localSheetId="5">#REF!</definedName>
    <definedName name="NonMT_OLDAGE" localSheetId="7">#REF!</definedName>
    <definedName name="NonMT_OLDAGE" localSheetId="8">#REF!</definedName>
    <definedName name="NonMT_OLDAGE" localSheetId="11">#REF!</definedName>
    <definedName name="NonMT_OLDAGE" localSheetId="12">#REF!</definedName>
    <definedName name="NonMT_OLDAGE" localSheetId="15">#REF!</definedName>
    <definedName name="NonMT_OLDAGE" localSheetId="19">#REF!</definedName>
    <definedName name="NonMT_OLDAGE" localSheetId="0">#REF!</definedName>
    <definedName name="NonMT_OLDAGE">#REF!</definedName>
    <definedName name="NonMT_SICKNESS" localSheetId="5">#REF!</definedName>
    <definedName name="NonMT_SICKNESS" localSheetId="7">#REF!</definedName>
    <definedName name="NonMT_SICKNESS" localSheetId="8">#REF!</definedName>
    <definedName name="NonMT_SICKNESS" localSheetId="11">#REF!</definedName>
    <definedName name="NonMT_SICKNESS" localSheetId="12">#REF!</definedName>
    <definedName name="NonMT_SICKNESS" localSheetId="15">#REF!</definedName>
    <definedName name="NonMT_SICKNESS" localSheetId="19">#REF!</definedName>
    <definedName name="NonMT_SICKNESS" localSheetId="0">#REF!</definedName>
    <definedName name="NonMT_SICKNESS">#REF!</definedName>
    <definedName name="NonMT_SOCIALEXCLUSION" localSheetId="5">#REF!</definedName>
    <definedName name="NonMT_SOCIALEXCLUSION" localSheetId="7">#REF!</definedName>
    <definedName name="NonMT_SOCIALEXCLUSION" localSheetId="8">#REF!</definedName>
    <definedName name="NonMT_SOCIALEXCLUSION" localSheetId="11">#REF!</definedName>
    <definedName name="NonMT_SOCIALEXCLUSION" localSheetId="12">#REF!</definedName>
    <definedName name="NonMT_SOCIALEXCLUSION" localSheetId="15">#REF!</definedName>
    <definedName name="NonMT_SOCIALEXCLUSION" localSheetId="19">#REF!</definedName>
    <definedName name="NonMT_SOCIALEXCLUSION" localSheetId="0">#REF!</definedName>
    <definedName name="NonMT_SOCIALEXCLUSION">#REF!</definedName>
    <definedName name="NonMT_SURVIVORS" localSheetId="5">#REF!</definedName>
    <definedName name="NonMT_SURVIVORS" localSheetId="7">#REF!</definedName>
    <definedName name="NonMT_SURVIVORS" localSheetId="8">#REF!</definedName>
    <definedName name="NonMT_SURVIVORS" localSheetId="11">#REF!</definedName>
    <definedName name="NonMT_SURVIVORS" localSheetId="12">#REF!</definedName>
    <definedName name="NonMT_SURVIVORS" localSheetId="15">#REF!</definedName>
    <definedName name="NonMT_SURVIVORS" localSheetId="19">#REF!</definedName>
    <definedName name="NonMT_SURVIVORS" localSheetId="0">#REF!</definedName>
    <definedName name="NonMT_SURVIVORS">#REF!</definedName>
    <definedName name="NonMT_UNEMPLOYMENT" localSheetId="5">#REF!</definedName>
    <definedName name="NonMT_UNEMPLOYMENT" localSheetId="7">#REF!</definedName>
    <definedName name="NonMT_UNEMPLOYMENT" localSheetId="8">#REF!</definedName>
    <definedName name="NonMT_UNEMPLOYMENT" localSheetId="11">#REF!</definedName>
    <definedName name="NonMT_UNEMPLOYMENT" localSheetId="12">#REF!</definedName>
    <definedName name="NonMT_UNEMPLOYMENT" localSheetId="15">#REF!</definedName>
    <definedName name="NonMT_UNEMPLOYMENT" localSheetId="19">#REF!</definedName>
    <definedName name="NonMT_UNEMPLOYMENT" localSheetId="0">#REF!</definedName>
    <definedName name="NonMT_UNEMPLOYMENT">#REF!</definedName>
    <definedName name="Periodic_MT" localSheetId="5">#REF!</definedName>
    <definedName name="Periodic_MT" localSheetId="7">#REF!</definedName>
    <definedName name="Periodic_MT" localSheetId="8">#REF!</definedName>
    <definedName name="Periodic_MT" localSheetId="11">#REF!</definedName>
    <definedName name="Periodic_MT" localSheetId="12">#REF!</definedName>
    <definedName name="Periodic_MT" localSheetId="15">#REF!</definedName>
    <definedName name="Periodic_MT" localSheetId="19">#REF!</definedName>
    <definedName name="Periodic_MT" localSheetId="0">#REF!</definedName>
    <definedName name="Periodic_MT">#REF!</definedName>
    <definedName name="Periodic_MT_DISABILITY" localSheetId="5">#REF!</definedName>
    <definedName name="Periodic_MT_DISABILITY" localSheetId="7">#REF!</definedName>
    <definedName name="Periodic_MT_DISABILITY" localSheetId="8">#REF!</definedName>
    <definedName name="Periodic_MT_DISABILITY" localSheetId="11">#REF!</definedName>
    <definedName name="Periodic_MT_DISABILITY" localSheetId="12">#REF!</definedName>
    <definedName name="Periodic_MT_DISABILITY" localSheetId="15">#REF!</definedName>
    <definedName name="Periodic_MT_DISABILITY" localSheetId="19">#REF!</definedName>
    <definedName name="Periodic_MT_DISABILITY" localSheetId="0">#REF!</definedName>
    <definedName name="Periodic_MT_DISABILITY">#REF!</definedName>
    <definedName name="Periodic_MT_FAMILY" localSheetId="5">#REF!</definedName>
    <definedName name="Periodic_MT_FAMILY" localSheetId="7">#REF!</definedName>
    <definedName name="Periodic_MT_FAMILY" localSheetId="8">#REF!</definedName>
    <definedName name="Periodic_MT_FAMILY" localSheetId="11">#REF!</definedName>
    <definedName name="Periodic_MT_FAMILY" localSheetId="12">#REF!</definedName>
    <definedName name="Periodic_MT_FAMILY" localSheetId="15">#REF!</definedName>
    <definedName name="Periodic_MT_FAMILY" localSheetId="19">#REF!</definedName>
    <definedName name="Periodic_MT_FAMILY" localSheetId="0">#REF!</definedName>
    <definedName name="Periodic_MT_FAMILY">#REF!</definedName>
    <definedName name="Periodic_MT_OLDAGE" localSheetId="5">#REF!</definedName>
    <definedName name="Periodic_MT_OLDAGE" localSheetId="7">#REF!</definedName>
    <definedName name="Periodic_MT_OLDAGE" localSheetId="8">#REF!</definedName>
    <definedName name="Periodic_MT_OLDAGE" localSheetId="11">#REF!</definedName>
    <definedName name="Periodic_MT_OLDAGE" localSheetId="12">#REF!</definedName>
    <definedName name="Periodic_MT_OLDAGE" localSheetId="15">#REF!</definedName>
    <definedName name="Periodic_MT_OLDAGE" localSheetId="19">#REF!</definedName>
    <definedName name="Periodic_MT_OLDAGE" localSheetId="0">#REF!</definedName>
    <definedName name="Periodic_MT_OLDAGE">#REF!</definedName>
    <definedName name="Periodic_MT_SICKNESS" localSheetId="5">#REF!</definedName>
    <definedName name="Periodic_MT_SICKNESS" localSheetId="7">#REF!</definedName>
    <definedName name="Periodic_MT_SICKNESS" localSheetId="8">#REF!</definedName>
    <definedName name="Periodic_MT_SICKNESS" localSheetId="11">#REF!</definedName>
    <definedName name="Periodic_MT_SICKNESS" localSheetId="12">#REF!</definedName>
    <definedName name="Periodic_MT_SICKNESS" localSheetId="15">#REF!</definedName>
    <definedName name="Periodic_MT_SICKNESS" localSheetId="19">#REF!</definedName>
    <definedName name="Periodic_MT_SICKNESS" localSheetId="0">#REF!</definedName>
    <definedName name="Periodic_MT_SICKNESS">#REF!</definedName>
    <definedName name="Periodic_MT_SOCIALEXCLUSION" localSheetId="5">#REF!</definedName>
    <definedName name="Periodic_MT_SOCIALEXCLUSION" localSheetId="7">#REF!</definedName>
    <definedName name="Periodic_MT_SOCIALEXCLUSION" localSheetId="8">#REF!</definedName>
    <definedName name="Periodic_MT_SOCIALEXCLUSION" localSheetId="11">#REF!</definedName>
    <definedName name="Periodic_MT_SOCIALEXCLUSION" localSheetId="12">#REF!</definedName>
    <definedName name="Periodic_MT_SOCIALEXCLUSION" localSheetId="15">#REF!</definedName>
    <definedName name="Periodic_MT_SOCIALEXCLUSION" localSheetId="19">#REF!</definedName>
    <definedName name="Periodic_MT_SOCIALEXCLUSION" localSheetId="0">#REF!</definedName>
    <definedName name="Periodic_MT_SOCIALEXCLUSION">#REF!</definedName>
    <definedName name="Periodic_MT_SURVIVORS" localSheetId="5">#REF!</definedName>
    <definedName name="Periodic_MT_SURVIVORS" localSheetId="7">#REF!</definedName>
    <definedName name="Periodic_MT_SURVIVORS" localSheetId="8">#REF!</definedName>
    <definedName name="Periodic_MT_SURVIVORS" localSheetId="11">#REF!</definedName>
    <definedName name="Periodic_MT_SURVIVORS" localSheetId="12">#REF!</definedName>
    <definedName name="Periodic_MT_SURVIVORS" localSheetId="15">#REF!</definedName>
    <definedName name="Periodic_MT_SURVIVORS" localSheetId="19">#REF!</definedName>
    <definedName name="Periodic_MT_SURVIVORS" localSheetId="0">#REF!</definedName>
    <definedName name="Periodic_MT_SURVIVORS">#REF!</definedName>
    <definedName name="Periodic_MT_UNEMPLOYMENT" localSheetId="5">#REF!</definedName>
    <definedName name="Periodic_MT_UNEMPLOYMENT" localSheetId="7">#REF!</definedName>
    <definedName name="Periodic_MT_UNEMPLOYMENT" localSheetId="8">#REF!</definedName>
    <definedName name="Periodic_MT_UNEMPLOYMENT" localSheetId="11">#REF!</definedName>
    <definedName name="Periodic_MT_UNEMPLOYMENT" localSheetId="12">#REF!</definedName>
    <definedName name="Periodic_MT_UNEMPLOYMENT" localSheetId="15">#REF!</definedName>
    <definedName name="Periodic_MT_UNEMPLOYMENT" localSheetId="19">#REF!</definedName>
    <definedName name="Periodic_MT_UNEMPLOYMENT" localSheetId="0">#REF!</definedName>
    <definedName name="Periodic_MT_UNEMPLOYMENT">#REF!</definedName>
    <definedName name="Periodic_NonMT" localSheetId="5">#REF!</definedName>
    <definedName name="Periodic_NonMT" localSheetId="7">#REF!</definedName>
    <definedName name="Periodic_NonMT" localSheetId="8">#REF!</definedName>
    <definedName name="Periodic_NonMT" localSheetId="11">#REF!</definedName>
    <definedName name="Periodic_NonMT" localSheetId="12">#REF!</definedName>
    <definedName name="Periodic_NonMT" localSheetId="15">#REF!</definedName>
    <definedName name="Periodic_NonMT" localSheetId="19">#REF!</definedName>
    <definedName name="Periodic_NonMT" localSheetId="0">#REF!</definedName>
    <definedName name="Periodic_NonMT">#REF!</definedName>
    <definedName name="Periodic_NonMT_DISABILITY" localSheetId="5">#REF!</definedName>
    <definedName name="Periodic_NonMT_DISABILITY" localSheetId="7">#REF!</definedName>
    <definedName name="Periodic_NonMT_DISABILITY" localSheetId="8">#REF!</definedName>
    <definedName name="Periodic_NonMT_DISABILITY" localSheetId="11">#REF!</definedName>
    <definedName name="Periodic_NonMT_DISABILITY" localSheetId="12">#REF!</definedName>
    <definedName name="Periodic_NonMT_DISABILITY" localSheetId="15">#REF!</definedName>
    <definedName name="Periodic_NonMT_DISABILITY" localSheetId="19">#REF!</definedName>
    <definedName name="Periodic_NonMT_DISABILITY" localSheetId="0">#REF!</definedName>
    <definedName name="Periodic_NonMT_DISABILITY">#REF!</definedName>
    <definedName name="Periodic_NonMT_FAMILY" localSheetId="5">#REF!</definedName>
    <definedName name="Periodic_NonMT_FAMILY" localSheetId="7">#REF!</definedName>
    <definedName name="Periodic_NonMT_FAMILY" localSheetId="8">#REF!</definedName>
    <definedName name="Periodic_NonMT_FAMILY" localSheetId="11">#REF!</definedName>
    <definedName name="Periodic_NonMT_FAMILY" localSheetId="12">#REF!</definedName>
    <definedName name="Periodic_NonMT_FAMILY" localSheetId="15">#REF!</definedName>
    <definedName name="Periodic_NonMT_FAMILY" localSheetId="19">#REF!</definedName>
    <definedName name="Periodic_NonMT_FAMILY" localSheetId="0">#REF!</definedName>
    <definedName name="Periodic_NonMT_FAMILY">#REF!</definedName>
    <definedName name="Periodic_NonMT_OLDAGE" localSheetId="5">#REF!</definedName>
    <definedName name="Periodic_NonMT_OLDAGE" localSheetId="7">#REF!</definedName>
    <definedName name="Periodic_NonMT_OLDAGE" localSheetId="8">#REF!</definedName>
    <definedName name="Periodic_NonMT_OLDAGE" localSheetId="11">#REF!</definedName>
    <definedName name="Periodic_NonMT_OLDAGE" localSheetId="12">#REF!</definedName>
    <definedName name="Periodic_NonMT_OLDAGE" localSheetId="15">#REF!</definedName>
    <definedName name="Periodic_NonMT_OLDAGE" localSheetId="19">#REF!</definedName>
    <definedName name="Periodic_NonMT_OLDAGE" localSheetId="0">#REF!</definedName>
    <definedName name="Periodic_NonMT_OLDAGE">#REF!</definedName>
    <definedName name="Periodic_NonMT_SICKNESS" localSheetId="5">#REF!</definedName>
    <definedName name="Periodic_NonMT_SICKNESS" localSheetId="7">#REF!</definedName>
    <definedName name="Periodic_NonMT_SICKNESS" localSheetId="8">#REF!</definedName>
    <definedName name="Periodic_NonMT_SICKNESS" localSheetId="11">#REF!</definedName>
    <definedName name="Periodic_NonMT_SICKNESS" localSheetId="12">#REF!</definedName>
    <definedName name="Periodic_NonMT_SICKNESS" localSheetId="15">#REF!</definedName>
    <definedName name="Periodic_NonMT_SICKNESS" localSheetId="19">#REF!</definedName>
    <definedName name="Periodic_NonMT_SICKNESS" localSheetId="0">#REF!</definedName>
    <definedName name="Periodic_NonMT_SICKNESS">#REF!</definedName>
    <definedName name="Periodic_NonMT_SOCIALEXCLUSION" localSheetId="5">#REF!</definedName>
    <definedName name="Periodic_NonMT_SOCIALEXCLUSION" localSheetId="7">#REF!</definedName>
    <definedName name="Periodic_NonMT_SOCIALEXCLUSION" localSheetId="8">#REF!</definedName>
    <definedName name="Periodic_NonMT_SOCIALEXCLUSION" localSheetId="11">#REF!</definedName>
    <definedName name="Periodic_NonMT_SOCIALEXCLUSION" localSheetId="12">#REF!</definedName>
    <definedName name="Periodic_NonMT_SOCIALEXCLUSION" localSheetId="15">#REF!</definedName>
    <definedName name="Periodic_NonMT_SOCIALEXCLUSION" localSheetId="19">#REF!</definedName>
    <definedName name="Periodic_NonMT_SOCIALEXCLUSION" localSheetId="0">#REF!</definedName>
    <definedName name="Periodic_NonMT_SOCIALEXCLUSION">#REF!</definedName>
    <definedName name="Periodic_NonMT_SURVIVORS" localSheetId="5">#REF!</definedName>
    <definedName name="Periodic_NonMT_SURVIVORS" localSheetId="7">#REF!</definedName>
    <definedName name="Periodic_NonMT_SURVIVORS" localSheetId="8">#REF!</definedName>
    <definedName name="Periodic_NonMT_SURVIVORS" localSheetId="11">#REF!</definedName>
    <definedName name="Periodic_NonMT_SURVIVORS" localSheetId="12">#REF!</definedName>
    <definedName name="Periodic_NonMT_SURVIVORS" localSheetId="15">#REF!</definedName>
    <definedName name="Periodic_NonMT_SURVIVORS" localSheetId="19">#REF!</definedName>
    <definedName name="Periodic_NonMT_SURVIVORS" localSheetId="0">#REF!</definedName>
    <definedName name="Periodic_NonMT_SURVIVORS">#REF!</definedName>
    <definedName name="Periodic_NonMT_UNEMPLOYMENT" localSheetId="5">#REF!</definedName>
    <definedName name="Periodic_NonMT_UNEMPLOYMENT" localSheetId="7">#REF!</definedName>
    <definedName name="Periodic_NonMT_UNEMPLOYMENT" localSheetId="8">#REF!</definedName>
    <definedName name="Periodic_NonMT_UNEMPLOYMENT" localSheetId="11">#REF!</definedName>
    <definedName name="Periodic_NonMT_UNEMPLOYMENT" localSheetId="12">#REF!</definedName>
    <definedName name="Periodic_NonMT_UNEMPLOYMENT" localSheetId="15">#REF!</definedName>
    <definedName name="Periodic_NonMT_UNEMPLOYMENT" localSheetId="19">#REF!</definedName>
    <definedName name="Periodic_NonMT_UNEMPLOYMENT" localSheetId="0">#REF!</definedName>
    <definedName name="Periodic_NonMT_UNEMPLOYMENT">#REF!</definedName>
    <definedName name="_xlnm.Print_Area" localSheetId="1">AUS!$B$15:$AR$185</definedName>
    <definedName name="_xlnm.Print_Area" localSheetId="2">AUT!$B$1:$AQ$116</definedName>
    <definedName name="_xlnm.Print_Area" localSheetId="3">BEL!$B$1:$AQ$115</definedName>
    <definedName name="_xlnm.Print_Area" localSheetId="5">CHE!$A$15:$AO$128</definedName>
    <definedName name="_xlnm.Print_Area" localSheetId="6">CHL!$B$15:$AR$149</definedName>
    <definedName name="_xlnm.Print_Area" localSheetId="7">COL!$B$15:$AP$155</definedName>
    <definedName name="_xlnm.Print_Area" localSheetId="8">CRI!$B$15:$AP$155</definedName>
    <definedName name="_xlnm.Print_Area" localSheetId="9">CZE!$B$15:$AQ$136</definedName>
    <definedName name="_xlnm.Print_Area" localSheetId="10">DEU!$A$15:$AQ$131</definedName>
    <definedName name="_xlnm.Print_Area" localSheetId="11">DNK!$B$14:$BB$108</definedName>
    <definedName name="_xlnm.Print_Area" localSheetId="12">ESP!$B$15:$AO$124</definedName>
    <definedName name="_xlnm.Print_Area" localSheetId="13">EST!$B$1:$AQ$116</definedName>
    <definedName name="_xlnm.Print_Area" localSheetId="14">FIN!$B$1:$AQ$116</definedName>
    <definedName name="_xlnm.Print_Area" localSheetId="15">FRA!$A$15:$AO$164</definedName>
    <definedName name="_xlnm.Print_Area" localSheetId="16">GBR!$B$15:$AO$143</definedName>
    <definedName name="_xlnm.Print_Area" localSheetId="17">GRC!$B$15:$AV$106</definedName>
    <definedName name="_xlnm.Print_Area" localSheetId="18">HUN!$B$15:$AO$121</definedName>
    <definedName name="_xlnm.Print_Area" localSheetId="19">IRL!$B$15:$AN$155</definedName>
    <definedName name="_xlnm.Print_Area" localSheetId="20">ISL!$B$15:$AN$100</definedName>
    <definedName name="_xlnm.Print_Area" localSheetId="21">ISR!$B$15:$AP$126</definedName>
    <definedName name="_xlnm.Print_Area" localSheetId="22">ITA!$B$15:$AN$148</definedName>
    <definedName name="_xlnm.Print_Area" localSheetId="23">JPN!$B$15:$AN$118</definedName>
    <definedName name="_xlnm.Print_Area" localSheetId="24">KOR!$A$15:$AO$125</definedName>
    <definedName name="_xlnm.Print_Area" localSheetId="25">LTU!$B$15:$AO$112</definedName>
    <definedName name="_xlnm.Print_Area" localSheetId="26">LUX!$B$15:$AN$103</definedName>
    <definedName name="_xlnm.Print_Area" localSheetId="27">LVA!$B$15:$AO$135</definedName>
    <definedName name="_xlnm.Print_Area" localSheetId="28">MEX!$B$15:$AP$116</definedName>
    <definedName name="_xlnm.Print_Area" localSheetId="29">NLD!$B$15:$AO$128</definedName>
    <definedName name="_xlnm.Print_Area" localSheetId="31">NOR!$B$15:$AO$113</definedName>
    <definedName name="_xlnm.Print_Area" localSheetId="30">NZL!$C$15:$AR$119</definedName>
    <definedName name="_xlnm.Print_Area" localSheetId="33">POL!$B$15:$AN$115</definedName>
    <definedName name="_xlnm.Print_Area" localSheetId="32">PRT!$B$15:$AO$126</definedName>
    <definedName name="_xlnm.Print_Area" localSheetId="0">Read_Me!$A$1:$A$20</definedName>
    <definedName name="_xlnm.Print_Area" localSheetId="34">SVK!$B$15:$AO$136</definedName>
    <definedName name="_xlnm.Print_Area" localSheetId="35">SVN!$B$15:$AN$172</definedName>
    <definedName name="_xlnm.Print_Area" localSheetId="36">SWE!$B$15:$AO$107</definedName>
    <definedName name="_xlnm.Print_Area" localSheetId="37">TUR!$B$15:$AQ$121</definedName>
    <definedName name="_xlnm.Print_Area" localSheetId="38">USA!$B$15:$AN$165</definedName>
    <definedName name="_xlnm.Print_Area">'[1]Data 1990'!#REF!</definedName>
    <definedName name="_xlnm.Print_Titles" localSheetId="11">DNK!$15:$18</definedName>
    <definedName name="_xlnm.Print_Titles" localSheetId="35">SVN!$15:$18</definedName>
    <definedName name="RANGIRL" localSheetId="5">#REF!</definedName>
    <definedName name="RANGIRL" localSheetId="7">#REF!</definedName>
    <definedName name="RANGIRL" localSheetId="8">#REF!</definedName>
    <definedName name="RANGIRL" localSheetId="11">#REF!</definedName>
    <definedName name="RANGIRL" localSheetId="12">#REF!</definedName>
    <definedName name="RANGIRL" localSheetId="15">#REF!</definedName>
    <definedName name="RANGIRL" localSheetId="16">#REF!</definedName>
    <definedName name="RANGIRL" localSheetId="19">#REF!</definedName>
    <definedName name="RANGIRL" localSheetId="23">#REF!</definedName>
    <definedName name="RANGIRL" localSheetId="28">#REF!</definedName>
    <definedName name="RANGIRL" localSheetId="30">#REF!</definedName>
    <definedName name="RANGIRL" localSheetId="0">#REF!</definedName>
    <definedName name="RANGIRL" localSheetId="35">#REF!</definedName>
    <definedName name="RANGIRL" localSheetId="37">#REF!</definedName>
    <definedName name="RANGIRL" localSheetId="38">#REF!</definedName>
    <definedName name="RANGIRL">#REF!</definedName>
    <definedName name="rngAUT99" localSheetId="5">#REF!</definedName>
    <definedName name="rngAUT99" localSheetId="7">#REF!</definedName>
    <definedName name="rngAUT99" localSheetId="8">#REF!</definedName>
    <definedName name="rngAUT99" localSheetId="11">#REF!</definedName>
    <definedName name="rngAUT99" localSheetId="12">#REF!</definedName>
    <definedName name="rngAUT99" localSheetId="15">#REF!</definedName>
    <definedName name="rngAUT99" localSheetId="16">#REF!</definedName>
    <definedName name="rngAUT99" localSheetId="19">#REF!</definedName>
    <definedName name="rngAUT99" localSheetId="23">#REF!</definedName>
    <definedName name="rngAUT99" localSheetId="28">#REF!</definedName>
    <definedName name="rngAUT99" localSheetId="30">#REF!</definedName>
    <definedName name="rngAUT99" localSheetId="0">#REF!</definedName>
    <definedName name="rngAUT99" localSheetId="35">#REF!</definedName>
    <definedName name="rngAUT99" localSheetId="38">#REF!</definedName>
    <definedName name="rngAUT99">#REF!</definedName>
    <definedName name="rngCAN99" localSheetId="5">#REF!</definedName>
    <definedName name="rngCAN99" localSheetId="7">#REF!</definedName>
    <definedName name="rngCAN99" localSheetId="8">#REF!</definedName>
    <definedName name="rngCAN99" localSheetId="11">#REF!</definedName>
    <definedName name="rngCAN99" localSheetId="12">#REF!</definedName>
    <definedName name="rngCAN99" localSheetId="15">#REF!</definedName>
    <definedName name="rngCAN99" localSheetId="19">#REF!</definedName>
    <definedName name="rngCAN99" localSheetId="0">#REF!</definedName>
    <definedName name="rngCAN99" localSheetId="35">#REF!</definedName>
    <definedName name="rngCAN99">#REF!</definedName>
    <definedName name="rngDEU99" localSheetId="5">#REF!</definedName>
    <definedName name="rngDEU99" localSheetId="7">#REF!</definedName>
    <definedName name="rngDEU99" localSheetId="8">#REF!</definedName>
    <definedName name="rngDEU99" localSheetId="11">#REF!</definedName>
    <definedName name="rngDEU99" localSheetId="12">#REF!</definedName>
    <definedName name="rngDEU99" localSheetId="15">#REF!</definedName>
    <definedName name="rngDEU99" localSheetId="19">#REF!</definedName>
    <definedName name="rngDEU99" localSheetId="0">#REF!</definedName>
    <definedName name="rngDEU99" localSheetId="35">#REF!</definedName>
    <definedName name="rngDEU99">#REF!</definedName>
    <definedName name="rngFIN" localSheetId="5">#REF!</definedName>
    <definedName name="rngFIN" localSheetId="7">#REF!</definedName>
    <definedName name="rngFIN" localSheetId="8">#REF!</definedName>
    <definedName name="rngFIN" localSheetId="11">#REF!</definedName>
    <definedName name="rngFIN" localSheetId="12">#REF!</definedName>
    <definedName name="rngFIN" localSheetId="15">#REF!</definedName>
    <definedName name="rngFIN" localSheetId="19">#REF!</definedName>
    <definedName name="rngFIN" localSheetId="0">#REF!</definedName>
    <definedName name="rngFIN" localSheetId="35">#REF!</definedName>
    <definedName name="rngFIN">#REF!</definedName>
    <definedName name="rngFIN99" localSheetId="5">#REF!</definedName>
    <definedName name="rngFIN99" localSheetId="7">#REF!</definedName>
    <definedName name="rngFIN99" localSheetId="8">#REF!</definedName>
    <definedName name="rngFIN99" localSheetId="11">#REF!</definedName>
    <definedName name="rngFIN99" localSheetId="12">#REF!</definedName>
    <definedName name="rngFIN99" localSheetId="15">#REF!</definedName>
    <definedName name="rngFIN99" localSheetId="19">#REF!</definedName>
    <definedName name="rngFIN99" localSheetId="0">#REF!</definedName>
    <definedName name="rngFIN99" localSheetId="35">#REF!</definedName>
    <definedName name="rngFIN99">#REF!</definedName>
    <definedName name="rngGBR" localSheetId="5">#REF!</definedName>
    <definedName name="rngGBR" localSheetId="7">#REF!</definedName>
    <definedName name="rngGBR" localSheetId="8">#REF!</definedName>
    <definedName name="rngGBR" localSheetId="11">#REF!</definedName>
    <definedName name="rngGBR" localSheetId="12">#REF!</definedName>
    <definedName name="rngGBR" localSheetId="15">#REF!</definedName>
    <definedName name="rngGBR" localSheetId="19">#REF!</definedName>
    <definedName name="rngGBR" localSheetId="0">#REF!</definedName>
    <definedName name="rngGBR" localSheetId="35">#REF!</definedName>
    <definedName name="rngGBR">#REF!</definedName>
    <definedName name="rngGBR99" localSheetId="5">#REF!</definedName>
    <definedName name="rngGBR99" localSheetId="7">#REF!</definedName>
    <definedName name="rngGBR99" localSheetId="8">#REF!</definedName>
    <definedName name="rngGBR99" localSheetId="11">#REF!</definedName>
    <definedName name="rngGBR99" localSheetId="12">#REF!</definedName>
    <definedName name="rngGBR99" localSheetId="15">#REF!</definedName>
    <definedName name="rngGBR99" localSheetId="19">#REF!</definedName>
    <definedName name="rngGBR99" localSheetId="0">#REF!</definedName>
    <definedName name="rngGBR99" localSheetId="35">#REF!</definedName>
    <definedName name="rngGBR99">#REF!</definedName>
    <definedName name="rngIRL" localSheetId="5">#REF!</definedName>
    <definedName name="rngIRL" localSheetId="7">#REF!</definedName>
    <definedName name="rngIRL" localSheetId="8">#REF!</definedName>
    <definedName name="rngIRL" localSheetId="11">#REF!</definedName>
    <definedName name="rngIRL" localSheetId="12">#REF!</definedName>
    <definedName name="rngIRL" localSheetId="15">#REF!</definedName>
    <definedName name="rngIRL" localSheetId="19">#REF!</definedName>
    <definedName name="rngIRL" localSheetId="0">#REF!</definedName>
    <definedName name="rngIRL" localSheetId="35">#REF!</definedName>
    <definedName name="rngIRL">#REF!</definedName>
    <definedName name="rngNZL99" localSheetId="5">#REF!</definedName>
    <definedName name="rngNZL99" localSheetId="7">#REF!</definedName>
    <definedName name="rngNZL99" localSheetId="8">#REF!</definedName>
    <definedName name="rngNZL99" localSheetId="11">#REF!</definedName>
    <definedName name="rngNZL99" localSheetId="12">#REF!</definedName>
    <definedName name="rngNZL99" localSheetId="15">#REF!</definedName>
    <definedName name="rngNZL99" localSheetId="19">#REF!</definedName>
    <definedName name="rngNZL99" localSheetId="0">#REF!</definedName>
    <definedName name="rngNZL99" localSheetId="35">#REF!</definedName>
    <definedName name="rngNZL99">#REF!</definedName>
    <definedName name="rngUSA99" localSheetId="5">#REF!</definedName>
    <definedName name="rngUSA99" localSheetId="7">#REF!</definedName>
    <definedName name="rngUSA99" localSheetId="8">#REF!</definedName>
    <definedName name="rngUSA99" localSheetId="11">#REF!</definedName>
    <definedName name="rngUSA99" localSheetId="12">#REF!</definedName>
    <definedName name="rngUSA99" localSheetId="15">#REF!</definedName>
    <definedName name="rngUSA99" localSheetId="19">#REF!</definedName>
    <definedName name="rngUSA99" localSheetId="0">#REF!</definedName>
    <definedName name="rngUSA99" localSheetId="35">#REF!</definedName>
    <definedName name="rngUSA99">#REF!</definedName>
    <definedName name="SchemeFormulaeAITR" localSheetId="5">#REF!</definedName>
    <definedName name="SchemeFormulaeAITR" localSheetId="7">#REF!</definedName>
    <definedName name="SchemeFormulaeAITR" localSheetId="8">#REF!</definedName>
    <definedName name="SchemeFormulaeAITR" localSheetId="11">#REF!</definedName>
    <definedName name="SchemeFormulaeAITR" localSheetId="12">#REF!</definedName>
    <definedName name="SchemeFormulaeAITR" localSheetId="15">#REF!</definedName>
    <definedName name="SchemeFormulaeAITR" localSheetId="19">#REF!</definedName>
    <definedName name="SchemeFormulaeAITR" localSheetId="0">#REF!</definedName>
    <definedName name="SchemeFormulaeAITR">#REF!</definedName>
    <definedName name="SchemeFormulaeNet" localSheetId="5">#REF!</definedName>
    <definedName name="SchemeFormulaeNet" localSheetId="7">#REF!</definedName>
    <definedName name="SchemeFormulaeNet" localSheetId="8">#REF!</definedName>
    <definedName name="SchemeFormulaeNet" localSheetId="11">#REF!</definedName>
    <definedName name="SchemeFormulaeNet" localSheetId="12">#REF!</definedName>
    <definedName name="SchemeFormulaeNet" localSheetId="15">#REF!</definedName>
    <definedName name="SchemeFormulaeNet" localSheetId="19">#REF!</definedName>
    <definedName name="SchemeFormulaeNet" localSheetId="0">#REF!</definedName>
    <definedName name="SchemeFormulaeNet">#REF!</definedName>
    <definedName name="SchemesNet" localSheetId="5">#REF!</definedName>
    <definedName name="SchemesNet" localSheetId="7">#REF!</definedName>
    <definedName name="SchemesNet" localSheetId="8">#REF!</definedName>
    <definedName name="SchemesNet" localSheetId="11">#REF!</definedName>
    <definedName name="SchemesNet" localSheetId="12">#REF!</definedName>
    <definedName name="SchemesNet" localSheetId="15">#REF!</definedName>
    <definedName name="SchemesNet" localSheetId="19">#REF!</definedName>
    <definedName name="SchemesNet" localSheetId="0">#REF!</definedName>
    <definedName name="SchemesNet">#REF!</definedName>
    <definedName name="sdfg" localSheetId="5">#REF!</definedName>
    <definedName name="sdfg" localSheetId="7">#REF!</definedName>
    <definedName name="sdfg" localSheetId="8">#REF!</definedName>
    <definedName name="sdfg" localSheetId="11">#REF!</definedName>
    <definedName name="sdfg" localSheetId="12">#REF!</definedName>
    <definedName name="sdfg" localSheetId="15">#REF!</definedName>
    <definedName name="sdfg" localSheetId="19">#REF!</definedName>
    <definedName name="sdfg" localSheetId="0">#REF!</definedName>
    <definedName name="sdfg" localSheetId="35">#REF!</definedName>
    <definedName name="sdfg">#REF!</definedName>
    <definedName name="SPBens" localSheetId="5">#REF!</definedName>
    <definedName name="SPBens" localSheetId="7">#REF!</definedName>
    <definedName name="SPBens" localSheetId="8">#REF!</definedName>
    <definedName name="SPBens" localSheetId="11">#REF!</definedName>
    <definedName name="SPBens" localSheetId="12">#REF!</definedName>
    <definedName name="SPBens" localSheetId="15">#REF!</definedName>
    <definedName name="SPBens" localSheetId="19">#REF!</definedName>
    <definedName name="SPBens" localSheetId="0">#REF!</definedName>
    <definedName name="SPBens">#REF!</definedName>
    <definedName name="SPBens_DISABILITY" localSheetId="5">#REF!</definedName>
    <definedName name="SPBens_DISABILITY" localSheetId="7">#REF!</definedName>
    <definedName name="SPBens_DISABILITY" localSheetId="8">#REF!</definedName>
    <definedName name="SPBens_DISABILITY" localSheetId="11">#REF!</definedName>
    <definedName name="SPBens_DISABILITY" localSheetId="12">#REF!</definedName>
    <definedName name="SPBens_DISABILITY" localSheetId="15">#REF!</definedName>
    <definedName name="SPBens_DISABILITY" localSheetId="19">#REF!</definedName>
    <definedName name="SPBens_DISABILITY" localSheetId="0">#REF!</definedName>
    <definedName name="SPBens_DISABILITY">#REF!</definedName>
    <definedName name="SPBens_FAMILY" localSheetId="5">#REF!</definedName>
    <definedName name="SPBens_FAMILY" localSheetId="7">#REF!</definedName>
    <definedName name="SPBens_FAMILY" localSheetId="8">#REF!</definedName>
    <definedName name="SPBens_FAMILY" localSheetId="11">#REF!</definedName>
    <definedName name="SPBens_FAMILY" localSheetId="12">#REF!</definedName>
    <definedName name="SPBens_FAMILY" localSheetId="15">#REF!</definedName>
    <definedName name="SPBens_FAMILY" localSheetId="19">#REF!</definedName>
    <definedName name="SPBens_FAMILY" localSheetId="0">#REF!</definedName>
    <definedName name="SPBens_FAMILY">#REF!</definedName>
    <definedName name="SPBens_OLDAGE" localSheetId="5">#REF!</definedName>
    <definedName name="SPBens_OLDAGE" localSheetId="7">#REF!</definedName>
    <definedName name="SPBens_OLDAGE" localSheetId="8">#REF!</definedName>
    <definedName name="SPBens_OLDAGE" localSheetId="11">#REF!</definedName>
    <definedName name="SPBens_OLDAGE" localSheetId="12">#REF!</definedName>
    <definedName name="SPBens_OLDAGE" localSheetId="15">#REF!</definedName>
    <definedName name="SPBens_OLDAGE" localSheetId="19">#REF!</definedName>
    <definedName name="SPBens_OLDAGE" localSheetId="0">#REF!</definedName>
    <definedName name="SPBens_OLDAGE">#REF!</definedName>
    <definedName name="SPBens_SICKNESS" localSheetId="5">#REF!</definedName>
    <definedName name="SPBens_SICKNESS" localSheetId="7">#REF!</definedName>
    <definedName name="SPBens_SICKNESS" localSheetId="8">#REF!</definedName>
    <definedName name="SPBens_SICKNESS" localSheetId="11">#REF!</definedName>
    <definedName name="SPBens_SICKNESS" localSheetId="12">#REF!</definedName>
    <definedName name="SPBens_SICKNESS" localSheetId="15">#REF!</definedName>
    <definedName name="SPBens_SICKNESS" localSheetId="19">#REF!</definedName>
    <definedName name="SPBens_SICKNESS" localSheetId="0">#REF!</definedName>
    <definedName name="SPBens_SICKNESS">#REF!</definedName>
    <definedName name="SPBens_SOCIALEXCLUSION" localSheetId="5">#REF!</definedName>
    <definedName name="SPBens_SOCIALEXCLUSION" localSheetId="7">#REF!</definedName>
    <definedName name="SPBens_SOCIALEXCLUSION" localSheetId="8">#REF!</definedName>
    <definedName name="SPBens_SOCIALEXCLUSION" localSheetId="11">#REF!</definedName>
    <definedName name="SPBens_SOCIALEXCLUSION" localSheetId="12">#REF!</definedName>
    <definedName name="SPBens_SOCIALEXCLUSION" localSheetId="15">#REF!</definedName>
    <definedName name="SPBens_SOCIALEXCLUSION" localSheetId="19">#REF!</definedName>
    <definedName name="SPBens_SOCIALEXCLUSION" localSheetId="0">#REF!</definedName>
    <definedName name="SPBens_SOCIALEXCLUSION">#REF!</definedName>
    <definedName name="SPBens_SURVIVORS" localSheetId="5">#REF!</definedName>
    <definedName name="SPBens_SURVIVORS" localSheetId="7">#REF!</definedName>
    <definedName name="SPBens_SURVIVORS" localSheetId="8">#REF!</definedName>
    <definedName name="SPBens_SURVIVORS" localSheetId="11">#REF!</definedName>
    <definedName name="SPBens_SURVIVORS" localSheetId="12">#REF!</definedName>
    <definedName name="SPBens_SURVIVORS" localSheetId="15">#REF!</definedName>
    <definedName name="SPBens_SURVIVORS" localSheetId="19">#REF!</definedName>
    <definedName name="SPBens_SURVIVORS" localSheetId="0">#REF!</definedName>
    <definedName name="SPBens_SURVIVORS">#REF!</definedName>
    <definedName name="SPBens_UNEMPLOYMENT" localSheetId="5">#REF!</definedName>
    <definedName name="SPBens_UNEMPLOYMENT" localSheetId="7">#REF!</definedName>
    <definedName name="SPBens_UNEMPLOYMENT" localSheetId="8">#REF!</definedName>
    <definedName name="SPBens_UNEMPLOYMENT" localSheetId="11">#REF!</definedName>
    <definedName name="SPBens_UNEMPLOYMENT" localSheetId="12">#REF!</definedName>
    <definedName name="SPBens_UNEMPLOYMENT" localSheetId="15">#REF!</definedName>
    <definedName name="SPBens_UNEMPLOYMENT" localSheetId="19">#REF!</definedName>
    <definedName name="SPBens_UNEMPLOYMENT" localSheetId="0">#REF!</definedName>
    <definedName name="SPBens_UNEMPLOYMENT">#REF!</definedName>
    <definedName name="SPSS">#REF!</definedName>
    <definedName name="TOTAL" localSheetId="5">#REF!</definedName>
    <definedName name="TOTAL" localSheetId="7">#REF!</definedName>
    <definedName name="TOTAL" localSheetId="8">#REF!</definedName>
    <definedName name="TOTAL" localSheetId="11">#REF!</definedName>
    <definedName name="TOTAL" localSheetId="12">#REF!</definedName>
    <definedName name="TOTAL" localSheetId="15">#REF!</definedName>
    <definedName name="TOTAL" localSheetId="19">#REF!</definedName>
    <definedName name="TOTAL" localSheetId="0">#REF!</definedName>
    <definedName name="TOTAL">#REF!</definedName>
    <definedName name="y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94" i="29" l="1"/>
  <c r="AN107" i="29"/>
  <c r="AO107" i="29"/>
  <c r="AP107" i="29"/>
  <c r="AQ107" i="29"/>
  <c r="AN94" i="29"/>
  <c r="AO94" i="29"/>
  <c r="AP94" i="29"/>
  <c r="AQ94" i="29"/>
  <c r="AM94" i="29"/>
  <c r="AR124" i="53"/>
  <c r="AP12" i="52"/>
  <c r="AP25" i="52"/>
  <c r="AP128" i="52"/>
  <c r="AR113" i="55" l="1"/>
  <c r="AQ113" i="55"/>
  <c r="AQ10" i="55" s="1"/>
  <c r="AP113" i="55"/>
  <c r="AP10" i="55" s="1"/>
  <c r="AO113" i="55"/>
  <c r="AF113" i="55"/>
  <c r="AE113" i="55"/>
  <c r="AD113" i="55"/>
  <c r="AC113" i="55"/>
  <c r="AB113" i="55"/>
  <c r="AA113" i="55"/>
  <c r="Z113" i="55"/>
  <c r="Y113" i="55"/>
  <c r="X113" i="55"/>
  <c r="W113" i="55"/>
  <c r="V113" i="55"/>
  <c r="U113" i="55"/>
  <c r="T113" i="55"/>
  <c r="S113" i="55"/>
  <c r="R113" i="55"/>
  <c r="AR110" i="55"/>
  <c r="AQ110" i="55"/>
  <c r="AP110" i="55"/>
  <c r="AO110" i="55"/>
  <c r="AO7" i="55" s="1"/>
  <c r="AN110" i="55"/>
  <c r="AM110" i="55"/>
  <c r="AL110" i="55"/>
  <c r="AK110" i="55"/>
  <c r="AJ110" i="55"/>
  <c r="AI110" i="55"/>
  <c r="AH110" i="55"/>
  <c r="AG110" i="55"/>
  <c r="AF110" i="55"/>
  <c r="AE110" i="55"/>
  <c r="AD110" i="55"/>
  <c r="AC110" i="55"/>
  <c r="AB110" i="55"/>
  <c r="AA110" i="55"/>
  <c r="Z110" i="55"/>
  <c r="Y110" i="55"/>
  <c r="X110" i="55"/>
  <c r="W110" i="55"/>
  <c r="V110" i="55"/>
  <c r="U110" i="55"/>
  <c r="T110" i="55"/>
  <c r="S110" i="55"/>
  <c r="R110" i="55"/>
  <c r="AO94" i="55"/>
  <c r="AO6" i="55" s="1"/>
  <c r="AO8" i="55" s="1"/>
  <c r="AN94" i="55"/>
  <c r="AG94" i="55"/>
  <c r="AF94" i="55"/>
  <c r="Y94" i="55"/>
  <c r="X94" i="55"/>
  <c r="AR94" i="55"/>
  <c r="AQ94" i="55"/>
  <c r="AQ6" i="55" s="1"/>
  <c r="AQ8" i="55" s="1"/>
  <c r="AK94" i="55"/>
  <c r="AJ94" i="55"/>
  <c r="AI94" i="55"/>
  <c r="AC94" i="55"/>
  <c r="AB94" i="55"/>
  <c r="AA94" i="55"/>
  <c r="U94" i="55"/>
  <c r="T94" i="55"/>
  <c r="S94" i="55"/>
  <c r="AP94" i="55"/>
  <c r="AM94" i="55"/>
  <c r="AM6" i="55" s="1"/>
  <c r="AL94" i="55"/>
  <c r="AL6" i="55" s="1"/>
  <c r="AH94" i="55"/>
  <c r="AH7" i="55" s="1"/>
  <c r="AE94" i="55"/>
  <c r="AE6" i="55" s="1"/>
  <c r="AD94" i="55"/>
  <c r="AD6" i="55" s="1"/>
  <c r="Z94" i="55"/>
  <c r="Z7" i="55" s="1"/>
  <c r="W94" i="55"/>
  <c r="W6" i="55" s="1"/>
  <c r="V94" i="55"/>
  <c r="V6" i="55" s="1"/>
  <c r="R94" i="55"/>
  <c r="AF84" i="55"/>
  <c r="AE84" i="55"/>
  <c r="AD84" i="55"/>
  <c r="AC84" i="55"/>
  <c r="AB84" i="55"/>
  <c r="AA84" i="55"/>
  <c r="Z84" i="55"/>
  <c r="Y84" i="55"/>
  <c r="X84" i="55"/>
  <c r="W84" i="55"/>
  <c r="V84" i="55"/>
  <c r="U84" i="55"/>
  <c r="T84" i="55"/>
  <c r="S84" i="55"/>
  <c r="R84" i="55"/>
  <c r="AF82" i="55"/>
  <c r="AE82" i="55"/>
  <c r="AD82" i="55"/>
  <c r="AC82" i="55"/>
  <c r="AB82" i="55"/>
  <c r="AA82" i="55"/>
  <c r="Z82" i="55"/>
  <c r="Y82" i="55"/>
  <c r="X82" i="55"/>
  <c r="W82" i="55"/>
  <c r="V82" i="55"/>
  <c r="U82" i="55"/>
  <c r="T82" i="55"/>
  <c r="S82" i="55"/>
  <c r="R82" i="55"/>
  <c r="AF80" i="55"/>
  <c r="AE80" i="55"/>
  <c r="AD80" i="55"/>
  <c r="AC80" i="55"/>
  <c r="AB80" i="55"/>
  <c r="AA80" i="55"/>
  <c r="Z80" i="55"/>
  <c r="Y80" i="55"/>
  <c r="X80" i="55"/>
  <c r="W80" i="55"/>
  <c r="V80" i="55"/>
  <c r="U80" i="55"/>
  <c r="T80" i="55"/>
  <c r="S80" i="55"/>
  <c r="R80" i="55"/>
  <c r="AP69" i="55"/>
  <c r="AQ69" i="55"/>
  <c r="AO69" i="55"/>
  <c r="AM69" i="55"/>
  <c r="AI69" i="55"/>
  <c r="AH69" i="55"/>
  <c r="AG69" i="55"/>
  <c r="AQ82" i="55"/>
  <c r="AP82" i="55"/>
  <c r="AN84" i="55"/>
  <c r="AI82" i="55"/>
  <c r="AH82" i="55"/>
  <c r="AG84" i="55"/>
  <c r="AQ12" i="55"/>
  <c r="AP12" i="55"/>
  <c r="AO12" i="55"/>
  <c r="AO10" i="55"/>
  <c r="AN10" i="55"/>
  <c r="AM10" i="55"/>
  <c r="AL10" i="55"/>
  <c r="AQ7" i="55"/>
  <c r="AP7" i="55"/>
  <c r="AM7" i="55"/>
  <c r="AE7" i="55"/>
  <c r="AD7" i="55"/>
  <c r="V7" i="55"/>
  <c r="R7" i="55"/>
  <c r="AP6" i="55"/>
  <c r="AP8" i="55" s="1"/>
  <c r="Z6" i="55"/>
  <c r="R6" i="55"/>
  <c r="R8" i="55" s="1"/>
  <c r="AP12" i="53"/>
  <c r="AO12" i="53"/>
  <c r="AN12" i="53"/>
  <c r="AO94" i="53"/>
  <c r="AN94" i="53"/>
  <c r="AP94" i="53"/>
  <c r="AJ82" i="55" l="1"/>
  <c r="AK84" i="55"/>
  <c r="AL69" i="55"/>
  <c r="AL80" i="55" s="1"/>
  <c r="AN69" i="55"/>
  <c r="AK69" i="55"/>
  <c r="AH84" i="55"/>
  <c r="AP84" i="55"/>
  <c r="AI84" i="55"/>
  <c r="AQ84" i="55"/>
  <c r="AM80" i="55"/>
  <c r="AJ69" i="55"/>
  <c r="AJ80" i="55" s="1"/>
  <c r="AL84" i="55"/>
  <c r="AM84" i="55"/>
  <c r="AK82" i="55"/>
  <c r="Z8" i="55"/>
  <c r="AH6" i="55"/>
  <c r="AH8" i="55" s="1"/>
  <c r="AM8" i="55"/>
  <c r="AL7" i="55"/>
  <c r="AL8" i="55" s="1"/>
  <c r="V8" i="55"/>
  <c r="W7" i="55"/>
  <c r="W8" i="55" s="1"/>
  <c r="AD8" i="55"/>
  <c r="AE8" i="55"/>
  <c r="T6" i="55"/>
  <c r="T7" i="55"/>
  <c r="AB7" i="55"/>
  <c r="AB6" i="55"/>
  <c r="AB8" i="55" s="1"/>
  <c r="Y7" i="55"/>
  <c r="Y6" i="55"/>
  <c r="AG6" i="55"/>
  <c r="AG7" i="55"/>
  <c r="AK7" i="55"/>
  <c r="AK6" i="55"/>
  <c r="AO80" i="55"/>
  <c r="AP80" i="55"/>
  <c r="AJ6" i="55"/>
  <c r="AJ7" i="55"/>
  <c r="U7" i="55"/>
  <c r="U6" i="55"/>
  <c r="AC7" i="55"/>
  <c r="AC6" i="55"/>
  <c r="AC8" i="55" s="1"/>
  <c r="AQ80" i="55"/>
  <c r="AO82" i="55"/>
  <c r="AH80" i="55"/>
  <c r="AI80" i="55"/>
  <c r="S7" i="55"/>
  <c r="S6" i="55"/>
  <c r="AA7" i="55"/>
  <c r="AA6" i="55"/>
  <c r="AI7" i="55"/>
  <c r="AI6" i="55"/>
  <c r="AI8" i="55" s="1"/>
  <c r="X6" i="55"/>
  <c r="X7" i="55"/>
  <c r="AF6" i="55"/>
  <c r="AF7" i="55"/>
  <c r="AN6" i="55"/>
  <c r="AN7" i="55"/>
  <c r="AO84" i="55"/>
  <c r="AN82" i="55"/>
  <c r="AG80" i="55"/>
  <c r="AL82" i="55"/>
  <c r="AJ84" i="55"/>
  <c r="AM82" i="55"/>
  <c r="AL99" i="7"/>
  <c r="X99" i="7"/>
  <c r="Z99" i="7"/>
  <c r="AG99" i="7"/>
  <c r="AH99" i="7"/>
  <c r="AI99" i="7"/>
  <c r="AJ99" i="7"/>
  <c r="AK99" i="7"/>
  <c r="AQ99" i="7"/>
  <c r="AP12" i="7"/>
  <c r="AO12" i="7"/>
  <c r="AN12" i="7"/>
  <c r="AM99" i="7"/>
  <c r="AQ12" i="7" l="1"/>
  <c r="AM12" i="7"/>
  <c r="AK80" i="55"/>
  <c r="X8" i="55"/>
  <c r="AN8" i="55"/>
  <c r="T8" i="55"/>
  <c r="S8" i="55"/>
  <c r="AG82" i="55"/>
  <c r="AN80" i="55"/>
  <c r="AG8" i="55"/>
  <c r="AA8" i="55"/>
  <c r="Y8" i="55"/>
  <c r="AJ8" i="55"/>
  <c r="AF8" i="55"/>
  <c r="U8" i="55"/>
  <c r="AK8" i="55"/>
  <c r="AN99" i="7"/>
  <c r="AO99" i="7"/>
  <c r="AP99" i="7"/>
  <c r="AH6" i="54"/>
  <c r="AA94" i="54"/>
  <c r="AB94" i="54"/>
  <c r="AC94" i="54"/>
  <c r="AD94" i="54"/>
  <c r="AE94" i="54"/>
  <c r="AF94" i="54"/>
  <c r="AH94" i="54"/>
  <c r="AI94" i="54"/>
  <c r="AJ94" i="54"/>
  <c r="AK94" i="54"/>
  <c r="AL94" i="54"/>
  <c r="AM94" i="54"/>
  <c r="AN94" i="54"/>
  <c r="AO94" i="54"/>
  <c r="AP94" i="54"/>
  <c r="Z94" i="54"/>
  <c r="U94" i="54"/>
  <c r="V94" i="54"/>
  <c r="W94" i="54"/>
  <c r="X94" i="54"/>
  <c r="Y94" i="54"/>
  <c r="T94" i="54"/>
  <c r="AN10" i="54"/>
  <c r="Y12" i="54"/>
  <c r="Z12" i="54"/>
  <c r="AA12" i="54"/>
  <c r="AB12" i="54"/>
  <c r="AC12" i="54"/>
  <c r="AD12" i="54"/>
  <c r="AE12" i="54"/>
  <c r="AF12" i="54"/>
  <c r="AG12" i="54"/>
  <c r="AH12" i="54"/>
  <c r="AI12" i="54"/>
  <c r="AJ12" i="54"/>
  <c r="AK12" i="54"/>
  <c r="AL12" i="54"/>
  <c r="AM12" i="54"/>
  <c r="AN12" i="54"/>
  <c r="AO12" i="54"/>
  <c r="AP12" i="54"/>
  <c r="AQ12" i="54"/>
  <c r="X12" i="54"/>
  <c r="U10" i="54"/>
  <c r="V10" i="54"/>
  <c r="W10" i="54"/>
  <c r="X10" i="54"/>
  <c r="Y10" i="54"/>
  <c r="Z10" i="54"/>
  <c r="AA10" i="54"/>
  <c r="AB10" i="54"/>
  <c r="AC10" i="54"/>
  <c r="AD10" i="54"/>
  <c r="AE10" i="54"/>
  <c r="AF10" i="54"/>
  <c r="AG10" i="54"/>
  <c r="AH10" i="54"/>
  <c r="AI10" i="54"/>
  <c r="AJ10" i="54"/>
  <c r="AK10" i="54"/>
  <c r="AL10" i="54"/>
  <c r="AM10" i="54"/>
  <c r="AO10" i="54"/>
  <c r="AP10" i="54"/>
  <c r="T10" i="54"/>
  <c r="Y7" i="54"/>
  <c r="Z7" i="54"/>
  <c r="AA7" i="54"/>
  <c r="AB7" i="54"/>
  <c r="AC7" i="54"/>
  <c r="AD7" i="54"/>
  <c r="AE7" i="54"/>
  <c r="AF7" i="54"/>
  <c r="AG7" i="54"/>
  <c r="AH7" i="54"/>
  <c r="AI7" i="54"/>
  <c r="AJ7" i="54"/>
  <c r="AK7" i="54"/>
  <c r="AL7" i="54"/>
  <c r="AM7" i="54"/>
  <c r="AN7" i="54"/>
  <c r="AO7" i="54"/>
  <c r="AP7" i="54"/>
  <c r="X7" i="54"/>
  <c r="AO6" i="54"/>
  <c r="Y69" i="54"/>
  <c r="AG69" i="54"/>
  <c r="AO69" i="54"/>
  <c r="X84" i="54"/>
  <c r="AA84" i="54"/>
  <c r="AF84" i="54"/>
  <c r="AJ84" i="54"/>
  <c r="AN84" i="54"/>
  <c r="AQ84" i="54"/>
  <c r="AP6" i="54"/>
  <c r="AN6" i="54"/>
  <c r="AM6" i="54"/>
  <c r="AL6" i="54"/>
  <c r="AK6" i="54"/>
  <c r="AJ6" i="54"/>
  <c r="AI6" i="54"/>
  <c r="AF6" i="54"/>
  <c r="AE6" i="54"/>
  <c r="AD6" i="54"/>
  <c r="AC6" i="54"/>
  <c r="AB6" i="54"/>
  <c r="AA6" i="54"/>
  <c r="Z6" i="54"/>
  <c r="Y6" i="54"/>
  <c r="X6" i="54"/>
  <c r="AJ82" i="54" l="1"/>
  <c r="AN69" i="54"/>
  <c r="AF69" i="54"/>
  <c r="X69" i="54"/>
  <c r="AL84" i="54"/>
  <c r="AK84" i="54"/>
  <c r="AC84" i="54"/>
  <c r="AB84" i="54"/>
  <c r="AM69" i="54"/>
  <c r="AE69" i="54"/>
  <c r="AE80" i="54" s="1"/>
  <c r="AL69" i="54"/>
  <c r="AL80" i="54" s="1"/>
  <c r="AI82" i="54"/>
  <c r="AP82" i="54"/>
  <c r="Z82" i="54"/>
  <c r="AM82" i="54"/>
  <c r="AD82" i="54"/>
  <c r="AM80" i="54"/>
  <c r="AH82" i="54"/>
  <c r="AO84" i="54"/>
  <c r="AG84" i="54"/>
  <c r="AJ69" i="54"/>
  <c r="AJ80" i="54" s="1"/>
  <c r="Z84" i="54"/>
  <c r="AE82" i="54"/>
  <c r="Y84" i="54"/>
  <c r="AL82" i="54"/>
  <c r="AN82" i="54"/>
  <c r="AF82" i="54"/>
  <c r="X82" i="54"/>
  <c r="AI84" i="54"/>
  <c r="AK69" i="54"/>
  <c r="AK80" i="54" s="1"/>
  <c r="AC69" i="54"/>
  <c r="AC80" i="54" s="1"/>
  <c r="AC82" i="54"/>
  <c r="AB69" i="54"/>
  <c r="AB80" i="54" s="1"/>
  <c r="AB82" i="54"/>
  <c r="AQ69" i="54"/>
  <c r="AQ80" i="54" s="1"/>
  <c r="AI69" i="54"/>
  <c r="AI80" i="54" s="1"/>
  <c r="AA69" i="54"/>
  <c r="AA80" i="54" s="1"/>
  <c r="AK82" i="54"/>
  <c r="AD69" i="54"/>
  <c r="AD80" i="54" s="1"/>
  <c r="AP69" i="54"/>
  <c r="AP80" i="54" s="1"/>
  <c r="AH69" i="54"/>
  <c r="AH80" i="54" s="1"/>
  <c r="Z69" i="54"/>
  <c r="Z80" i="54" s="1"/>
  <c r="AH84" i="54"/>
  <c r="AP84" i="54"/>
  <c r="AM84" i="54"/>
  <c r="AA82" i="54"/>
  <c r="AE84" i="54"/>
  <c r="AG82" i="54"/>
  <c r="Y82" i="54"/>
  <c r="AO80" i="54"/>
  <c r="AG80" i="54"/>
  <c r="Y80" i="54"/>
  <c r="AF80" i="54"/>
  <c r="X80" i="54"/>
  <c r="AQ82" i="54"/>
  <c r="AD84" i="54"/>
  <c r="AO82" i="54"/>
  <c r="AN80" i="54"/>
  <c r="AQ122" i="7" l="1"/>
  <c r="AQ10" i="7" s="1"/>
  <c r="AP122" i="7"/>
  <c r="AP10" i="7" s="1"/>
  <c r="Z122" i="7"/>
  <c r="X122" i="7"/>
  <c r="X10" i="7" s="1"/>
  <c r="AB122" i="7"/>
  <c r="AB10" i="7" s="1"/>
  <c r="AD122" i="7"/>
  <c r="AD10" i="7" s="1"/>
  <c r="AF122" i="7"/>
  <c r="AP115" i="7"/>
  <c r="AP7" i="7" s="1"/>
  <c r="AQ115" i="7"/>
  <c r="AQ7" i="7" s="1"/>
  <c r="AP6" i="7"/>
  <c r="AQ6" i="7"/>
  <c r="AR10" i="53" l="1"/>
  <c r="AQ14" i="53"/>
  <c r="AR14" i="53"/>
  <c r="AI191" i="53"/>
  <c r="AI181" i="53"/>
  <c r="AI179" i="53"/>
  <c r="AR147" i="53"/>
  <c r="AQ147" i="53"/>
  <c r="AQ10" i="53" s="1"/>
  <c r="AP147" i="53"/>
  <c r="AO147" i="53"/>
  <c r="AO10" i="53" s="1"/>
  <c r="AN147" i="53"/>
  <c r="AN10" i="53" s="1"/>
  <c r="AM147" i="53"/>
  <c r="AL147" i="53"/>
  <c r="AK147" i="53"/>
  <c r="AJ147" i="53"/>
  <c r="AI147" i="53"/>
  <c r="AH147" i="53"/>
  <c r="AG147" i="53"/>
  <c r="AF147" i="53"/>
  <c r="AF10" i="53" s="1"/>
  <c r="AD147" i="53"/>
  <c r="AB147" i="53"/>
  <c r="AB10" i="53" s="1"/>
  <c r="Z147" i="53"/>
  <c r="Z10" i="53" s="1"/>
  <c r="X147" i="53"/>
  <c r="W147" i="53"/>
  <c r="V147" i="53"/>
  <c r="U147" i="53"/>
  <c r="T147" i="53"/>
  <c r="T10" i="53" s="1"/>
  <c r="S147" i="53"/>
  <c r="R147" i="53"/>
  <c r="R10" i="53" s="1"/>
  <c r="Q147" i="53"/>
  <c r="Q10" i="53" s="1"/>
  <c r="P147" i="53"/>
  <c r="O147" i="53"/>
  <c r="N147" i="53"/>
  <c r="M147" i="53"/>
  <c r="L147" i="53"/>
  <c r="L10" i="53" s="1"/>
  <c r="AR7" i="53"/>
  <c r="AQ124" i="53"/>
  <c r="AQ7" i="53" s="1"/>
  <c r="AP124" i="53"/>
  <c r="AO124" i="53"/>
  <c r="AN124" i="53"/>
  <c r="AM124" i="53"/>
  <c r="AL124" i="53"/>
  <c r="AK124" i="53"/>
  <c r="AK7" i="53" s="1"/>
  <c r="AJ124" i="53"/>
  <c r="AI124" i="53"/>
  <c r="AI7" i="53" s="1"/>
  <c r="AH124" i="53"/>
  <c r="AH7" i="53" s="1"/>
  <c r="AH8" i="53" s="1"/>
  <c r="AG124" i="53"/>
  <c r="AF124" i="53"/>
  <c r="AD124" i="53"/>
  <c r="AB124" i="53"/>
  <c r="Z124" i="53"/>
  <c r="Z7" i="53" s="1"/>
  <c r="Z8" i="53" s="1"/>
  <c r="X124" i="53"/>
  <c r="V124" i="53"/>
  <c r="V7" i="53" s="1"/>
  <c r="U124" i="53"/>
  <c r="T124" i="53"/>
  <c r="S124" i="53"/>
  <c r="R124" i="53"/>
  <c r="Q124" i="53"/>
  <c r="P124" i="53"/>
  <c r="P7" i="53" s="1"/>
  <c r="P8" i="53" s="1"/>
  <c r="O124" i="53"/>
  <c r="N124" i="53"/>
  <c r="M124" i="53"/>
  <c r="M7" i="53" s="1"/>
  <c r="L124" i="53"/>
  <c r="AI104" i="53"/>
  <c r="AI102" i="53"/>
  <c r="AR97" i="53"/>
  <c r="AQ97" i="53"/>
  <c r="AM97" i="53"/>
  <c r="AL97" i="53"/>
  <c r="AL94" i="53" s="1"/>
  <c r="AL6" i="53" s="1"/>
  <c r="AK97" i="53"/>
  <c r="AK12" i="53" s="1"/>
  <c r="AJ97" i="53"/>
  <c r="AI97" i="53"/>
  <c r="AH97" i="53"/>
  <c r="AH94" i="53" s="1"/>
  <c r="AG97" i="53"/>
  <c r="AG94" i="53" s="1"/>
  <c r="AF97" i="53"/>
  <c r="AF94" i="53" s="1"/>
  <c r="AF6" i="53" s="1"/>
  <c r="AO6" i="53"/>
  <c r="AJ94" i="53"/>
  <c r="AI94" i="53"/>
  <c r="AD94" i="53"/>
  <c r="AB94" i="53"/>
  <c r="Z94" i="53"/>
  <c r="Z6" i="53" s="1"/>
  <c r="X94" i="53"/>
  <c r="X6" i="53" s="1"/>
  <c r="V94" i="53"/>
  <c r="U94" i="53"/>
  <c r="T94" i="53"/>
  <c r="S94" i="53"/>
  <c r="S6" i="53" s="1"/>
  <c r="R94" i="53"/>
  <c r="Q94" i="53"/>
  <c r="P94" i="53"/>
  <c r="P6" i="53" s="1"/>
  <c r="O94" i="53"/>
  <c r="O6" i="53" s="1"/>
  <c r="N94" i="53"/>
  <c r="M94" i="53"/>
  <c r="L94" i="53"/>
  <c r="L6" i="53" s="1"/>
  <c r="AQ69" i="53"/>
  <c r="AP69" i="53"/>
  <c r="AO69" i="53"/>
  <c r="AN69" i="53"/>
  <c r="AL69" i="53"/>
  <c r="AK69" i="53"/>
  <c r="AI69" i="53"/>
  <c r="AG69" i="53"/>
  <c r="AM69" i="53"/>
  <c r="AJ69" i="53"/>
  <c r="AP14" i="53"/>
  <c r="AO14" i="53"/>
  <c r="AN14" i="53"/>
  <c r="AM14" i="53"/>
  <c r="AL14" i="53"/>
  <c r="AK14" i="53"/>
  <c r="AJ14" i="53"/>
  <c r="AI14" i="53"/>
  <c r="AH14" i="53"/>
  <c r="AG14" i="53"/>
  <c r="AF14" i="53"/>
  <c r="AD14" i="53"/>
  <c r="AB14" i="53"/>
  <c r="Z14" i="53"/>
  <c r="X14" i="53"/>
  <c r="AP13" i="53"/>
  <c r="AO13" i="53"/>
  <c r="AN13" i="53"/>
  <c r="AM13" i="53"/>
  <c r="AK13" i="53"/>
  <c r="AJ13" i="53"/>
  <c r="AI13" i="53"/>
  <c r="AH13" i="53"/>
  <c r="AG13" i="53"/>
  <c r="AD13" i="53"/>
  <c r="AB13" i="53"/>
  <c r="Z13" i="53"/>
  <c r="X13" i="53"/>
  <c r="AL12" i="53"/>
  <c r="AJ12" i="53"/>
  <c r="AI12" i="53"/>
  <c r="AH12" i="53"/>
  <c r="AG12" i="53"/>
  <c r="AD12" i="53"/>
  <c r="AB12" i="53"/>
  <c r="Z12" i="53"/>
  <c r="X12" i="53"/>
  <c r="AP10" i="53"/>
  <c r="AM10" i="53"/>
  <c r="AL10" i="53"/>
  <c r="AK10" i="53"/>
  <c r="AJ10" i="53"/>
  <c r="AI10" i="53"/>
  <c r="AH10" i="53"/>
  <c r="AG10" i="53"/>
  <c r="AD10" i="53"/>
  <c r="X10" i="53"/>
  <c r="W10" i="53"/>
  <c r="V10" i="53"/>
  <c r="U10" i="53"/>
  <c r="S10" i="53"/>
  <c r="P10" i="53"/>
  <c r="O10" i="53"/>
  <c r="N10" i="53"/>
  <c r="M10" i="53"/>
  <c r="AP7" i="53"/>
  <c r="AO7" i="53"/>
  <c r="AN7" i="53"/>
  <c r="AM7" i="53"/>
  <c r="AL7" i="53"/>
  <c r="AJ7" i="53"/>
  <c r="AG7" i="53"/>
  <c r="AF7" i="53"/>
  <c r="AD7" i="53"/>
  <c r="AD8" i="53" s="1"/>
  <c r="AB7" i="53"/>
  <c r="X7" i="53"/>
  <c r="U7" i="53"/>
  <c r="T7" i="53"/>
  <c r="S7" i="53"/>
  <c r="S8" i="53" s="1"/>
  <c r="R7" i="53"/>
  <c r="Q7" i="53"/>
  <c r="Q8" i="53" s="1"/>
  <c r="O7" i="53"/>
  <c r="N7" i="53"/>
  <c r="L7" i="53"/>
  <c r="AP6" i="53"/>
  <c r="AN6" i="53"/>
  <c r="AJ6" i="53"/>
  <c r="AI6" i="53"/>
  <c r="AH6" i="53"/>
  <c r="AG6" i="53"/>
  <c r="AD6" i="53"/>
  <c r="AB6" i="53"/>
  <c r="V6" i="53"/>
  <c r="U6" i="53"/>
  <c r="T6" i="53"/>
  <c r="R6" i="53"/>
  <c r="Q6" i="53"/>
  <c r="N6" i="53"/>
  <c r="M6" i="53"/>
  <c r="AK94" i="53" l="1"/>
  <c r="AK6" i="53" s="1"/>
  <c r="V8" i="53"/>
  <c r="AI8" i="53"/>
  <c r="T8" i="53"/>
  <c r="AM94" i="53"/>
  <c r="AM6" i="53" s="1"/>
  <c r="AM8" i="53" s="1"/>
  <c r="AM12" i="53"/>
  <c r="AQ6" i="53"/>
  <c r="AQ8" i="53" s="1"/>
  <c r="AQ12" i="53"/>
  <c r="AQ94" i="53"/>
  <c r="AR12" i="53"/>
  <c r="AR94" i="53"/>
  <c r="AR6" i="53" s="1"/>
  <c r="AR8" i="53" s="1"/>
  <c r="AB8" i="53"/>
  <c r="AN8" i="53"/>
  <c r="R8" i="53"/>
  <c r="O8" i="53"/>
  <c r="AO8" i="53"/>
  <c r="AI84" i="53"/>
  <c r="AQ84" i="53"/>
  <c r="AG8" i="53"/>
  <c r="AP8" i="53"/>
  <c r="AF8" i="53"/>
  <c r="AH69" i="53"/>
  <c r="AH80" i="53" s="1"/>
  <c r="L8" i="53"/>
  <c r="U8" i="53"/>
  <c r="AR13" i="53"/>
  <c r="M8" i="53"/>
  <c r="AJ8" i="53"/>
  <c r="AL13" i="53"/>
  <c r="AQ13" i="53"/>
  <c r="N8" i="53"/>
  <c r="X8" i="53"/>
  <c r="AL8" i="53"/>
  <c r="AH84" i="53"/>
  <c r="AP84" i="53"/>
  <c r="AJ84" i="53"/>
  <c r="AJ80" i="53"/>
  <c r="AK84" i="53"/>
  <c r="AK80" i="53"/>
  <c r="AL84" i="53"/>
  <c r="AM84" i="53"/>
  <c r="AG84" i="53"/>
  <c r="AO84" i="53"/>
  <c r="AI80" i="53"/>
  <c r="AK8" i="53"/>
  <c r="AL80" i="53"/>
  <c r="AM80" i="53"/>
  <c r="AN80" i="53"/>
  <c r="AN82" i="53"/>
  <c r="AO80" i="53"/>
  <c r="AG80" i="53"/>
  <c r="AP80" i="53"/>
  <c r="AQ80" i="53"/>
  <c r="AG82" i="53"/>
  <c r="AO82" i="53"/>
  <c r="AN84" i="53"/>
  <c r="AH82" i="53"/>
  <c r="AP82" i="53"/>
  <c r="AF13" i="53"/>
  <c r="AF12" i="53"/>
  <c r="AI82" i="53"/>
  <c r="AQ82" i="53"/>
  <c r="AJ82" i="53"/>
  <c r="AK82" i="53"/>
  <c r="AL82" i="53"/>
  <c r="AM82" i="53"/>
  <c r="AN7" i="29" l="1"/>
  <c r="AO7" i="29"/>
  <c r="AP7" i="29"/>
  <c r="AM7" i="29"/>
  <c r="AG107" i="29"/>
  <c r="AH107" i="29"/>
  <c r="AI107" i="29"/>
  <c r="AJ107" i="29"/>
  <c r="AK107" i="29"/>
  <c r="AL107" i="29"/>
  <c r="AM107" i="29"/>
  <c r="AO69" i="29" l="1"/>
  <c r="AN69" i="29"/>
  <c r="AM69" i="29"/>
  <c r="AL69" i="29"/>
  <c r="AK69" i="29"/>
  <c r="AI69" i="29"/>
  <c r="AG69" i="29"/>
  <c r="AF69" i="29"/>
  <c r="AE69" i="29"/>
  <c r="AD69" i="29"/>
  <c r="AC69" i="29"/>
  <c r="AB69" i="29"/>
  <c r="AQ69" i="29"/>
  <c r="AP69" i="29"/>
  <c r="AH69" i="29"/>
  <c r="AM10" i="16"/>
  <c r="AP12" i="16"/>
  <c r="AO6" i="52"/>
  <c r="AP6" i="52"/>
  <c r="AO7" i="52"/>
  <c r="AO8" i="52" s="1"/>
  <c r="AO10" i="52"/>
  <c r="AP10" i="52"/>
  <c r="AO12" i="52"/>
  <c r="AP119" i="52"/>
  <c r="AP7" i="52" s="1"/>
  <c r="AO69" i="52"/>
  <c r="AM69" i="52"/>
  <c r="AJ69" i="52"/>
  <c r="AE69" i="52"/>
  <c r="AB69" i="52"/>
  <c r="AN12" i="52"/>
  <c r="AM12" i="52"/>
  <c r="AL12" i="52"/>
  <c r="AK12" i="52"/>
  <c r="AJ12" i="52"/>
  <c r="AI12" i="52"/>
  <c r="AH12" i="52"/>
  <c r="AG12" i="52"/>
  <c r="AF12" i="52"/>
  <c r="AE12" i="52"/>
  <c r="AD12" i="52"/>
  <c r="AA12" i="52"/>
  <c r="Y12" i="52"/>
  <c r="X12" i="52"/>
  <c r="AN10" i="52"/>
  <c r="AM10" i="52"/>
  <c r="AL10" i="52"/>
  <c r="AK10" i="52"/>
  <c r="AJ10" i="52"/>
  <c r="AI10" i="52"/>
  <c r="AH10" i="52"/>
  <c r="AG10" i="52"/>
  <c r="AF10" i="52"/>
  <c r="AE10" i="52"/>
  <c r="AD10" i="52"/>
  <c r="AA10" i="52"/>
  <c r="Y10" i="52"/>
  <c r="X10" i="52"/>
  <c r="V10" i="52"/>
  <c r="U10" i="52"/>
  <c r="T10" i="52"/>
  <c r="S10" i="52"/>
  <c r="R10" i="52"/>
  <c r="Q10" i="52"/>
  <c r="P10" i="52"/>
  <c r="AN7" i="52"/>
  <c r="AN8" i="52" s="1"/>
  <c r="AM7" i="52"/>
  <c r="AL7" i="52"/>
  <c r="AL8" i="52" s="1"/>
  <c r="AK7" i="52"/>
  <c r="AJ7" i="52"/>
  <c r="AI7" i="52"/>
  <c r="AH7" i="52"/>
  <c r="AG7" i="52"/>
  <c r="AF7" i="52"/>
  <c r="AE7" i="52"/>
  <c r="AD7" i="52"/>
  <c r="AD8" i="52" s="1"/>
  <c r="AA7" i="52"/>
  <c r="Y7" i="52"/>
  <c r="X7" i="52"/>
  <c r="V7" i="52"/>
  <c r="U7" i="52"/>
  <c r="T7" i="52"/>
  <c r="T8" i="52" s="1"/>
  <c r="S7" i="52"/>
  <c r="R7" i="52"/>
  <c r="R8" i="52" s="1"/>
  <c r="Q7" i="52"/>
  <c r="P7" i="52"/>
  <c r="AN6" i="52"/>
  <c r="AM6" i="52"/>
  <c r="AL6" i="52"/>
  <c r="AK6" i="52"/>
  <c r="AJ6" i="52"/>
  <c r="AI6" i="52"/>
  <c r="AH6" i="52"/>
  <c r="AG6" i="52"/>
  <c r="AF6" i="52"/>
  <c r="AE6" i="52"/>
  <c r="AD6" i="52"/>
  <c r="AA6" i="52"/>
  <c r="Y6" i="52"/>
  <c r="X6" i="52"/>
  <c r="V6" i="52"/>
  <c r="U6" i="52"/>
  <c r="T6" i="52"/>
  <c r="S6" i="52"/>
  <c r="R6" i="52"/>
  <c r="Q6" i="52"/>
  <c r="P6" i="52"/>
  <c r="AQ69" i="7" l="1"/>
  <c r="AP8" i="52"/>
  <c r="P8" i="52"/>
  <c r="Y8" i="52"/>
  <c r="AJ8" i="52"/>
  <c r="U8" i="52"/>
  <c r="AG8" i="52"/>
  <c r="AH69" i="7"/>
  <c r="AH80" i="7" s="1"/>
  <c r="AP69" i="7"/>
  <c r="AP80" i="7" s="1"/>
  <c r="AF8" i="52"/>
  <c r="AD69" i="7"/>
  <c r="AL69" i="7"/>
  <c r="AG69" i="7"/>
  <c r="AI69" i="7"/>
  <c r="AI80" i="7" s="1"/>
  <c r="S8" i="52"/>
  <c r="AE8" i="52"/>
  <c r="AM8" i="52"/>
  <c r="V8" i="52"/>
  <c r="AH8" i="52"/>
  <c r="X8" i="52"/>
  <c r="AI8" i="52"/>
  <c r="AI80" i="29"/>
  <c r="AI69" i="52"/>
  <c r="AQ69" i="52"/>
  <c r="AQ80" i="52" s="1"/>
  <c r="AC84" i="7"/>
  <c r="Q8" i="52"/>
  <c r="AA8" i="52"/>
  <c r="AK8" i="52"/>
  <c r="AN69" i="52"/>
  <c r="X69" i="7"/>
  <c r="X80" i="7" s="1"/>
  <c r="AF69" i="7"/>
  <c r="AF80" i="7" s="1"/>
  <c r="AN69" i="7"/>
  <c r="AN80" i="7" s="1"/>
  <c r="AB69" i="7"/>
  <c r="AJ69" i="7"/>
  <c r="AJ80" i="7" s="1"/>
  <c r="AC82" i="7"/>
  <c r="AH80" i="29"/>
  <c r="AD84" i="29"/>
  <c r="AC69" i="7"/>
  <c r="AK69" i="7"/>
  <c r="AK80" i="7" s="1"/>
  <c r="Y69" i="7"/>
  <c r="Y80" i="7" s="1"/>
  <c r="AO69" i="7"/>
  <c r="AO80" i="7" s="1"/>
  <c r="AP84" i="7"/>
  <c r="AG80" i="29"/>
  <c r="AE69" i="7"/>
  <c r="AE80" i="7" s="1"/>
  <c r="AM69" i="7"/>
  <c r="AM80" i="7" s="1"/>
  <c r="AA84" i="7"/>
  <c r="AI84" i="7"/>
  <c r="AQ84" i="7"/>
  <c r="Z69" i="7"/>
  <c r="AC80" i="29"/>
  <c r="AK80" i="29"/>
  <c r="AK82" i="7"/>
  <c r="AK84" i="7"/>
  <c r="AF84" i="29"/>
  <c r="AN84" i="29"/>
  <c r="AB82" i="7"/>
  <c r="AJ82" i="7"/>
  <c r="AG84" i="29"/>
  <c r="AO84" i="29"/>
  <c r="AA69" i="7"/>
  <c r="AA80" i="7" s="1"/>
  <c r="AH84" i="29"/>
  <c r="AP84" i="29"/>
  <c r="X84" i="7"/>
  <c r="AF84" i="7"/>
  <c r="AN84" i="7"/>
  <c r="AI84" i="29"/>
  <c r="AQ84" i="29"/>
  <c r="Y84" i="7"/>
  <c r="AO82" i="7"/>
  <c r="AJ69" i="29"/>
  <c r="AJ80" i="29" s="1"/>
  <c r="AB84" i="29"/>
  <c r="AJ84" i="29"/>
  <c r="Z84" i="7"/>
  <c r="AH84" i="7"/>
  <c r="AC84" i="29"/>
  <c r="AK82" i="29"/>
  <c r="AK69" i="52"/>
  <c r="AA69" i="52"/>
  <c r="AA80" i="52" s="1"/>
  <c r="AH69" i="52"/>
  <c r="AH80" i="52" s="1"/>
  <c r="AL69" i="52"/>
  <c r="AL80" i="52" s="1"/>
  <c r="AP69" i="52"/>
  <c r="AP80" i="52" s="1"/>
  <c r="AD69" i="52"/>
  <c r="AD80" i="52" s="1"/>
  <c r="X82" i="52"/>
  <c r="AF82" i="52"/>
  <c r="AN82" i="52"/>
  <c r="Y84" i="52"/>
  <c r="AG82" i="52"/>
  <c r="AO82" i="52"/>
  <c r="Z84" i="52"/>
  <c r="AH84" i="52"/>
  <c r="AP84" i="52"/>
  <c r="AA84" i="52"/>
  <c r="AI84" i="52"/>
  <c r="AQ84" i="52"/>
  <c r="AN80" i="52"/>
  <c r="AB84" i="52"/>
  <c r="AJ84" i="52"/>
  <c r="AN84" i="52"/>
  <c r="AO80" i="52"/>
  <c r="AO84" i="52"/>
  <c r="AD80" i="29"/>
  <c r="AE80" i="29"/>
  <c r="AM82" i="29"/>
  <c r="AN80" i="29"/>
  <c r="AM80" i="29"/>
  <c r="AE82" i="29"/>
  <c r="AO80" i="29"/>
  <c r="AB80" i="29"/>
  <c r="AP80" i="29"/>
  <c r="AL80" i="29"/>
  <c r="AL82" i="29"/>
  <c r="AF80" i="29"/>
  <c r="AQ80" i="29"/>
  <c r="AJ82" i="29"/>
  <c r="AC82" i="29"/>
  <c r="AK84" i="29"/>
  <c r="AM84" i="29"/>
  <c r="AF82" i="29"/>
  <c r="AN82" i="29"/>
  <c r="AE84" i="29"/>
  <c r="AG82" i="29"/>
  <c r="AO82" i="29"/>
  <c r="AB82" i="29"/>
  <c r="AD82" i="29"/>
  <c r="AL84" i="29"/>
  <c r="AH82" i="29"/>
  <c r="AP82" i="29"/>
  <c r="AI82" i="29"/>
  <c r="AQ82" i="29"/>
  <c r="Z80" i="7"/>
  <c r="AD82" i="7"/>
  <c r="AL82" i="7"/>
  <c r="AB80" i="7"/>
  <c r="AL80" i="7"/>
  <c r="AE82" i="7"/>
  <c r="AM82" i="7"/>
  <c r="AD80" i="7"/>
  <c r="AG82" i="7"/>
  <c r="AG80" i="7"/>
  <c r="AQ80" i="7"/>
  <c r="X82" i="7"/>
  <c r="AF82" i="7"/>
  <c r="AN82" i="7"/>
  <c r="AB84" i="7"/>
  <c r="AJ84" i="7"/>
  <c r="Z82" i="7"/>
  <c r="AH82" i="7"/>
  <c r="AP82" i="7"/>
  <c r="AD84" i="7"/>
  <c r="AL84" i="7"/>
  <c r="AA82" i="7"/>
  <c r="AI82" i="7"/>
  <c r="AQ82" i="7"/>
  <c r="AE84" i="7"/>
  <c r="AM84" i="7"/>
  <c r="Y82" i="7"/>
  <c r="AG84" i="7"/>
  <c r="AO84" i="7"/>
  <c r="AE80" i="52"/>
  <c r="AF69" i="52"/>
  <c r="AF80" i="52" s="1"/>
  <c r="Y69" i="52"/>
  <c r="Y80" i="52" s="1"/>
  <c r="AG69" i="52"/>
  <c r="AG80" i="52" s="1"/>
  <c r="AC69" i="52"/>
  <c r="AC80" i="52" s="1"/>
  <c r="Z69" i="52"/>
  <c r="Z80" i="52" s="1"/>
  <c r="AF84" i="52"/>
  <c r="X69" i="52"/>
  <c r="X80" i="52" s="1"/>
  <c r="X84" i="52"/>
  <c r="AG84" i="52"/>
  <c r="Y82" i="52"/>
  <c r="AI80" i="52"/>
  <c r="AC82" i="52"/>
  <c r="AK82" i="52"/>
  <c r="AJ80" i="52"/>
  <c r="AE82" i="52"/>
  <c r="AM82" i="52"/>
  <c r="AD82" i="52"/>
  <c r="AL82" i="52"/>
  <c r="AK80" i="52"/>
  <c r="AB80" i="52"/>
  <c r="AM80" i="52"/>
  <c r="AC84" i="52"/>
  <c r="AK84" i="52"/>
  <c r="Z82" i="52"/>
  <c r="AH82" i="52"/>
  <c r="AP82" i="52"/>
  <c r="AD84" i="52"/>
  <c r="AL84" i="52"/>
  <c r="AA82" i="52"/>
  <c r="AI82" i="52"/>
  <c r="AQ82" i="52"/>
  <c r="AE84" i="52"/>
  <c r="AM84" i="52"/>
  <c r="AJ82" i="52"/>
  <c r="AB82" i="52"/>
  <c r="AC80" i="7" l="1"/>
  <c r="AK95" i="6"/>
  <c r="AK12" i="6" s="1"/>
  <c r="AL95" i="6"/>
  <c r="AL12" i="6" s="1"/>
  <c r="AM95" i="6"/>
  <c r="AM12" i="6" s="1"/>
  <c r="AJ95" i="6"/>
  <c r="AJ12" i="6" s="1"/>
  <c r="AP12" i="22" l="1"/>
  <c r="AQ69" i="51" l="1"/>
  <c r="AP69" i="51"/>
  <c r="AO69" i="51"/>
  <c r="AN69" i="51"/>
  <c r="AM69" i="51"/>
  <c r="AL69" i="51"/>
  <c r="AK69" i="51"/>
  <c r="AJ69" i="51"/>
  <c r="AI69" i="51"/>
  <c r="AG69" i="51"/>
  <c r="AF69" i="51"/>
  <c r="AE69" i="51"/>
  <c r="AD69" i="51"/>
  <c r="AC69" i="51"/>
  <c r="AB69" i="51"/>
  <c r="AQ115" i="51"/>
  <c r="AP115" i="51"/>
  <c r="AP10" i="51" s="1"/>
  <c r="AQ106" i="51"/>
  <c r="AP106" i="51"/>
  <c r="AP7" i="51" s="1"/>
  <c r="AQ99" i="51"/>
  <c r="AP99" i="51"/>
  <c r="AQ96" i="51"/>
  <c r="AP96" i="51"/>
  <c r="AO12" i="51"/>
  <c r="AN12" i="51"/>
  <c r="AM12" i="51"/>
  <c r="AL12" i="51"/>
  <c r="AK12" i="51"/>
  <c r="AJ12" i="51"/>
  <c r="AI12" i="51"/>
  <c r="AH12" i="51"/>
  <c r="AG12" i="51"/>
  <c r="AF12" i="51"/>
  <c r="AD12" i="51"/>
  <c r="AB12" i="51"/>
  <c r="AQ10" i="51"/>
  <c r="AO10" i="51"/>
  <c r="AN10" i="51"/>
  <c r="AM10" i="51"/>
  <c r="AL10" i="51"/>
  <c r="AK10" i="51"/>
  <c r="AJ10" i="51"/>
  <c r="AI10" i="51"/>
  <c r="AH10" i="51"/>
  <c r="AG10" i="51"/>
  <c r="AF10" i="51"/>
  <c r="AD10" i="51"/>
  <c r="AB10" i="51"/>
  <c r="AQ7" i="51"/>
  <c r="AO7" i="51"/>
  <c r="AN7" i="51"/>
  <c r="AM7" i="51"/>
  <c r="AL7" i="51"/>
  <c r="AK7" i="51"/>
  <c r="AJ7" i="51"/>
  <c r="AI7" i="51"/>
  <c r="AH7" i="51"/>
  <c r="AG7" i="51"/>
  <c r="AF7" i="51"/>
  <c r="AD7" i="51"/>
  <c r="AB7" i="51"/>
  <c r="AO6" i="51"/>
  <c r="AN6" i="51"/>
  <c r="AN8" i="51" s="1"/>
  <c r="AM6" i="51"/>
  <c r="AL6" i="51"/>
  <c r="AK6" i="51"/>
  <c r="AK8" i="51" s="1"/>
  <c r="AJ6" i="51"/>
  <c r="AI6" i="51"/>
  <c r="AH6" i="51"/>
  <c r="AG6" i="51"/>
  <c r="AF6" i="51"/>
  <c r="AF8" i="51" s="1"/>
  <c r="AD6" i="51"/>
  <c r="AB6" i="51"/>
  <c r="AD8" i="51" l="1"/>
  <c r="AM8" i="51"/>
  <c r="AP94" i="51"/>
  <c r="AP6" i="51" s="1"/>
  <c r="AG8" i="51"/>
  <c r="AO8" i="51"/>
  <c r="AH8" i="51"/>
  <c r="AB84" i="51"/>
  <c r="AJ84" i="51"/>
  <c r="AH69" i="51"/>
  <c r="AH80" i="51" s="1"/>
  <c r="AI8" i="51"/>
  <c r="AC84" i="51"/>
  <c r="AK84" i="51"/>
  <c r="AJ8" i="51"/>
  <c r="AP8" i="51"/>
  <c r="AK80" i="51"/>
  <c r="AD84" i="51"/>
  <c r="AL84" i="51"/>
  <c r="AQ94" i="51"/>
  <c r="AL80" i="51"/>
  <c r="AE80" i="51"/>
  <c r="AM80" i="51"/>
  <c r="AE84" i="51"/>
  <c r="AM84" i="51"/>
  <c r="AB8" i="51"/>
  <c r="AL8" i="51"/>
  <c r="AF84" i="51"/>
  <c r="AN84" i="51"/>
  <c r="AG84" i="51"/>
  <c r="AO84" i="51"/>
  <c r="AP80" i="51"/>
  <c r="AH84" i="51"/>
  <c r="AP84" i="51"/>
  <c r="AI84" i="51"/>
  <c r="AQ84" i="51"/>
  <c r="AQ80" i="51"/>
  <c r="AI80" i="51"/>
  <c r="AD80" i="51"/>
  <c r="AN80" i="51"/>
  <c r="AJ80" i="51"/>
  <c r="AB80" i="51"/>
  <c r="AC80" i="51"/>
  <c r="AF80" i="51"/>
  <c r="AO80" i="51"/>
  <c r="AG80" i="51"/>
  <c r="AB82" i="51"/>
  <c r="AJ82" i="51"/>
  <c r="AC82" i="51"/>
  <c r="AK82" i="51"/>
  <c r="AD82" i="51"/>
  <c r="AL82" i="51"/>
  <c r="AE82" i="51"/>
  <c r="AM82" i="51"/>
  <c r="AF82" i="51"/>
  <c r="AN82" i="51"/>
  <c r="AG82" i="51"/>
  <c r="AO82" i="51"/>
  <c r="AH82" i="51"/>
  <c r="AP82" i="51"/>
  <c r="AI82" i="51"/>
  <c r="AQ82" i="51"/>
  <c r="AP12" i="51"/>
  <c r="AQ12" i="51"/>
  <c r="AG12" i="20"/>
  <c r="AH12" i="20"/>
  <c r="AI12" i="20"/>
  <c r="AJ12" i="20"/>
  <c r="AK12" i="20"/>
  <c r="AL12" i="20"/>
  <c r="AM12" i="20"/>
  <c r="AN12" i="20"/>
  <c r="AF12" i="20"/>
  <c r="AQ6" i="51" l="1"/>
  <c r="AQ8" i="51" s="1"/>
  <c r="AQ113" i="50"/>
  <c r="AP113" i="50"/>
  <c r="AP10" i="50" s="1"/>
  <c r="AO113" i="50"/>
  <c r="AO10" i="50" s="1"/>
  <c r="AF113" i="50"/>
  <c r="AE113" i="50"/>
  <c r="AD113" i="50"/>
  <c r="AC113" i="50"/>
  <c r="AB113" i="50"/>
  <c r="AA113" i="50"/>
  <c r="Z113" i="50"/>
  <c r="Y113" i="50"/>
  <c r="X113" i="50"/>
  <c r="W113" i="50"/>
  <c r="V113" i="50"/>
  <c r="U113" i="50"/>
  <c r="T113" i="50"/>
  <c r="S113" i="50"/>
  <c r="R113" i="50"/>
  <c r="AQ110" i="50"/>
  <c r="AQ7" i="50" s="1"/>
  <c r="AP110" i="50"/>
  <c r="AP7" i="50" s="1"/>
  <c r="AO110" i="50"/>
  <c r="AN110" i="50"/>
  <c r="AM110" i="50"/>
  <c r="AL110" i="50"/>
  <c r="AK110" i="50"/>
  <c r="AJ110" i="50"/>
  <c r="AI110" i="50"/>
  <c r="AH110" i="50"/>
  <c r="AG110" i="50"/>
  <c r="AF110" i="50"/>
  <c r="AE110" i="50"/>
  <c r="AD110" i="50"/>
  <c r="AC110" i="50"/>
  <c r="AB110" i="50"/>
  <c r="AA110" i="50"/>
  <c r="Z110" i="50"/>
  <c r="Y110" i="50"/>
  <c r="X110" i="50"/>
  <c r="W110" i="50"/>
  <c r="V110" i="50"/>
  <c r="U110" i="50"/>
  <c r="T110" i="50"/>
  <c r="S110" i="50"/>
  <c r="R110" i="50"/>
  <c r="AQ103" i="50"/>
  <c r="AP103" i="50"/>
  <c r="AO103" i="50"/>
  <c r="AN103" i="50"/>
  <c r="AM103" i="50"/>
  <c r="AL103" i="50"/>
  <c r="AK103" i="50"/>
  <c r="AK94" i="50" s="1"/>
  <c r="AJ103" i="50"/>
  <c r="AI103" i="50"/>
  <c r="AH103" i="50"/>
  <c r="AG103" i="50"/>
  <c r="AF103" i="50"/>
  <c r="AE103" i="50"/>
  <c r="AD103" i="50"/>
  <c r="AD94" i="50" s="1"/>
  <c r="AC103" i="50"/>
  <c r="AC94" i="50" s="1"/>
  <c r="AB103" i="50"/>
  <c r="AA103" i="50"/>
  <c r="Z103" i="50"/>
  <c r="Y103" i="50"/>
  <c r="X103" i="50"/>
  <c r="W103" i="50"/>
  <c r="V103" i="50"/>
  <c r="V94" i="50" s="1"/>
  <c r="U103" i="50"/>
  <c r="U94" i="50" s="1"/>
  <c r="T103" i="50"/>
  <c r="S103" i="50"/>
  <c r="R103" i="50"/>
  <c r="AQ96" i="50"/>
  <c r="AQ94" i="50" s="1"/>
  <c r="AQ6" i="50" s="1"/>
  <c r="AP96" i="50"/>
  <c r="AP94" i="50" s="1"/>
  <c r="AP6" i="50" s="1"/>
  <c r="AO96" i="50"/>
  <c r="AO94" i="50" s="1"/>
  <c r="AO6" i="50" s="1"/>
  <c r="AO8" i="50" s="1"/>
  <c r="AN96" i="50"/>
  <c r="AN94" i="50" s="1"/>
  <c r="AM96" i="50"/>
  <c r="AM94" i="50" s="1"/>
  <c r="AL96" i="50"/>
  <c r="AK96" i="50"/>
  <c r="AJ96" i="50"/>
  <c r="AJ94" i="50" s="1"/>
  <c r="AI96" i="50"/>
  <c r="AI94" i="50" s="1"/>
  <c r="AH96" i="50"/>
  <c r="AH94" i="50" s="1"/>
  <c r="AG96" i="50"/>
  <c r="AG94" i="50" s="1"/>
  <c r="AF96" i="50"/>
  <c r="AF94" i="50" s="1"/>
  <c r="AE96" i="50"/>
  <c r="AE94" i="50" s="1"/>
  <c r="AD96" i="50"/>
  <c r="AC96" i="50"/>
  <c r="AB96" i="50"/>
  <c r="AA96" i="50"/>
  <c r="AA94" i="50" s="1"/>
  <c r="Z96" i="50"/>
  <c r="Z94" i="50" s="1"/>
  <c r="Y96" i="50"/>
  <c r="Y94" i="50" s="1"/>
  <c r="X96" i="50"/>
  <c r="X94" i="50" s="1"/>
  <c r="W96" i="50"/>
  <c r="W94" i="50" s="1"/>
  <c r="V96" i="50"/>
  <c r="U96" i="50"/>
  <c r="T96" i="50"/>
  <c r="T94" i="50" s="1"/>
  <c r="T7" i="50" s="1"/>
  <c r="S96" i="50"/>
  <c r="S94" i="50" s="1"/>
  <c r="R96" i="50"/>
  <c r="R94" i="50" s="1"/>
  <c r="AL94" i="50"/>
  <c r="AL6" i="50" s="1"/>
  <c r="AB94" i="50"/>
  <c r="AF84" i="50"/>
  <c r="AE84" i="50"/>
  <c r="AD84" i="50"/>
  <c r="AC84" i="50"/>
  <c r="AB84" i="50"/>
  <c r="AA84" i="50"/>
  <c r="Z84" i="50"/>
  <c r="Y84" i="50"/>
  <c r="X84" i="50"/>
  <c r="W84" i="50"/>
  <c r="V84" i="50"/>
  <c r="U84" i="50"/>
  <c r="T84" i="50"/>
  <c r="S84" i="50"/>
  <c r="R84" i="50"/>
  <c r="AF82" i="50"/>
  <c r="AE82" i="50"/>
  <c r="AD82" i="50"/>
  <c r="AC82" i="50"/>
  <c r="AB82" i="50"/>
  <c r="AA82" i="50"/>
  <c r="Z82" i="50"/>
  <c r="Y82" i="50"/>
  <c r="X82" i="50"/>
  <c r="W82" i="50"/>
  <c r="V82" i="50"/>
  <c r="U82" i="50"/>
  <c r="T82" i="50"/>
  <c r="S82" i="50"/>
  <c r="R82" i="50"/>
  <c r="AF80" i="50"/>
  <c r="AE80" i="50"/>
  <c r="AD80" i="50"/>
  <c r="AC80" i="50"/>
  <c r="AB80" i="50"/>
  <c r="AA80" i="50"/>
  <c r="Z80" i="50"/>
  <c r="Y80" i="50"/>
  <c r="X80" i="50"/>
  <c r="W80" i="50"/>
  <c r="V80" i="50"/>
  <c r="U80" i="50"/>
  <c r="T80" i="50"/>
  <c r="S80" i="50"/>
  <c r="R80" i="50"/>
  <c r="AJ69" i="50"/>
  <c r="AI69" i="50"/>
  <c r="AP12" i="50"/>
  <c r="AO12" i="50"/>
  <c r="AQ10" i="50"/>
  <c r="AN10" i="50"/>
  <c r="AM10" i="50"/>
  <c r="AL10" i="50"/>
  <c r="AO7" i="50"/>
  <c r="AB7" i="50"/>
  <c r="AB6" i="50"/>
  <c r="AB8" i="50" s="1"/>
  <c r="AG69" i="50" l="1"/>
  <c r="AO69" i="50"/>
  <c r="AH69" i="50"/>
  <c r="AH80" i="50" s="1"/>
  <c r="AP69" i="50"/>
  <c r="AP80" i="50" s="1"/>
  <c r="V6" i="50"/>
  <c r="V7" i="50"/>
  <c r="AD6" i="50"/>
  <c r="AD7" i="50"/>
  <c r="AK6" i="50"/>
  <c r="AK7" i="50"/>
  <c r="AC6" i="50"/>
  <c r="AC7" i="50"/>
  <c r="AJ6" i="50"/>
  <c r="AJ7" i="50"/>
  <c r="U6" i="50"/>
  <c r="U7" i="50"/>
  <c r="T6" i="50"/>
  <c r="T8" i="50" s="1"/>
  <c r="AQ12" i="50"/>
  <c r="AP8" i="50"/>
  <c r="AQ8" i="50"/>
  <c r="AL7" i="50"/>
  <c r="AN69" i="50"/>
  <c r="AL8" i="50"/>
  <c r="AH82" i="50"/>
  <c r="AP82" i="50"/>
  <c r="AO82" i="50"/>
  <c r="AG82" i="50"/>
  <c r="AM69" i="50"/>
  <c r="AM80" i="50" s="1"/>
  <c r="AM82" i="50"/>
  <c r="AG84" i="50"/>
  <c r="AO84" i="50"/>
  <c r="AP84" i="50"/>
  <c r="AJ80" i="50"/>
  <c r="AH84" i="50"/>
  <c r="AK69" i="50"/>
  <c r="AK80" i="50" s="1"/>
  <c r="AJ82" i="50"/>
  <c r="AN84" i="50"/>
  <c r="AL69" i="50"/>
  <c r="AL80" i="50" s="1"/>
  <c r="AQ69" i="50"/>
  <c r="AQ80" i="50" s="1"/>
  <c r="AK84" i="50"/>
  <c r="AL84" i="50"/>
  <c r="AO80" i="50"/>
  <c r="W7" i="50"/>
  <c r="W6" i="50"/>
  <c r="W8" i="50" s="1"/>
  <c r="AE7" i="50"/>
  <c r="AE6" i="50"/>
  <c r="X7" i="50"/>
  <c r="X6" i="50"/>
  <c r="X8" i="50" s="1"/>
  <c r="AF7" i="50"/>
  <c r="AF6" i="50"/>
  <c r="AN7" i="50"/>
  <c r="AN6" i="50"/>
  <c r="AN8" i="50" s="1"/>
  <c r="AI80" i="50"/>
  <c r="Y6" i="50"/>
  <c r="Y7" i="50"/>
  <c r="AG6" i="50"/>
  <c r="AG7" i="50"/>
  <c r="AI82" i="50"/>
  <c r="AQ82" i="50"/>
  <c r="R6" i="50"/>
  <c r="R7" i="50"/>
  <c r="Z6" i="50"/>
  <c r="Z7" i="50"/>
  <c r="AH6" i="50"/>
  <c r="AH7" i="50"/>
  <c r="S7" i="50"/>
  <c r="S6" i="50"/>
  <c r="AA7" i="50"/>
  <c r="AA6" i="50"/>
  <c r="AA8" i="50" s="1"/>
  <c r="AM7" i="50"/>
  <c r="AM6" i="50"/>
  <c r="AG80" i="50"/>
  <c r="AI7" i="50"/>
  <c r="AI6" i="50"/>
  <c r="AI8" i="50" s="1"/>
  <c r="AN82" i="50"/>
  <c r="AK82" i="50"/>
  <c r="AI84" i="50"/>
  <c r="AQ84" i="50"/>
  <c r="AM84" i="50"/>
  <c r="AL82" i="50"/>
  <c r="AJ84" i="50"/>
  <c r="AJ8" i="50" l="1"/>
  <c r="AM8" i="50"/>
  <c r="AH8" i="50"/>
  <c r="AK8" i="50"/>
  <c r="AC8" i="50"/>
  <c r="AD8" i="50"/>
  <c r="U8" i="50"/>
  <c r="AE8" i="50"/>
  <c r="S8" i="50"/>
  <c r="V8" i="50"/>
  <c r="AG8" i="50"/>
  <c r="Z8" i="50"/>
  <c r="Y8" i="50"/>
  <c r="AN80" i="50"/>
  <c r="R8" i="50"/>
  <c r="AF8" i="50"/>
  <c r="AM108" i="49" l="1"/>
  <c r="AM107" i="49" s="1"/>
  <c r="AM109" i="49"/>
  <c r="AN109" i="49" s="1"/>
  <c r="AO109" i="49" s="1"/>
  <c r="AP109" i="49" s="1"/>
  <c r="AM103" i="49"/>
  <c r="AN103" i="49" s="1"/>
  <c r="AM104" i="49"/>
  <c r="AN104" i="49" s="1"/>
  <c r="AO104" i="49" s="1"/>
  <c r="AP104" i="49" s="1"/>
  <c r="AN108" i="49" l="1"/>
  <c r="AM102" i="49"/>
  <c r="AO103" i="49"/>
  <c r="AN102" i="49"/>
  <c r="AN94" i="49"/>
  <c r="AM94" i="49"/>
  <c r="AM6" i="49" s="1"/>
  <c r="AM12" i="49"/>
  <c r="AQ6" i="49"/>
  <c r="AP7" i="49"/>
  <c r="AQ7" i="49"/>
  <c r="AP10" i="49"/>
  <c r="AQ10" i="49"/>
  <c r="AQ14" i="49"/>
  <c r="AP69" i="49"/>
  <c r="AH69" i="49"/>
  <c r="Z69" i="49"/>
  <c r="AO84" i="49"/>
  <c r="AG84" i="49"/>
  <c r="Y84" i="49"/>
  <c r="AA6" i="49"/>
  <c r="AB6" i="49"/>
  <c r="AC6" i="49"/>
  <c r="AD6" i="49"/>
  <c r="AD8" i="49" s="1"/>
  <c r="AE6" i="49"/>
  <c r="AF6" i="49"/>
  <c r="AG6" i="49"/>
  <c r="AH6" i="49"/>
  <c r="AI6" i="49"/>
  <c r="AJ6" i="49"/>
  <c r="AK6" i="49"/>
  <c r="AL6" i="49"/>
  <c r="AL8" i="49" s="1"/>
  <c r="AN6" i="49"/>
  <c r="AA7" i="49"/>
  <c r="AB7" i="49"/>
  <c r="AB8" i="49" s="1"/>
  <c r="AC7" i="49"/>
  <c r="AD7" i="49"/>
  <c r="AE7" i="49"/>
  <c r="AE8" i="49" s="1"/>
  <c r="AF7" i="49"/>
  <c r="AF8" i="49" s="1"/>
  <c r="AG7" i="49"/>
  <c r="AG8" i="49" s="1"/>
  <c r="AH7" i="49"/>
  <c r="AI7" i="49"/>
  <c r="AJ7" i="49"/>
  <c r="AJ8" i="49" s="1"/>
  <c r="AK7" i="49"/>
  <c r="AL7" i="49"/>
  <c r="AM7" i="49"/>
  <c r="AN7" i="49"/>
  <c r="AO7" i="49"/>
  <c r="AI8" i="49"/>
  <c r="AA10" i="49"/>
  <c r="AB10" i="49"/>
  <c r="AC10" i="49"/>
  <c r="AD10" i="49"/>
  <c r="AE10" i="49"/>
  <c r="AF10" i="49"/>
  <c r="AG10" i="49"/>
  <c r="AH10" i="49"/>
  <c r="AI10" i="49"/>
  <c r="AJ10" i="49"/>
  <c r="AK10" i="49"/>
  <c r="AL10" i="49"/>
  <c r="AM10" i="49"/>
  <c r="AN10" i="49"/>
  <c r="AO10" i="49"/>
  <c r="AA12" i="49"/>
  <c r="AB12" i="49"/>
  <c r="AC12" i="49"/>
  <c r="AD12" i="49"/>
  <c r="AE12" i="49"/>
  <c r="AF12" i="49"/>
  <c r="AG12" i="49"/>
  <c r="AH12" i="49"/>
  <c r="AI12" i="49"/>
  <c r="AJ12" i="49"/>
  <c r="AK12" i="49"/>
  <c r="AL12" i="49"/>
  <c r="AA14" i="49"/>
  <c r="AB14" i="49"/>
  <c r="AC14" i="49"/>
  <c r="AD14" i="49"/>
  <c r="AE14" i="49"/>
  <c r="AF14" i="49"/>
  <c r="AG14" i="49"/>
  <c r="AH14" i="49"/>
  <c r="AI14" i="49"/>
  <c r="AJ14" i="49"/>
  <c r="AK14" i="49"/>
  <c r="AL14" i="49"/>
  <c r="AM14" i="49"/>
  <c r="AN14" i="49"/>
  <c r="Z12" i="49"/>
  <c r="Z10" i="49"/>
  <c r="Z14" i="49"/>
  <c r="Z7" i="49"/>
  <c r="Z6" i="49"/>
  <c r="V162" i="49"/>
  <c r="V202" i="49" s="1"/>
  <c r="U162" i="49"/>
  <c r="U202" i="49" s="1"/>
  <c r="T162" i="49"/>
  <c r="T202" i="49" s="1"/>
  <c r="S162" i="49"/>
  <c r="S202" i="49" s="1"/>
  <c r="R162" i="49"/>
  <c r="R202" i="49" s="1"/>
  <c r="Q162" i="49"/>
  <c r="Q202" i="49" s="1"/>
  <c r="P162" i="49"/>
  <c r="P202" i="49" s="1"/>
  <c r="AS99" i="49"/>
  <c r="AS98" i="49"/>
  <c r="X14" i="49"/>
  <c r="X12" i="49"/>
  <c r="V12" i="49"/>
  <c r="X10" i="49"/>
  <c r="V10" i="49"/>
  <c r="T10" i="49"/>
  <c r="R10" i="49"/>
  <c r="P10" i="49"/>
  <c r="X7" i="49"/>
  <c r="V7" i="49"/>
  <c r="T7" i="49"/>
  <c r="T8" i="49" s="1"/>
  <c r="X6" i="49"/>
  <c r="V6" i="49"/>
  <c r="AA69" i="49" l="1"/>
  <c r="AI69" i="49"/>
  <c r="AQ69" i="49"/>
  <c r="AD69" i="49"/>
  <c r="AL69" i="49"/>
  <c r="AL80" i="49" s="1"/>
  <c r="V8" i="49"/>
  <c r="AS100" i="49"/>
  <c r="AA8" i="49"/>
  <c r="X8" i="49"/>
  <c r="AN107" i="49"/>
  <c r="AN12" i="49" s="1"/>
  <c r="AO108" i="49"/>
  <c r="Z8" i="49"/>
  <c r="AK8" i="49"/>
  <c r="AC8" i="49"/>
  <c r="AH8" i="49"/>
  <c r="AC69" i="49"/>
  <c r="AC80" i="49" s="1"/>
  <c r="AK69" i="49"/>
  <c r="AK80" i="49" s="1"/>
  <c r="AM8" i="49"/>
  <c r="AP103" i="49"/>
  <c r="AO102" i="49"/>
  <c r="AI80" i="49"/>
  <c r="Y69" i="49"/>
  <c r="AH80" i="49"/>
  <c r="AD80" i="49"/>
  <c r="AE84" i="49"/>
  <c r="AM84" i="49"/>
  <c r="AB84" i="49"/>
  <c r="AE82" i="49"/>
  <c r="AG69" i="49"/>
  <c r="AO69" i="49"/>
  <c r="AN8" i="49"/>
  <c r="AJ82" i="49"/>
  <c r="AJ84" i="49"/>
  <c r="AM82" i="49"/>
  <c r="AB69" i="49"/>
  <c r="AB80" i="49" s="1"/>
  <c r="AJ69" i="49"/>
  <c r="AJ80" i="49" s="1"/>
  <c r="X69" i="49"/>
  <c r="X80" i="49" s="1"/>
  <c r="AF69" i="49"/>
  <c r="AF80" i="49" s="1"/>
  <c r="AN69" i="49"/>
  <c r="AN80" i="49" s="1"/>
  <c r="X84" i="49"/>
  <c r="AF84" i="49"/>
  <c r="AN84" i="49"/>
  <c r="AB82" i="49"/>
  <c r="AO80" i="49"/>
  <c r="Z84" i="49"/>
  <c r="AH84" i="49"/>
  <c r="AP84" i="49"/>
  <c r="AE69" i="49"/>
  <c r="AM69" i="49"/>
  <c r="AM80" i="49" s="1"/>
  <c r="AA84" i="49"/>
  <c r="AI84" i="49"/>
  <c r="AQ84" i="49"/>
  <c r="AC82" i="49"/>
  <c r="AK82" i="49"/>
  <c r="Z80" i="49"/>
  <c r="AD82" i="49"/>
  <c r="AL82" i="49"/>
  <c r="AP80" i="49"/>
  <c r="AA80" i="49"/>
  <c r="AQ80" i="49"/>
  <c r="X82" i="49"/>
  <c r="AF82" i="49"/>
  <c r="AN82" i="49"/>
  <c r="AC84" i="49"/>
  <c r="AK84" i="49"/>
  <c r="Z82" i="49"/>
  <c r="AH82" i="49"/>
  <c r="AP82" i="49"/>
  <c r="AD84" i="49"/>
  <c r="AL84" i="49"/>
  <c r="AA82" i="49"/>
  <c r="AI82" i="49"/>
  <c r="AQ82" i="49"/>
  <c r="AP108" i="49" l="1"/>
  <c r="AP107" i="49" s="1"/>
  <c r="AO107" i="49"/>
  <c r="AO94" i="49"/>
  <c r="AO6" i="49" s="1"/>
  <c r="AO8" i="49" s="1"/>
  <c r="AG80" i="49"/>
  <c r="AO14" i="49"/>
  <c r="AO12" i="49"/>
  <c r="Y80" i="49"/>
  <c r="AP94" i="49"/>
  <c r="AP6" i="49" s="1"/>
  <c r="AP8" i="49" s="1"/>
  <c r="AP102" i="49"/>
  <c r="Y82" i="49"/>
  <c r="AG82" i="49"/>
  <c r="AE80" i="49"/>
  <c r="AO82" i="49"/>
  <c r="AP93" i="48"/>
  <c r="AC69" i="48"/>
  <c r="AP12" i="48"/>
  <c r="AP6" i="48"/>
  <c r="AP13" i="48"/>
  <c r="AP14" i="48"/>
  <c r="AQ154" i="48"/>
  <c r="AP154" i="48"/>
  <c r="AP10" i="48" s="1"/>
  <c r="AO154" i="48"/>
  <c r="AN154" i="48"/>
  <c r="AM154" i="48"/>
  <c r="AL154" i="48"/>
  <c r="AK154" i="48"/>
  <c r="AJ154" i="48"/>
  <c r="AJ10" i="48" s="1"/>
  <c r="AI154" i="48"/>
  <c r="AH154" i="48"/>
  <c r="AH10" i="48" s="1"/>
  <c r="AG154" i="48"/>
  <c r="AQ145" i="48"/>
  <c r="AP145" i="48"/>
  <c r="AP7" i="48" s="1"/>
  <c r="AP8" i="48" s="1"/>
  <c r="AO145" i="48"/>
  <c r="AN145" i="48"/>
  <c r="AM145" i="48"/>
  <c r="AM7" i="48" s="1"/>
  <c r="AM8" i="48" s="1"/>
  <c r="AL145" i="48"/>
  <c r="AL7" i="48" s="1"/>
  <c r="AK145" i="48"/>
  <c r="AK7" i="48" s="1"/>
  <c r="AJ145" i="48"/>
  <c r="AI145" i="48"/>
  <c r="AH145" i="48"/>
  <c r="AG145" i="48"/>
  <c r="AG124" i="48"/>
  <c r="AG93" i="48" s="1"/>
  <c r="AG6" i="48" s="1"/>
  <c r="AF124" i="48"/>
  <c r="AF93" i="48" s="1"/>
  <c r="AF6" i="48" s="1"/>
  <c r="AF8" i="48" s="1"/>
  <c r="AQ93" i="48"/>
  <c r="AO93" i="48"/>
  <c r="AO6" i="48" s="1"/>
  <c r="AO8" i="48" s="1"/>
  <c r="AN93" i="48"/>
  <c r="AM93" i="48"/>
  <c r="AL93" i="48"/>
  <c r="AK93" i="48"/>
  <c r="AJ93" i="48"/>
  <c r="AI93" i="48"/>
  <c r="AH93" i="48"/>
  <c r="AH6" i="48" s="1"/>
  <c r="AH8" i="48" s="1"/>
  <c r="AD93" i="48"/>
  <c r="AD6" i="48" s="1"/>
  <c r="AD8" i="48" s="1"/>
  <c r="AB93" i="48"/>
  <c r="Z93" i="48"/>
  <c r="Z6" i="48" s="1"/>
  <c r="X93" i="48"/>
  <c r="AO14" i="48"/>
  <c r="AN14" i="48"/>
  <c r="AM14" i="48"/>
  <c r="AL14" i="48"/>
  <c r="AK14" i="48"/>
  <c r="AJ14" i="48"/>
  <c r="AI14" i="48"/>
  <c r="AH14" i="48"/>
  <c r="AG14" i="48"/>
  <c r="AF14" i="48"/>
  <c r="AD14" i="48"/>
  <c r="AB14" i="48"/>
  <c r="Z14" i="48"/>
  <c r="X14" i="48"/>
  <c r="AO13" i="48"/>
  <c r="AN13" i="48"/>
  <c r="AM13" i="48"/>
  <c r="AL13" i="48"/>
  <c r="AK13" i="48"/>
  <c r="AJ13" i="48"/>
  <c r="AI13" i="48"/>
  <c r="AH13" i="48"/>
  <c r="AG13" i="48"/>
  <c r="AF13" i="48"/>
  <c r="AD13" i="48"/>
  <c r="AB13" i="48"/>
  <c r="Z13" i="48"/>
  <c r="X13" i="48"/>
  <c r="AO12" i="48"/>
  <c r="AN12" i="48"/>
  <c r="AM12" i="48"/>
  <c r="AL12" i="48"/>
  <c r="AK12" i="48"/>
  <c r="AJ12" i="48"/>
  <c r="AH12" i="48"/>
  <c r="AF12" i="48"/>
  <c r="AD12" i="48"/>
  <c r="AB12" i="48"/>
  <c r="Z12" i="48"/>
  <c r="X12" i="48"/>
  <c r="AO10" i="48"/>
  <c r="AN10" i="48"/>
  <c r="AM10" i="48"/>
  <c r="AL10" i="48"/>
  <c r="AK10" i="48"/>
  <c r="AG10" i="48"/>
  <c r="AF10" i="48"/>
  <c r="AD10" i="48"/>
  <c r="AB10" i="48"/>
  <c r="Z10" i="48"/>
  <c r="X10" i="48"/>
  <c r="AO7" i="48"/>
  <c r="AN7" i="48"/>
  <c r="AJ7" i="48"/>
  <c r="AH7" i="48"/>
  <c r="AG7" i="48"/>
  <c r="AF7" i="48"/>
  <c r="AD7" i="48"/>
  <c r="AB7" i="48"/>
  <c r="Z7" i="48"/>
  <c r="X7" i="48"/>
  <c r="AN6" i="48"/>
  <c r="AM6" i="48"/>
  <c r="AL6" i="48"/>
  <c r="AK6" i="48"/>
  <c r="AJ6" i="48"/>
  <c r="AB6" i="48"/>
  <c r="X6" i="48"/>
  <c r="AK69" i="48" l="1"/>
  <c r="AG8" i="48"/>
  <c r="AN8" i="48"/>
  <c r="AL8" i="48"/>
  <c r="AB8" i="48"/>
  <c r="AK8" i="48"/>
  <c r="AJ8" i="48"/>
  <c r="Z8" i="48"/>
  <c r="AP12" i="49"/>
  <c r="AP14" i="49"/>
  <c r="X8" i="48"/>
  <c r="Z69" i="48"/>
  <c r="AH69" i="48"/>
  <c r="AP69" i="48"/>
  <c r="AP80" i="48" s="1"/>
  <c r="AI69" i="48"/>
  <c r="AI80" i="48" s="1"/>
  <c r="AQ69" i="48"/>
  <c r="AE69" i="48"/>
  <c r="AE80" i="48" s="1"/>
  <c r="AM69" i="48"/>
  <c r="AM80" i="48" s="1"/>
  <c r="Y69" i="48"/>
  <c r="Y80" i="48" s="1"/>
  <c r="AG69" i="48"/>
  <c r="AG80" i="48" s="1"/>
  <c r="AO69" i="48"/>
  <c r="AO80" i="48" s="1"/>
  <c r="AQ84" i="48"/>
  <c r="AB69" i="48"/>
  <c r="AB80" i="48" s="1"/>
  <c r="AN69" i="48"/>
  <c r="AN80" i="48" s="1"/>
  <c r="X84" i="48"/>
  <c r="AN84" i="48"/>
  <c r="AK80" i="48"/>
  <c r="AJ69" i="48"/>
  <c r="AJ80" i="48" s="1"/>
  <c r="AF69" i="48"/>
  <c r="AF80" i="48" s="1"/>
  <c r="AF84" i="48"/>
  <c r="AA69" i="48"/>
  <c r="AA80" i="48" s="1"/>
  <c r="Y84" i="48"/>
  <c r="AG84" i="48"/>
  <c r="AO84" i="48"/>
  <c r="AD69" i="48"/>
  <c r="AD80" i="48" s="1"/>
  <c r="AL69" i="48"/>
  <c r="AL80" i="48" s="1"/>
  <c r="Z82" i="48"/>
  <c r="AH82" i="48"/>
  <c r="AP84" i="48"/>
  <c r="AA84" i="48"/>
  <c r="AI84" i="48"/>
  <c r="X69" i="48"/>
  <c r="X80" i="48" s="1"/>
  <c r="AB82" i="48"/>
  <c r="AJ82" i="48"/>
  <c r="AC82" i="48"/>
  <c r="AK82" i="48"/>
  <c r="Z80" i="48"/>
  <c r="AH80" i="48"/>
  <c r="AD82" i="48"/>
  <c r="AL82" i="48"/>
  <c r="AE82" i="48"/>
  <c r="AM82" i="48"/>
  <c r="AC80" i="48"/>
  <c r="AH84" i="48"/>
  <c r="X82" i="48"/>
  <c r="AF82" i="48"/>
  <c r="AN82" i="48"/>
  <c r="AB84" i="48"/>
  <c r="AJ84" i="48"/>
  <c r="Z84" i="48"/>
  <c r="Y82" i="48"/>
  <c r="AG82" i="48"/>
  <c r="AO82" i="48"/>
  <c r="AC84" i="48"/>
  <c r="AK84" i="48"/>
  <c r="AP82" i="48"/>
  <c r="AD84" i="48"/>
  <c r="AL84" i="48"/>
  <c r="AA82" i="48"/>
  <c r="AI82" i="48"/>
  <c r="AE84" i="48"/>
  <c r="AM84" i="48"/>
  <c r="AQ82" i="48"/>
  <c r="AG12" i="48"/>
  <c r="AQ80" i="48" l="1"/>
  <c r="AJ82" i="47" l="1"/>
  <c r="AB82" i="47"/>
  <c r="AL69" i="47"/>
  <c r="AL80" i="47" s="1"/>
  <c r="AP69" i="47"/>
  <c r="AN69" i="47"/>
  <c r="AN80" i="47" s="1"/>
  <c r="AM69" i="47"/>
  <c r="AM80" i="47" s="1"/>
  <c r="AK69" i="47"/>
  <c r="AH69" i="47"/>
  <c r="AF69" i="47"/>
  <c r="AE69" i="47"/>
  <c r="AD69" i="47"/>
  <c r="AC69" i="47"/>
  <c r="AB69" i="47"/>
  <c r="Z69" i="47"/>
  <c r="AJ69" i="47"/>
  <c r="AG69" i="47"/>
  <c r="AQ6" i="47"/>
  <c r="AR6" i="47"/>
  <c r="AQ7" i="47"/>
  <c r="AR7" i="47"/>
  <c r="AR8" i="47"/>
  <c r="AQ13" i="47"/>
  <c r="AR13" i="47"/>
  <c r="AP13" i="47"/>
  <c r="AO13" i="47"/>
  <c r="AN13" i="47"/>
  <c r="AM13" i="47"/>
  <c r="AL13" i="47"/>
  <c r="AK13" i="47"/>
  <c r="AJ13" i="47"/>
  <c r="AI13" i="47"/>
  <c r="AH13" i="47"/>
  <c r="AG13" i="47"/>
  <c r="AF13" i="47"/>
  <c r="AD13" i="47"/>
  <c r="AB13" i="47"/>
  <c r="Z13" i="47"/>
  <c r="AH12" i="47"/>
  <c r="AG12" i="47"/>
  <c r="AF12" i="47"/>
  <c r="AD12" i="47"/>
  <c r="AB12" i="47"/>
  <c r="Z12" i="47"/>
  <c r="X12" i="47"/>
  <c r="W12" i="47"/>
  <c r="V12" i="47"/>
  <c r="T12" i="47"/>
  <c r="AP7" i="47"/>
  <c r="AO7" i="47"/>
  <c r="AN7" i="47"/>
  <c r="AM7" i="47"/>
  <c r="AL7" i="47"/>
  <c r="AK7" i="47"/>
  <c r="AJ7" i="47"/>
  <c r="AI7" i="47"/>
  <c r="AH7" i="47"/>
  <c r="AG7" i="47"/>
  <c r="AF7" i="47"/>
  <c r="AD7" i="47"/>
  <c r="AB7" i="47"/>
  <c r="Z7" i="47"/>
  <c r="X7" i="47"/>
  <c r="W7" i="47"/>
  <c r="V7" i="47"/>
  <c r="T7" i="47"/>
  <c r="AP6" i="47"/>
  <c r="AO6" i="47"/>
  <c r="AN6" i="47"/>
  <c r="AM6" i="47"/>
  <c r="AL6" i="47"/>
  <c r="AK6" i="47"/>
  <c r="AJ6" i="47"/>
  <c r="AI6" i="47"/>
  <c r="AH6" i="47"/>
  <c r="AG6" i="47"/>
  <c r="AF6" i="47"/>
  <c r="AD6" i="47"/>
  <c r="AB6" i="47"/>
  <c r="Z6" i="47"/>
  <c r="X6" i="47"/>
  <c r="W6" i="47"/>
  <c r="V6" i="47"/>
  <c r="T6" i="47"/>
  <c r="AB8" i="47" l="1"/>
  <c r="AL8" i="47"/>
  <c r="AM8" i="47"/>
  <c r="V8" i="47"/>
  <c r="AH8" i="47"/>
  <c r="AP8" i="47"/>
  <c r="AD8" i="47"/>
  <c r="Z8" i="47"/>
  <c r="AO69" i="47"/>
  <c r="AO80" i="47" s="1"/>
  <c r="AE84" i="47"/>
  <c r="AM84" i="47"/>
  <c r="AC82" i="47"/>
  <c r="AK82" i="47"/>
  <c r="T8" i="47"/>
  <c r="AG8" i="47"/>
  <c r="AO8" i="47"/>
  <c r="AQ8" i="47"/>
  <c r="AD84" i="47"/>
  <c r="AL84" i="47"/>
  <c r="AF84" i="47"/>
  <c r="AN84" i="47"/>
  <c r="AA69" i="47"/>
  <c r="AA80" i="47" s="1"/>
  <c r="AI69" i="47"/>
  <c r="AI80" i="47" s="1"/>
  <c r="AG84" i="47"/>
  <c r="AO84" i="47"/>
  <c r="AG80" i="47"/>
  <c r="AK8" i="47"/>
  <c r="AH84" i="47"/>
  <c r="AP84" i="47"/>
  <c r="AA84" i="47"/>
  <c r="AI84" i="47"/>
  <c r="Z84" i="47"/>
  <c r="Z80" i="47"/>
  <c r="AJ80" i="47"/>
  <c r="AK80" i="47"/>
  <c r="AE80" i="47"/>
  <c r="AH80" i="47"/>
  <c r="AB80" i="47"/>
  <c r="AC80" i="47"/>
  <c r="AD80" i="47"/>
  <c r="AF80" i="47"/>
  <c r="AP80" i="47"/>
  <c r="AD82" i="47"/>
  <c r="AL82" i="47"/>
  <c r="AB84" i="47"/>
  <c r="AJ84" i="47"/>
  <c r="AE82" i="47"/>
  <c r="AM82" i="47"/>
  <c r="AC84" i="47"/>
  <c r="AK84" i="47"/>
  <c r="AF82" i="47"/>
  <c r="AN82" i="47"/>
  <c r="AG82" i="47"/>
  <c r="AO82" i="47"/>
  <c r="Z82" i="47"/>
  <c r="AH82" i="47"/>
  <c r="AP82" i="47"/>
  <c r="AA82" i="47"/>
  <c r="AI82" i="47"/>
  <c r="W8" i="47"/>
  <c r="AJ8" i="47"/>
  <c r="AI8" i="47"/>
  <c r="X8" i="47"/>
  <c r="AF8" i="47"/>
  <c r="AN8" i="47"/>
  <c r="AP12" i="46" l="1"/>
  <c r="AP6" i="46"/>
  <c r="AP7" i="46"/>
  <c r="AP8" i="46"/>
  <c r="AP10" i="46"/>
  <c r="AP84" i="46"/>
  <c r="AH84" i="46"/>
  <c r="AL69" i="46"/>
  <c r="AD69" i="46"/>
  <c r="AD80" i="46" s="1"/>
  <c r="AJ69" i="46"/>
  <c r="AJ80" i="46" s="1"/>
  <c r="AH69" i="46"/>
  <c r="AE69" i="46"/>
  <c r="AP69" i="46"/>
  <c r="AN69" i="46"/>
  <c r="AQ82" i="46"/>
  <c r="AO84" i="46"/>
  <c r="AI82" i="46"/>
  <c r="AG84" i="46"/>
  <c r="AO12" i="46"/>
  <c r="AN12" i="46"/>
  <c r="AM12" i="46"/>
  <c r="AL12" i="46"/>
  <c r="AK12" i="46"/>
  <c r="AJ12" i="46"/>
  <c r="AI12" i="46"/>
  <c r="AH12" i="46"/>
  <c r="AG12" i="46"/>
  <c r="AF12" i="46"/>
  <c r="AD12" i="46"/>
  <c r="AB12" i="46"/>
  <c r="Z12" i="46"/>
  <c r="X12" i="46"/>
  <c r="AO10" i="46"/>
  <c r="AN10" i="46"/>
  <c r="AM10" i="46"/>
  <c r="AL10" i="46"/>
  <c r="AK10" i="46"/>
  <c r="AJ10" i="46"/>
  <c r="AI10" i="46"/>
  <c r="AH10" i="46"/>
  <c r="AG10" i="46"/>
  <c r="AF10" i="46"/>
  <c r="AD10" i="46"/>
  <c r="AB10" i="46"/>
  <c r="Z10" i="46"/>
  <c r="X10" i="46"/>
  <c r="V10" i="46"/>
  <c r="U10" i="46"/>
  <c r="T10" i="46"/>
  <c r="S10" i="46"/>
  <c r="R10" i="46"/>
  <c r="Q10" i="46"/>
  <c r="P10" i="46"/>
  <c r="AO7" i="46"/>
  <c r="AN7" i="46"/>
  <c r="AM7" i="46"/>
  <c r="AL7" i="46"/>
  <c r="AK7" i="46"/>
  <c r="AJ7" i="46"/>
  <c r="AI7" i="46"/>
  <c r="AH7" i="46"/>
  <c r="AH8" i="46" s="1"/>
  <c r="AG7" i="46"/>
  <c r="AF7" i="46"/>
  <c r="AD7" i="46"/>
  <c r="AB7" i="46"/>
  <c r="Z7" i="46"/>
  <c r="X7" i="46"/>
  <c r="V7" i="46"/>
  <c r="U7" i="46"/>
  <c r="U8" i="46" s="1"/>
  <c r="T7" i="46"/>
  <c r="S7" i="46"/>
  <c r="R7" i="46"/>
  <c r="Q7" i="46"/>
  <c r="P7" i="46"/>
  <c r="AO6" i="46"/>
  <c r="AN6" i="46"/>
  <c r="AM6" i="46"/>
  <c r="AL6" i="46"/>
  <c r="AK6" i="46"/>
  <c r="AJ6" i="46"/>
  <c r="AI6" i="46"/>
  <c r="AH6" i="46"/>
  <c r="AG6" i="46"/>
  <c r="AF6" i="46"/>
  <c r="AD6" i="46"/>
  <c r="AB6" i="46"/>
  <c r="Z6" i="46"/>
  <c r="X6" i="46"/>
  <c r="V6" i="46"/>
  <c r="U6" i="46"/>
  <c r="T6" i="46"/>
  <c r="S6" i="46"/>
  <c r="R6" i="46"/>
  <c r="Q6" i="46"/>
  <c r="Q8" i="46" s="1"/>
  <c r="P6" i="46"/>
  <c r="AN8" i="46" l="1"/>
  <c r="AF8" i="46"/>
  <c r="AB8" i="46"/>
  <c r="AL8" i="46"/>
  <c r="S8" i="46"/>
  <c r="R8" i="46"/>
  <c r="AD8" i="46"/>
  <c r="AM8" i="46"/>
  <c r="AK69" i="46"/>
  <c r="AK80" i="46" s="1"/>
  <c r="AM69" i="46"/>
  <c r="AM80" i="46" s="1"/>
  <c r="AK82" i="46"/>
  <c r="AF69" i="46"/>
  <c r="AF80" i="46" s="1"/>
  <c r="AI84" i="46"/>
  <c r="AQ84" i="46"/>
  <c r="T8" i="46"/>
  <c r="AG8" i="46"/>
  <c r="AO8" i="46"/>
  <c r="AK84" i="46"/>
  <c r="V8" i="46"/>
  <c r="AD82" i="46"/>
  <c r="AL82" i="46"/>
  <c r="AG69" i="46"/>
  <c r="AO69" i="46"/>
  <c r="AI69" i="46"/>
  <c r="AI80" i="46" s="1"/>
  <c r="AQ69" i="46"/>
  <c r="AQ80" i="46" s="1"/>
  <c r="AM82" i="46"/>
  <c r="AI8" i="46"/>
  <c r="X8" i="46"/>
  <c r="AJ8" i="46"/>
  <c r="P8" i="46"/>
  <c r="Z8" i="46"/>
  <c r="AK8" i="46"/>
  <c r="AH80" i="46"/>
  <c r="AE82" i="46"/>
  <c r="AL80" i="46"/>
  <c r="AF82" i="46"/>
  <c r="AN82" i="46"/>
  <c r="AN80" i="46"/>
  <c r="AE80" i="46"/>
  <c r="AP80" i="46"/>
  <c r="AJ82" i="46"/>
  <c r="AH82" i="46"/>
  <c r="AP82" i="46"/>
  <c r="AJ84" i="46"/>
  <c r="AD84" i="46"/>
  <c r="AL84" i="46"/>
  <c r="AE84" i="46"/>
  <c r="AM84" i="46"/>
  <c r="AF84" i="46"/>
  <c r="AN84" i="46"/>
  <c r="AG82" i="46"/>
  <c r="AO82" i="46"/>
  <c r="AG80" i="46" l="1"/>
  <c r="AO80" i="46"/>
  <c r="AQ69" i="45" l="1"/>
  <c r="AK69" i="45"/>
  <c r="AJ69" i="45"/>
  <c r="AO69" i="45"/>
  <c r="AN69" i="45"/>
  <c r="AM69" i="45"/>
  <c r="AL69" i="45"/>
  <c r="AH69" i="45"/>
  <c r="AP69" i="45"/>
  <c r="AG69" i="45"/>
  <c r="AQ94" i="45"/>
  <c r="AQ6" i="45" s="1"/>
  <c r="AQ111" i="45"/>
  <c r="AQ10" i="45" s="1"/>
  <c r="AR111" i="45"/>
  <c r="AQ105" i="45"/>
  <c r="AQ7" i="45" s="1"/>
  <c r="AP12" i="45"/>
  <c r="AQ12" i="45"/>
  <c r="Z114" i="45"/>
  <c r="Z113" i="45"/>
  <c r="AP111" i="45"/>
  <c r="AP10" i="45" s="1"/>
  <c r="AO111" i="45"/>
  <c r="AO10" i="45" s="1"/>
  <c r="AN111" i="45"/>
  <c r="AM111" i="45"/>
  <c r="AL111" i="45"/>
  <c r="AK111" i="45"/>
  <c r="AJ111" i="45"/>
  <c r="AI111" i="45"/>
  <c r="AI10" i="45" s="1"/>
  <c r="AH111" i="45"/>
  <c r="AG111" i="45"/>
  <c r="AG10" i="45" s="1"/>
  <c r="AF111" i="45"/>
  <c r="AF10" i="45" s="1"/>
  <c r="AD111" i="45"/>
  <c r="AB111" i="45"/>
  <c r="AB10" i="45" s="1"/>
  <c r="X111" i="45"/>
  <c r="AR108" i="45"/>
  <c r="AR105" i="45" s="1"/>
  <c r="AQ108" i="45"/>
  <c r="AN108" i="45"/>
  <c r="AN105" i="45" s="1"/>
  <c r="AN7" i="45" s="1"/>
  <c r="AM108" i="45"/>
  <c r="AM105" i="45" s="1"/>
  <c r="AM7" i="45" s="1"/>
  <c r="AL108" i="45"/>
  <c r="AL105" i="45" s="1"/>
  <c r="AL7" i="45" s="1"/>
  <c r="AK108" i="45"/>
  <c r="AJ108" i="45"/>
  <c r="AI108" i="45"/>
  <c r="AI105" i="45" s="1"/>
  <c r="AI7" i="45" s="1"/>
  <c r="AI8" i="45" s="1"/>
  <c r="AH108" i="45"/>
  <c r="AH105" i="45" s="1"/>
  <c r="AH7" i="45" s="1"/>
  <c r="AG108" i="45"/>
  <c r="AG105" i="45" s="1"/>
  <c r="AG7" i="45" s="1"/>
  <c r="AF108" i="45"/>
  <c r="AF105" i="45" s="1"/>
  <c r="AF7" i="45" s="1"/>
  <c r="AP105" i="45"/>
  <c r="AP7" i="45" s="1"/>
  <c r="AO105" i="45"/>
  <c r="AK105" i="45"/>
  <c r="AK7" i="45" s="1"/>
  <c r="AJ105" i="45"/>
  <c r="AJ7" i="45" s="1"/>
  <c r="AD105" i="45"/>
  <c r="AD7" i="45" s="1"/>
  <c r="AB105" i="45"/>
  <c r="Z105" i="45"/>
  <c r="Z7" i="45" s="1"/>
  <c r="X105" i="45"/>
  <c r="X7" i="45" s="1"/>
  <c r="AR94" i="45"/>
  <c r="AP94" i="45"/>
  <c r="AP6" i="45" s="1"/>
  <c r="AP8" i="45" s="1"/>
  <c r="AO94" i="45"/>
  <c r="AO6" i="45" s="1"/>
  <c r="AN94" i="45"/>
  <c r="AN6" i="45" s="1"/>
  <c r="AM94" i="45"/>
  <c r="AM6" i="45" s="1"/>
  <c r="AL94" i="45"/>
  <c r="AK94" i="45"/>
  <c r="AJ94" i="45"/>
  <c r="AI94" i="45"/>
  <c r="AI6" i="45" s="1"/>
  <c r="AH94" i="45"/>
  <c r="AH6" i="45" s="1"/>
  <c r="AG94" i="45"/>
  <c r="AG6" i="45" s="1"/>
  <c r="AF94" i="45"/>
  <c r="AF6" i="45" s="1"/>
  <c r="AD94" i="45"/>
  <c r="AD6" i="45" s="1"/>
  <c r="AD8" i="45" s="1"/>
  <c r="AB94" i="45"/>
  <c r="Z94" i="45"/>
  <c r="X94" i="45"/>
  <c r="AO12" i="45"/>
  <c r="AN12" i="45"/>
  <c r="AM12" i="45"/>
  <c r="AL12" i="45"/>
  <c r="AK12" i="45"/>
  <c r="AJ12" i="45"/>
  <c r="AI12" i="45"/>
  <c r="AH12" i="45"/>
  <c r="AG12" i="45"/>
  <c r="AF12" i="45"/>
  <c r="AD12" i="45"/>
  <c r="AB12" i="45"/>
  <c r="Z12" i="45"/>
  <c r="X12" i="45"/>
  <c r="AN10" i="45"/>
  <c r="AM10" i="45"/>
  <c r="AL10" i="45"/>
  <c r="AK10" i="45"/>
  <c r="AJ10" i="45"/>
  <c r="AH10" i="45"/>
  <c r="AD10" i="45"/>
  <c r="X10" i="45"/>
  <c r="AO7" i="45"/>
  <c r="AB7" i="45"/>
  <c r="AL6" i="45"/>
  <c r="AK6" i="45"/>
  <c r="AJ6" i="45"/>
  <c r="AB6" i="45"/>
  <c r="Z6" i="45"/>
  <c r="X6" i="45"/>
  <c r="AB8" i="45" l="1"/>
  <c r="AO8" i="45"/>
  <c r="AH8" i="45"/>
  <c r="AM84" i="45"/>
  <c r="AG8" i="45"/>
  <c r="Z111" i="45"/>
  <c r="Z10" i="45" s="1"/>
  <c r="AM82" i="45"/>
  <c r="AQ8" i="45"/>
  <c r="AL8" i="45"/>
  <c r="AP80" i="45"/>
  <c r="AF8" i="45"/>
  <c r="AN8" i="45"/>
  <c r="AK80" i="45"/>
  <c r="AN84" i="45"/>
  <c r="AH80" i="45"/>
  <c r="AJ80" i="45"/>
  <c r="AO84" i="45"/>
  <c r="AI69" i="45"/>
  <c r="AI80" i="45" s="1"/>
  <c r="AH84" i="45"/>
  <c r="AP84" i="45"/>
  <c r="AI84" i="45"/>
  <c r="AQ84" i="45"/>
  <c r="AJ82" i="45"/>
  <c r="AJ84" i="45"/>
  <c r="AK82" i="45"/>
  <c r="AG84" i="45"/>
  <c r="AN80" i="45"/>
  <c r="AL80" i="45"/>
  <c r="AQ80" i="45"/>
  <c r="AO80" i="45"/>
  <c r="AL82" i="45"/>
  <c r="AM80" i="45"/>
  <c r="AG80" i="45"/>
  <c r="AN82" i="45"/>
  <c r="AK84" i="45"/>
  <c r="AG82" i="45"/>
  <c r="AO82" i="45"/>
  <c r="AL84" i="45"/>
  <c r="AH82" i="45"/>
  <c r="AP82" i="45"/>
  <c r="AI82" i="45"/>
  <c r="AQ82" i="45"/>
  <c r="AJ8" i="45"/>
  <c r="X8" i="45"/>
  <c r="AK8" i="45"/>
  <c r="Z8" i="45"/>
  <c r="AM8" i="45"/>
  <c r="AP70" i="44" l="1"/>
  <c r="AJ70" i="44"/>
  <c r="AB70" i="44"/>
  <c r="X70" i="44"/>
  <c r="AM70" i="44"/>
  <c r="AE70" i="44"/>
  <c r="Z70" i="44"/>
  <c r="AK85" i="44"/>
  <c r="AC85" i="44"/>
  <c r="AR173" i="44"/>
  <c r="AR10" i="44" s="1"/>
  <c r="AQ173" i="44"/>
  <c r="AQ10" i="44" s="1"/>
  <c r="AP173" i="44"/>
  <c r="AP10" i="44" s="1"/>
  <c r="AO173" i="44"/>
  <c r="AO10" i="44" s="1"/>
  <c r="AN173" i="44"/>
  <c r="AN10" i="44" s="1"/>
  <c r="AM173" i="44"/>
  <c r="AM10" i="44" s="1"/>
  <c r="AL173" i="44"/>
  <c r="AL10" i="44" s="1"/>
  <c r="AK173" i="44"/>
  <c r="AK10" i="44" s="1"/>
  <c r="AJ173" i="44"/>
  <c r="AI173" i="44"/>
  <c r="AI10" i="44" s="1"/>
  <c r="AH173" i="44"/>
  <c r="AH10" i="44" s="1"/>
  <c r="AG173" i="44"/>
  <c r="AG10" i="44" s="1"/>
  <c r="AF173" i="44"/>
  <c r="AF10" i="44" s="1"/>
  <c r="AD173" i="44"/>
  <c r="AD10" i="44" s="1"/>
  <c r="AB173" i="44"/>
  <c r="AB10" i="44" s="1"/>
  <c r="Z173" i="44"/>
  <c r="Z10" i="44" s="1"/>
  <c r="X173" i="44"/>
  <c r="V173" i="44"/>
  <c r="U173" i="44"/>
  <c r="T173" i="44"/>
  <c r="S173" i="44"/>
  <c r="R173" i="44"/>
  <c r="Q173" i="44"/>
  <c r="P173" i="44"/>
  <c r="O173" i="44"/>
  <c r="AR153" i="44"/>
  <c r="AR7" i="44" s="1"/>
  <c r="AQ153" i="44"/>
  <c r="AQ7" i="44" s="1"/>
  <c r="AP153" i="44"/>
  <c r="AP7" i="44" s="1"/>
  <c r="AO153" i="44"/>
  <c r="AO7" i="44" s="1"/>
  <c r="AN153" i="44"/>
  <c r="AN7" i="44" s="1"/>
  <c r="AM153" i="44"/>
  <c r="AM7" i="44" s="1"/>
  <c r="AL153" i="44"/>
  <c r="AL7" i="44" s="1"/>
  <c r="AK153" i="44"/>
  <c r="AK7" i="44" s="1"/>
  <c r="AJ153" i="44"/>
  <c r="AJ7" i="44" s="1"/>
  <c r="AI153" i="44"/>
  <c r="AI7" i="44" s="1"/>
  <c r="AH153" i="44"/>
  <c r="AH7" i="44" s="1"/>
  <c r="AG153" i="44"/>
  <c r="AG7" i="44" s="1"/>
  <c r="AF153" i="44"/>
  <c r="AF7" i="44" s="1"/>
  <c r="AD153" i="44"/>
  <c r="AD7" i="44" s="1"/>
  <c r="AB153" i="44"/>
  <c r="AB7" i="44" s="1"/>
  <c r="Z153" i="44"/>
  <c r="Z7" i="44" s="1"/>
  <c r="X153" i="44"/>
  <c r="X7" i="44" s="1"/>
  <c r="V153" i="44"/>
  <c r="V7" i="44" s="1"/>
  <c r="U153" i="44"/>
  <c r="U7" i="44" s="1"/>
  <c r="T153" i="44"/>
  <c r="T7" i="44" s="1"/>
  <c r="S153" i="44"/>
  <c r="S7" i="44" s="1"/>
  <c r="R153" i="44"/>
  <c r="R7" i="44" s="1"/>
  <c r="Q153" i="44"/>
  <c r="Q7" i="44" s="1"/>
  <c r="P153" i="44"/>
  <c r="P7" i="44" s="1"/>
  <c r="AR103" i="44"/>
  <c r="AQ103" i="44"/>
  <c r="AP103" i="44"/>
  <c r="AO103" i="44"/>
  <c r="AN103" i="44"/>
  <c r="AM103" i="44"/>
  <c r="AL103" i="44"/>
  <c r="AK103" i="44"/>
  <c r="AJ103" i="44"/>
  <c r="AI103" i="44"/>
  <c r="AH103" i="44"/>
  <c r="AG103" i="44"/>
  <c r="AF103" i="44"/>
  <c r="AD103" i="44"/>
  <c r="AB103" i="44"/>
  <c r="Z103" i="44"/>
  <c r="X103" i="44"/>
  <c r="AR94" i="44"/>
  <c r="AR12" i="44" s="1"/>
  <c r="AQ94" i="44"/>
  <c r="AQ12" i="44" s="1"/>
  <c r="AP94" i="44"/>
  <c r="AP12" i="44" s="1"/>
  <c r="AO94" i="44"/>
  <c r="AO12" i="44" s="1"/>
  <c r="AN94" i="44"/>
  <c r="AN12" i="44" s="1"/>
  <c r="AM94" i="44"/>
  <c r="AM12" i="44" s="1"/>
  <c r="AL94" i="44"/>
  <c r="AL12" i="44" s="1"/>
  <c r="AK94" i="44"/>
  <c r="AK92" i="44" s="1"/>
  <c r="AK6" i="44" s="1"/>
  <c r="AK8" i="44" s="1"/>
  <c r="AJ94" i="44"/>
  <c r="AI94" i="44"/>
  <c r="AI12" i="44" s="1"/>
  <c r="AH94" i="44"/>
  <c r="AH12" i="44" s="1"/>
  <c r="AG94" i="44"/>
  <c r="AG12" i="44" s="1"/>
  <c r="AF94" i="44"/>
  <c r="AF12" i="44" s="1"/>
  <c r="AD94" i="44"/>
  <c r="AD12" i="44" s="1"/>
  <c r="AB94" i="44"/>
  <c r="Z94" i="44"/>
  <c r="Z92" i="44" s="1"/>
  <c r="Z6" i="44" s="1"/>
  <c r="Z8" i="44" s="1"/>
  <c r="X94" i="44"/>
  <c r="V92" i="44"/>
  <c r="V6" i="44" s="1"/>
  <c r="U92" i="44"/>
  <c r="U6" i="44" s="1"/>
  <c r="T92" i="44"/>
  <c r="T6" i="44" s="1"/>
  <c r="S92" i="44"/>
  <c r="S6" i="44" s="1"/>
  <c r="R92" i="44"/>
  <c r="R6" i="44" s="1"/>
  <c r="Q92" i="44"/>
  <c r="Q6" i="44" s="1"/>
  <c r="P92" i="44"/>
  <c r="P6" i="44" s="1"/>
  <c r="AB12" i="44"/>
  <c r="X12" i="44"/>
  <c r="AJ10" i="44"/>
  <c r="X10" i="44"/>
  <c r="W10" i="44"/>
  <c r="V10" i="44"/>
  <c r="U10" i="44"/>
  <c r="T10" i="44"/>
  <c r="S10" i="44"/>
  <c r="R10" i="44"/>
  <c r="Q10" i="44"/>
  <c r="P10" i="44"/>
  <c r="W7" i="44"/>
  <c r="W6" i="44"/>
  <c r="AB85" i="44" l="1"/>
  <c r="AL70" i="44"/>
  <c r="AL81" i="44" s="1"/>
  <c r="AA70" i="44"/>
  <c r="AA81" i="44" s="1"/>
  <c r="AI70" i="44"/>
  <c r="AI81" i="44" s="1"/>
  <c r="AF70" i="44"/>
  <c r="AF81" i="44" s="1"/>
  <c r="AN70" i="44"/>
  <c r="AN81" i="44" s="1"/>
  <c r="Z85" i="44"/>
  <c r="AH85" i="44"/>
  <c r="AP85" i="44"/>
  <c r="Y70" i="44"/>
  <c r="Y81" i="44" s="1"/>
  <c r="AG70" i="44"/>
  <c r="AG81" i="44" s="1"/>
  <c r="AO70" i="44"/>
  <c r="AO81" i="44" s="1"/>
  <c r="AA85" i="44"/>
  <c r="AI85" i="44"/>
  <c r="X92" i="44"/>
  <c r="X6" i="44" s="1"/>
  <c r="X8" i="44" s="1"/>
  <c r="AJ92" i="44"/>
  <c r="AJ6" i="44" s="1"/>
  <c r="AQ92" i="44"/>
  <c r="AQ6" i="44" s="1"/>
  <c r="AQ8" i="44" s="1"/>
  <c r="AC70" i="44"/>
  <c r="AK70" i="44"/>
  <c r="AH70" i="44"/>
  <c r="AH81" i="44" s="1"/>
  <c r="AD70" i="44"/>
  <c r="AD81" i="44" s="1"/>
  <c r="AJ83" i="44"/>
  <c r="AJ85" i="44"/>
  <c r="AK83" i="44"/>
  <c r="AC83" i="44"/>
  <c r="AE81" i="44"/>
  <c r="AM81" i="44"/>
  <c r="AD83" i="44"/>
  <c r="AL83" i="44"/>
  <c r="AE83" i="44"/>
  <c r="AM83" i="44"/>
  <c r="AJ81" i="44"/>
  <c r="X85" i="44"/>
  <c r="AF83" i="44"/>
  <c r="AN85" i="44"/>
  <c r="Y85" i="44"/>
  <c r="AG85" i="44"/>
  <c r="AO85" i="44"/>
  <c r="AB83" i="44"/>
  <c r="AB81" i="44"/>
  <c r="Z81" i="44"/>
  <c r="X81" i="44"/>
  <c r="AP81" i="44"/>
  <c r="X83" i="44"/>
  <c r="Y83" i="44"/>
  <c r="AG83" i="44"/>
  <c r="AO83" i="44"/>
  <c r="Z83" i="44"/>
  <c r="AH83" i="44"/>
  <c r="AP83" i="44"/>
  <c r="AD85" i="44"/>
  <c r="AL85" i="44"/>
  <c r="AA83" i="44"/>
  <c r="AI83" i="44"/>
  <c r="AE85" i="44"/>
  <c r="AM85" i="44"/>
  <c r="AN83" i="44"/>
  <c r="AF85" i="44"/>
  <c r="Z12" i="44"/>
  <c r="AB92" i="44"/>
  <c r="AB6" i="44" s="1"/>
  <c r="AB8" i="44" s="1"/>
  <c r="AL92" i="44"/>
  <c r="AL6" i="44" s="1"/>
  <c r="AK12" i="44"/>
  <c r="W8" i="44"/>
  <c r="AO92" i="44"/>
  <c r="AO6" i="44" s="1"/>
  <c r="AO8" i="44" s="1"/>
  <c r="AR92" i="44"/>
  <c r="AR6" i="44" s="1"/>
  <c r="AR8" i="44" s="1"/>
  <c r="Q8" i="44"/>
  <c r="U8" i="44"/>
  <c r="V8" i="44"/>
  <c r="R8" i="44"/>
  <c r="AG92" i="44"/>
  <c r="AG6" i="44" s="1"/>
  <c r="AG8" i="44" s="1"/>
  <c r="AI92" i="44"/>
  <c r="AI6" i="44" s="1"/>
  <c r="AI8" i="44" s="1"/>
  <c r="P8" i="44"/>
  <c r="AJ12" i="44"/>
  <c r="S8" i="44"/>
  <c r="AD92" i="44"/>
  <c r="AD6" i="44" s="1"/>
  <c r="AD8" i="44" s="1"/>
  <c r="AM92" i="44"/>
  <c r="AM6" i="44" s="1"/>
  <c r="AM8" i="44" s="1"/>
  <c r="AL8" i="44"/>
  <c r="AJ8" i="44"/>
  <c r="T8" i="44"/>
  <c r="AF92" i="44"/>
  <c r="AF6" i="44" s="1"/>
  <c r="AF8" i="44" s="1"/>
  <c r="AN92" i="44"/>
  <c r="AN6" i="44" s="1"/>
  <c r="AN8" i="44" s="1"/>
  <c r="AH92" i="44"/>
  <c r="AH6" i="44" s="1"/>
  <c r="AH8" i="44" s="1"/>
  <c r="AP92" i="44"/>
  <c r="AP6" i="44" s="1"/>
  <c r="AP8" i="44" s="1"/>
  <c r="AL69" i="31"/>
  <c r="AE69" i="31"/>
  <c r="AD69" i="31"/>
  <c r="AA69" i="31"/>
  <c r="AQ69" i="31"/>
  <c r="AM69" i="31"/>
  <c r="AI69" i="31"/>
  <c r="AP6" i="31"/>
  <c r="AQ6" i="31"/>
  <c r="AP7" i="31"/>
  <c r="AQ7" i="31"/>
  <c r="AP10" i="31"/>
  <c r="AQ10" i="31"/>
  <c r="AP12" i="31"/>
  <c r="AQ12" i="31"/>
  <c r="Y69" i="31" l="1"/>
  <c r="AG69" i="31"/>
  <c r="AO69" i="31"/>
  <c r="AO80" i="31" s="1"/>
  <c r="AC69" i="31"/>
  <c r="AC80" i="31" s="1"/>
  <c r="AK69" i="31"/>
  <c r="AK80" i="31" s="1"/>
  <c r="AJ69" i="31"/>
  <c r="AJ80" i="31" s="1"/>
  <c r="AN84" i="31"/>
  <c r="AK81" i="44"/>
  <c r="X69" i="31"/>
  <c r="AF69" i="31"/>
  <c r="AN69" i="31"/>
  <c r="Z69" i="31"/>
  <c r="Z80" i="31" s="1"/>
  <c r="AH69" i="31"/>
  <c r="AH80" i="31" s="1"/>
  <c r="AP69" i="31"/>
  <c r="AP80" i="31" s="1"/>
  <c r="X84" i="31"/>
  <c r="AC81" i="44"/>
  <c r="AF82" i="31"/>
  <c r="AN82" i="31"/>
  <c r="Y84" i="31"/>
  <c r="AG84" i="31"/>
  <c r="AO84" i="31"/>
  <c r="Z84" i="31"/>
  <c r="AH84" i="31"/>
  <c r="AP84" i="31"/>
  <c r="AA84" i="31"/>
  <c r="AI84" i="31"/>
  <c r="AQ84" i="31"/>
  <c r="X82" i="31"/>
  <c r="AF80" i="31"/>
  <c r="AN80" i="31"/>
  <c r="AB69" i="31"/>
  <c r="AB80" i="31" s="1"/>
  <c r="AF84" i="31"/>
  <c r="AD82" i="31"/>
  <c r="AL82" i="31"/>
  <c r="AL80" i="31"/>
  <c r="AA80" i="31"/>
  <c r="AE82" i="31"/>
  <c r="AM82" i="31"/>
  <c r="AD80" i="31"/>
  <c r="AM80" i="31"/>
  <c r="AE80" i="31"/>
  <c r="AG80" i="31"/>
  <c r="AQ80" i="31"/>
  <c r="AI80" i="31"/>
  <c r="AB82" i="31"/>
  <c r="AJ82" i="31"/>
  <c r="Y80" i="31"/>
  <c r="AC82" i="31"/>
  <c r="AK82" i="31"/>
  <c r="AB84" i="31"/>
  <c r="AJ84" i="31"/>
  <c r="Y82" i="31"/>
  <c r="AG82" i="31"/>
  <c r="AO82" i="31"/>
  <c r="AC84" i="31"/>
  <c r="AK84" i="31"/>
  <c r="Z82" i="31"/>
  <c r="AH82" i="31"/>
  <c r="AP82" i="31"/>
  <c r="AD84" i="31"/>
  <c r="AL84" i="31"/>
  <c r="AA82" i="31"/>
  <c r="AI82" i="31"/>
  <c r="AQ82" i="31"/>
  <c r="AE84" i="31"/>
  <c r="AM84" i="31"/>
  <c r="AF94" i="43"/>
  <c r="AF6" i="43" s="1"/>
  <c r="AK84" i="43"/>
  <c r="AQ69" i="43"/>
  <c r="AP69" i="43"/>
  <c r="AO69" i="43"/>
  <c r="Y69" i="43"/>
  <c r="AP7" i="43"/>
  <c r="AQ7" i="43"/>
  <c r="AP10" i="43"/>
  <c r="AQ10" i="43"/>
  <c r="AL110" i="43"/>
  <c r="AL109" i="43"/>
  <c r="AP13" i="43"/>
  <c r="AO13" i="43"/>
  <c r="AN13" i="43"/>
  <c r="AM13" i="43"/>
  <c r="AL99" i="43"/>
  <c r="AL13" i="43" s="1"/>
  <c r="AK94" i="43"/>
  <c r="AK6" i="43" s="1"/>
  <c r="AJ94" i="43"/>
  <c r="AJ6" i="43" s="1"/>
  <c r="AI94" i="43"/>
  <c r="AI6" i="43" s="1"/>
  <c r="AH94" i="43"/>
  <c r="AH6" i="43" s="1"/>
  <c r="AG94" i="43"/>
  <c r="AD94" i="43"/>
  <c r="AB94" i="43"/>
  <c r="AB6" i="43" s="1"/>
  <c r="Z94" i="43"/>
  <c r="Z6" i="43" s="1"/>
  <c r="AQ28" i="43"/>
  <c r="AP28" i="43"/>
  <c r="AO28" i="43"/>
  <c r="AN28" i="43"/>
  <c r="AM28" i="43"/>
  <c r="AL28" i="43"/>
  <c r="AK28" i="43"/>
  <c r="AJ28" i="43"/>
  <c r="AI28" i="43"/>
  <c r="AH28" i="43"/>
  <c r="AG28" i="43"/>
  <c r="AF28" i="43"/>
  <c r="AD28" i="43"/>
  <c r="AB28" i="43"/>
  <c r="Z28" i="43"/>
  <c r="X28" i="43"/>
  <c r="AQ23" i="43"/>
  <c r="AQ34" i="43" s="1"/>
  <c r="AP23" i="43"/>
  <c r="AO23" i="43"/>
  <c r="AN23" i="43"/>
  <c r="AN34" i="43" s="1"/>
  <c r="AM23" i="43"/>
  <c r="AM34" i="43" s="1"/>
  <c r="AL23" i="43"/>
  <c r="AK23" i="43"/>
  <c r="AK34" i="43" s="1"/>
  <c r="AJ23" i="43"/>
  <c r="AI23" i="43"/>
  <c r="AH23" i="43"/>
  <c r="AH34" i="43" s="1"/>
  <c r="AG23" i="43"/>
  <c r="AF23" i="43"/>
  <c r="AF34" i="43" s="1"/>
  <c r="AD23" i="43"/>
  <c r="AD34" i="43" s="1"/>
  <c r="AB23" i="43"/>
  <c r="Z23" i="43"/>
  <c r="Z34" i="43" s="1"/>
  <c r="X23" i="43"/>
  <c r="X34" i="43" s="1"/>
  <c r="AK13" i="43"/>
  <c r="AJ13" i="43"/>
  <c r="AI13" i="43"/>
  <c r="AH13" i="43"/>
  <c r="AG13" i="43"/>
  <c r="AF13" i="43"/>
  <c r="AD13" i="43"/>
  <c r="AB13" i="43"/>
  <c r="Z13" i="43"/>
  <c r="AL12" i="43"/>
  <c r="AK12" i="43"/>
  <c r="AJ12" i="43"/>
  <c r="AI12" i="43"/>
  <c r="AH12" i="43"/>
  <c r="AG12" i="43"/>
  <c r="AF12" i="43"/>
  <c r="AD12" i="43"/>
  <c r="AB12" i="43"/>
  <c r="Z12" i="43"/>
  <c r="AO10" i="43"/>
  <c r="AN10" i="43"/>
  <c r="AM10" i="43"/>
  <c r="AL10" i="43"/>
  <c r="AK10" i="43"/>
  <c r="AJ10" i="43"/>
  <c r="AI10" i="43"/>
  <c r="AH10" i="43"/>
  <c r="AG10" i="43"/>
  <c r="AF10" i="43"/>
  <c r="AD10" i="43"/>
  <c r="AB10" i="43"/>
  <c r="Z10" i="43"/>
  <c r="X10" i="43"/>
  <c r="AO7" i="43"/>
  <c r="AN7" i="43"/>
  <c r="AM7" i="43"/>
  <c r="AL7" i="43"/>
  <c r="AK7" i="43"/>
  <c r="AJ7" i="43"/>
  <c r="AI7" i="43"/>
  <c r="AH7" i="43"/>
  <c r="AG7" i="43"/>
  <c r="AF7" i="43"/>
  <c r="AD7" i="43"/>
  <c r="AB7" i="43"/>
  <c r="Z7" i="43"/>
  <c r="X7" i="43"/>
  <c r="AG6" i="43"/>
  <c r="AD6" i="43"/>
  <c r="X6" i="43"/>
  <c r="AQ12" i="43" l="1"/>
  <c r="AP80" i="43"/>
  <c r="AM84" i="43"/>
  <c r="AC69" i="43"/>
  <c r="AC80" i="43" s="1"/>
  <c r="AK69" i="43"/>
  <c r="AE69" i="43"/>
  <c r="AE80" i="43" s="1"/>
  <c r="AM69" i="43"/>
  <c r="AM80" i="43" s="1"/>
  <c r="AA69" i="43"/>
  <c r="AA80" i="43" s="1"/>
  <c r="AI69" i="43"/>
  <c r="AI80" i="43" s="1"/>
  <c r="X69" i="43"/>
  <c r="X80" i="43" s="1"/>
  <c r="AN69" i="43"/>
  <c r="X80" i="31"/>
  <c r="AO94" i="43"/>
  <c r="AO6" i="43" s="1"/>
  <c r="AM12" i="43"/>
  <c r="AQ13" i="43"/>
  <c r="AO12" i="43"/>
  <c r="AN12" i="43"/>
  <c r="AP12" i="43"/>
  <c r="AE84" i="43"/>
  <c r="AQ94" i="43"/>
  <c r="AQ6" i="43" s="1"/>
  <c r="AB69" i="43"/>
  <c r="AB80" i="43" s="1"/>
  <c r="AJ69" i="43"/>
  <c r="AJ80" i="43" s="1"/>
  <c r="AF69" i="43"/>
  <c r="AF80" i="43" s="1"/>
  <c r="AF84" i="43"/>
  <c r="AN84" i="43"/>
  <c r="AG69" i="43"/>
  <c r="AG80" i="43" s="1"/>
  <c r="Y84" i="43"/>
  <c r="AG84" i="43"/>
  <c r="AO84" i="43"/>
  <c r="AO34" i="43"/>
  <c r="AI34" i="43"/>
  <c r="AP34" i="43"/>
  <c r="AP94" i="43"/>
  <c r="AP6" i="43" s="1"/>
  <c r="AD69" i="43"/>
  <c r="AD80" i="43" s="1"/>
  <c r="AL69" i="43"/>
  <c r="AL80" i="43" s="1"/>
  <c r="AH69" i="43"/>
  <c r="AH80" i="43" s="1"/>
  <c r="AK80" i="43"/>
  <c r="Z84" i="43"/>
  <c r="AH84" i="43"/>
  <c r="AP84" i="43"/>
  <c r="AA84" i="43"/>
  <c r="AI84" i="43"/>
  <c r="AQ84" i="43"/>
  <c r="AB82" i="43"/>
  <c r="AJ82" i="43"/>
  <c r="AB84" i="43"/>
  <c r="AC82" i="43"/>
  <c r="AK82" i="43"/>
  <c r="AC84" i="43"/>
  <c r="Z69" i="43"/>
  <c r="Z80" i="43" s="1"/>
  <c r="AE82" i="43"/>
  <c r="AM82" i="43"/>
  <c r="AJ84" i="43"/>
  <c r="X84" i="43"/>
  <c r="AQ80" i="43"/>
  <c r="AD82" i="43"/>
  <c r="AL82" i="43"/>
  <c r="Y80" i="43"/>
  <c r="AN80" i="43"/>
  <c r="AO80" i="43"/>
  <c r="AN82" i="43"/>
  <c r="Y82" i="43"/>
  <c r="AG82" i="43"/>
  <c r="AO82" i="43"/>
  <c r="Z82" i="43"/>
  <c r="AH82" i="43"/>
  <c r="AP82" i="43"/>
  <c r="AD84" i="43"/>
  <c r="AL84" i="43"/>
  <c r="AF82" i="43"/>
  <c r="AA82" i="43"/>
  <c r="AI82" i="43"/>
  <c r="AQ82" i="43"/>
  <c r="X82" i="43"/>
  <c r="AB34" i="43"/>
  <c r="AL34" i="43"/>
  <c r="AG34" i="43"/>
  <c r="AJ34" i="43"/>
  <c r="AL94" i="43"/>
  <c r="AL6" i="43" s="1"/>
  <c r="AM94" i="43"/>
  <c r="AM6" i="43" s="1"/>
  <c r="AN94" i="43"/>
  <c r="AN6" i="43" s="1"/>
  <c r="AP135" i="20"/>
  <c r="AO135" i="20"/>
  <c r="AP121" i="20"/>
  <c r="AO121" i="20"/>
  <c r="AN121" i="20"/>
  <c r="AM121" i="20"/>
  <c r="AP12" i="20"/>
  <c r="AO12" i="20"/>
  <c r="AN94" i="20"/>
  <c r="AN6" i="20" s="1"/>
  <c r="AM94" i="20"/>
  <c r="AM6" i="20" s="1"/>
  <c r="AN69" i="20"/>
  <c r="AI69" i="20"/>
  <c r="AI80" i="20" s="1"/>
  <c r="AF69" i="20"/>
  <c r="AM69" i="20"/>
  <c r="AK69" i="20"/>
  <c r="AJ69" i="20"/>
  <c r="AC69" i="20"/>
  <c r="AB69" i="20"/>
  <c r="Z69" i="20"/>
  <c r="Y69" i="20"/>
  <c r="AO69" i="20"/>
  <c r="X69" i="20"/>
  <c r="AN10" i="20"/>
  <c r="AM10" i="20"/>
  <c r="AL10" i="20"/>
  <c r="AK10" i="20"/>
  <c r="AJ10" i="20"/>
  <c r="AI10" i="20"/>
  <c r="AH10" i="20"/>
  <c r="AG10" i="20"/>
  <c r="AF10" i="20"/>
  <c r="AD10" i="20"/>
  <c r="AB10" i="20"/>
  <c r="Z10" i="20"/>
  <c r="X10" i="20"/>
  <c r="AN7" i="20"/>
  <c r="AM7" i="20"/>
  <c r="AL7" i="20"/>
  <c r="AK7" i="20"/>
  <c r="AJ7" i="20"/>
  <c r="AI7" i="20"/>
  <c r="AH7" i="20"/>
  <c r="AG7" i="20"/>
  <c r="AF7" i="20"/>
  <c r="AE7" i="20"/>
  <c r="AD7" i="20"/>
  <c r="AC7" i="20"/>
  <c r="AB7" i="20"/>
  <c r="AA7" i="20"/>
  <c r="Z7" i="20"/>
  <c r="Y7" i="20"/>
  <c r="X7" i="20"/>
  <c r="AL6" i="20"/>
  <c r="AK6" i="20"/>
  <c r="AJ6" i="20"/>
  <c r="AJ8" i="20" s="1"/>
  <c r="AI6" i="20"/>
  <c r="AH6" i="20"/>
  <c r="AG6" i="20"/>
  <c r="AF6" i="20"/>
  <c r="AF8" i="20" s="1"/>
  <c r="AD6" i="20"/>
  <c r="AB6" i="20"/>
  <c r="Z6" i="20"/>
  <c r="X6" i="20"/>
  <c r="X8" i="20" l="1"/>
  <c r="AG8" i="20"/>
  <c r="AI8" i="20"/>
  <c r="AP10" i="20"/>
  <c r="AH8" i="20"/>
  <c r="AL8" i="20"/>
  <c r="AD8" i="20"/>
  <c r="AO10" i="20"/>
  <c r="AO94" i="20"/>
  <c r="AO6" i="20" s="1"/>
  <c r="AO120" i="20"/>
  <c r="AO7" i="20" s="1"/>
  <c r="AO8" i="20" s="1"/>
  <c r="AJ84" i="20"/>
  <c r="AH69" i="20"/>
  <c r="AH80" i="20" s="1"/>
  <c r="AP69" i="20"/>
  <c r="Z8" i="20"/>
  <c r="AK8" i="20"/>
  <c r="AO34" i="20"/>
  <c r="AP94" i="20"/>
  <c r="AP6" i="20" s="1"/>
  <c r="AB8" i="20"/>
  <c r="AP34" i="20"/>
  <c r="AM8" i="20"/>
  <c r="AL84" i="20"/>
  <c r="AN8" i="20"/>
  <c r="AA69" i="20"/>
  <c r="AA80" i="20" s="1"/>
  <c r="AQ69" i="20"/>
  <c r="AQ80" i="20" s="1"/>
  <c r="AE69" i="20"/>
  <c r="AE80" i="20" s="1"/>
  <c r="AP120" i="20"/>
  <c r="AP7" i="20" s="1"/>
  <c r="AB80" i="20"/>
  <c r="AJ80" i="20"/>
  <c r="AK84" i="20"/>
  <c r="AC80" i="20"/>
  <c r="AK80" i="20"/>
  <c r="AG69" i="20"/>
  <c r="AG80" i="20" s="1"/>
  <c r="Y84" i="20"/>
  <c r="AD69" i="20"/>
  <c r="AD80" i="20" s="1"/>
  <c r="AL69" i="20"/>
  <c r="AL80" i="20" s="1"/>
  <c r="AH84" i="20"/>
  <c r="AP84" i="20"/>
  <c r="AD82" i="20"/>
  <c r="AD84" i="20"/>
  <c r="AA84" i="20"/>
  <c r="AI84" i="20"/>
  <c r="AQ84" i="20"/>
  <c r="AL82" i="20"/>
  <c r="AB82" i="20"/>
  <c r="AJ82" i="20"/>
  <c r="AB84" i="20"/>
  <c r="AC82" i="20"/>
  <c r="AK82" i="20"/>
  <c r="AC84" i="20"/>
  <c r="AN80" i="20"/>
  <c r="X82" i="20"/>
  <c r="AF82" i="20"/>
  <c r="AN82" i="20"/>
  <c r="Y80" i="20"/>
  <c r="Z80" i="20"/>
  <c r="AO80" i="20"/>
  <c r="AG82" i="20"/>
  <c r="AO82" i="20"/>
  <c r="X80" i="20"/>
  <c r="AM80" i="20"/>
  <c r="AE82" i="20"/>
  <c r="AM82" i="20"/>
  <c r="AP80" i="20"/>
  <c r="Z82" i="20"/>
  <c r="AF80" i="20"/>
  <c r="AP82" i="20"/>
  <c r="AA82" i="20"/>
  <c r="AI82" i="20"/>
  <c r="AQ82" i="20"/>
  <c r="AE84" i="20"/>
  <c r="AM84" i="20"/>
  <c r="Y82" i="20"/>
  <c r="AH82" i="20"/>
  <c r="X84" i="20"/>
  <c r="AF84" i="20"/>
  <c r="AN84" i="20"/>
  <c r="AG84" i="20"/>
  <c r="AO84" i="20"/>
  <c r="Z84" i="20"/>
  <c r="AX137" i="30"/>
  <c r="AW137" i="30"/>
  <c r="AV137" i="30"/>
  <c r="AU137" i="30"/>
  <c r="AT137" i="30"/>
  <c r="AY131" i="30"/>
  <c r="AX131" i="30"/>
  <c r="AW131" i="30"/>
  <c r="AV131" i="30"/>
  <c r="AU131" i="30"/>
  <c r="AT131" i="30"/>
  <c r="Z122" i="30"/>
  <c r="X122" i="30"/>
  <c r="Z121" i="30"/>
  <c r="X121" i="30"/>
  <c r="AQ112" i="30"/>
  <c r="AQ7" i="30" s="1"/>
  <c r="AP112" i="30"/>
  <c r="AU102" i="30"/>
  <c r="AS102" i="30"/>
  <c r="AB12" i="30" s="1"/>
  <c r="AN84" i="30"/>
  <c r="X84" i="30"/>
  <c r="AM69" i="30"/>
  <c r="AK69" i="30"/>
  <c r="AE69" i="30"/>
  <c r="AD69" i="30"/>
  <c r="AC69" i="30"/>
  <c r="AQ69" i="30"/>
  <c r="AI69" i="30"/>
  <c r="AA69" i="30"/>
  <c r="AM84" i="30"/>
  <c r="AE84" i="30"/>
  <c r="AQ12" i="30"/>
  <c r="AP12" i="30"/>
  <c r="AO12" i="30"/>
  <c r="AN12" i="30"/>
  <c r="AM12" i="30"/>
  <c r="AL12" i="30"/>
  <c r="AK12" i="30"/>
  <c r="AJ12" i="30"/>
  <c r="AI12" i="30"/>
  <c r="AH12" i="30"/>
  <c r="AG12" i="30"/>
  <c r="AF12" i="30"/>
  <c r="AE12" i="30"/>
  <c r="AD12" i="30"/>
  <c r="AC12" i="30"/>
  <c r="Z12" i="30"/>
  <c r="X12" i="30"/>
  <c r="AQ10" i="30"/>
  <c r="AP10" i="30"/>
  <c r="AO10" i="30"/>
  <c r="AN10" i="30"/>
  <c r="AM10" i="30"/>
  <c r="AL10" i="30"/>
  <c r="AK10" i="30"/>
  <c r="AJ10" i="30"/>
  <c r="AI10" i="30"/>
  <c r="AH10" i="30"/>
  <c r="AG10" i="30"/>
  <c r="AF10" i="30"/>
  <c r="AD10" i="30"/>
  <c r="AB10" i="30"/>
  <c r="Z10" i="30"/>
  <c r="X10" i="30"/>
  <c r="AP7" i="30"/>
  <c r="AO7" i="30"/>
  <c r="AN7" i="30"/>
  <c r="AM7" i="30"/>
  <c r="AL7" i="30"/>
  <c r="AK7" i="30"/>
  <c r="AJ7" i="30"/>
  <c r="AI7" i="30"/>
  <c r="AH7" i="30"/>
  <c r="AG7" i="30"/>
  <c r="AF7" i="30"/>
  <c r="AD7" i="30"/>
  <c r="AB7" i="30"/>
  <c r="Z7" i="30"/>
  <c r="X7" i="30"/>
  <c r="AQ6" i="30"/>
  <c r="AP6" i="30"/>
  <c r="AP8" i="30" s="1"/>
  <c r="AO6" i="30"/>
  <c r="AO8" i="30" s="1"/>
  <c r="AN6" i="30"/>
  <c r="AN8" i="30" s="1"/>
  <c r="AM6" i="30"/>
  <c r="AM8" i="30" s="1"/>
  <c r="AL6" i="30"/>
  <c r="AL8" i="30" s="1"/>
  <c r="AK6" i="30"/>
  <c r="AK8" i="30" s="1"/>
  <c r="AJ6" i="30"/>
  <c r="AI6" i="30"/>
  <c r="AI8" i="30" s="1"/>
  <c r="AH6" i="30"/>
  <c r="AH8" i="30" s="1"/>
  <c r="AG6" i="30"/>
  <c r="AG8" i="30" s="1"/>
  <c r="AF6" i="30"/>
  <c r="AF8" i="30" s="1"/>
  <c r="AE6" i="30"/>
  <c r="AD6" i="30"/>
  <c r="AC6" i="30"/>
  <c r="AB6" i="30"/>
  <c r="AB8" i="30" s="1"/>
  <c r="AA6" i="30"/>
  <c r="Z6" i="30"/>
  <c r="X6" i="30"/>
  <c r="AJ8" i="30" l="1"/>
  <c r="AP8" i="20"/>
  <c r="X69" i="30"/>
  <c r="X80" i="30" s="1"/>
  <c r="AF69" i="30"/>
  <c r="AF80" i="30" s="1"/>
  <c r="AN69" i="30"/>
  <c r="X8" i="30"/>
  <c r="AQ8" i="30"/>
  <c r="AF84" i="30"/>
  <c r="AG84" i="30"/>
  <c r="AO84" i="30"/>
  <c r="AB69" i="30"/>
  <c r="AB80" i="30" s="1"/>
  <c r="AJ69" i="30"/>
  <c r="AJ80" i="30" s="1"/>
  <c r="AB84" i="30"/>
  <c r="AD8" i="30"/>
  <c r="Y84" i="30"/>
  <c r="Z84" i="30"/>
  <c r="AH84" i="30"/>
  <c r="AP84" i="30"/>
  <c r="Y69" i="30"/>
  <c r="AG69" i="30"/>
  <c r="AO69" i="30"/>
  <c r="Z69" i="30"/>
  <c r="AH69" i="30"/>
  <c r="AP69" i="30"/>
  <c r="AL69" i="30"/>
  <c r="AL80" i="30" s="1"/>
  <c r="AD84" i="30"/>
  <c r="AL84" i="30"/>
  <c r="Z8" i="30"/>
  <c r="AC84" i="30"/>
  <c r="AK84" i="30"/>
  <c r="AN80" i="30"/>
  <c r="AH82" i="30"/>
  <c r="AE82" i="30"/>
  <c r="AM82" i="30"/>
  <c r="X82" i="30"/>
  <c r="AF82" i="30"/>
  <c r="AN82" i="30"/>
  <c r="Z82" i="30"/>
  <c r="AA84" i="30"/>
  <c r="AI84" i="30"/>
  <c r="AQ84" i="30"/>
  <c r="AJ82" i="30"/>
  <c r="AC80" i="30"/>
  <c r="AA80" i="30"/>
  <c r="AD80" i="30"/>
  <c r="AQ80" i="30"/>
  <c r="AI80" i="30"/>
  <c r="AK80" i="30"/>
  <c r="AA82" i="30"/>
  <c r="AI82" i="30"/>
  <c r="AQ82" i="30"/>
  <c r="AC82" i="30"/>
  <c r="AK82" i="30"/>
  <c r="AB82" i="30"/>
  <c r="AD82" i="30"/>
  <c r="AL82" i="30"/>
  <c r="AJ84" i="30"/>
  <c r="AQ105" i="10"/>
  <c r="AP105" i="10"/>
  <c r="AO105" i="10"/>
  <c r="AO10" i="10" s="1"/>
  <c r="AN105" i="10"/>
  <c r="AN10" i="10" s="1"/>
  <c r="AM105" i="10"/>
  <c r="AM10" i="10" s="1"/>
  <c r="AL105" i="10"/>
  <c r="AL10" i="10" s="1"/>
  <c r="AK105" i="10"/>
  <c r="AK10" i="10" s="1"/>
  <c r="AJ105" i="10"/>
  <c r="AJ10" i="10" s="1"/>
  <c r="AI105" i="10"/>
  <c r="AH105" i="10"/>
  <c r="AG105" i="10"/>
  <c r="AF105" i="10"/>
  <c r="AF10" i="10" s="1"/>
  <c r="AD105" i="10"/>
  <c r="AD10" i="10" s="1"/>
  <c r="AB105" i="10"/>
  <c r="AB10" i="10" s="1"/>
  <c r="Z105" i="10"/>
  <c r="Z10" i="10" s="1"/>
  <c r="X105" i="10"/>
  <c r="X10" i="10" s="1"/>
  <c r="V101" i="10"/>
  <c r="AP69" i="10"/>
  <c r="AO69" i="10"/>
  <c r="AG69" i="10"/>
  <c r="Y69" i="10"/>
  <c r="AQ12" i="10"/>
  <c r="AP12" i="10"/>
  <c r="AO12" i="10"/>
  <c r="AN12" i="10"/>
  <c r="AM12" i="10"/>
  <c r="AL12" i="10"/>
  <c r="AK12" i="10"/>
  <c r="AJ12" i="10"/>
  <c r="AI12" i="10"/>
  <c r="AH12" i="10"/>
  <c r="AG12" i="10"/>
  <c r="AF12" i="10"/>
  <c r="AD12" i="10"/>
  <c r="AB12" i="10"/>
  <c r="Z12" i="10"/>
  <c r="X12" i="10"/>
  <c r="AQ10" i="10"/>
  <c r="AP10" i="10"/>
  <c r="AI10" i="10"/>
  <c r="AH10" i="10"/>
  <c r="AG10" i="10"/>
  <c r="AQ7" i="10"/>
  <c r="AP7" i="10"/>
  <c r="AO7" i="10"/>
  <c r="AN7" i="10"/>
  <c r="AM7" i="10"/>
  <c r="AL7" i="10"/>
  <c r="AK7" i="10"/>
  <c r="AJ7" i="10"/>
  <c r="AI7" i="10"/>
  <c r="AH7" i="10"/>
  <c r="AG7" i="10"/>
  <c r="AF7" i="10"/>
  <c r="AD7" i="10"/>
  <c r="AB7" i="10"/>
  <c r="Z7" i="10"/>
  <c r="X7" i="10"/>
  <c r="V7" i="10"/>
  <c r="V8" i="10" s="1"/>
  <c r="AQ6" i="10"/>
  <c r="AP6" i="10"/>
  <c r="AP8" i="10" s="1"/>
  <c r="AO6" i="10"/>
  <c r="AN6" i="10"/>
  <c r="AN8" i="10" s="1"/>
  <c r="AM6" i="10"/>
  <c r="AM8" i="10" s="1"/>
  <c r="AL6" i="10"/>
  <c r="AL8" i="10" s="1"/>
  <c r="AK6" i="10"/>
  <c r="AK8" i="10" s="1"/>
  <c r="AJ6" i="10"/>
  <c r="AI6" i="10"/>
  <c r="AH6" i="10"/>
  <c r="AH8" i="10" s="1"/>
  <c r="AG6" i="10"/>
  <c r="AF6" i="10"/>
  <c r="AF8" i="10" s="1"/>
  <c r="AD6" i="10"/>
  <c r="AD8" i="10" s="1"/>
  <c r="AB6" i="10"/>
  <c r="AB8" i="10" s="1"/>
  <c r="Z6" i="10"/>
  <c r="Z8" i="10" s="1"/>
  <c r="X6" i="10"/>
  <c r="AG8" i="10" l="1"/>
  <c r="AO8" i="10"/>
  <c r="AG80" i="10"/>
  <c r="AQ69" i="10"/>
  <c r="AQ80" i="10" s="1"/>
  <c r="AB69" i="10"/>
  <c r="AB80" i="10" s="1"/>
  <c r="AP80" i="30"/>
  <c r="AO80" i="30"/>
  <c r="Y80" i="30"/>
  <c r="AG80" i="30"/>
  <c r="AG82" i="30"/>
  <c r="AI8" i="10"/>
  <c r="AQ8" i="10"/>
  <c r="AE69" i="10"/>
  <c r="AE80" i="10" s="1"/>
  <c r="AM69" i="10"/>
  <c r="AM80" i="10" s="1"/>
  <c r="AA69" i="10"/>
  <c r="AA80" i="10" s="1"/>
  <c r="AI69" i="10"/>
  <c r="AI80" i="10" s="1"/>
  <c r="AA84" i="10"/>
  <c r="AI84" i="10"/>
  <c r="AQ84" i="10"/>
  <c r="AM80" i="30"/>
  <c r="X8" i="10"/>
  <c r="AJ8" i="10"/>
  <c r="X69" i="10"/>
  <c r="X80" i="10" s="1"/>
  <c r="AF69" i="10"/>
  <c r="AF80" i="10" s="1"/>
  <c r="AN69" i="10"/>
  <c r="AN80" i="10" s="1"/>
  <c r="AJ69" i="10"/>
  <c r="AJ80" i="10" s="1"/>
  <c r="AE80" i="30"/>
  <c r="AH80" i="30"/>
  <c r="AO82" i="30"/>
  <c r="Z80" i="30"/>
  <c r="X84" i="10"/>
  <c r="AF84" i="10"/>
  <c r="AP82" i="30"/>
  <c r="Y82" i="30"/>
  <c r="AC69" i="10"/>
  <c r="AC80" i="10" s="1"/>
  <c r="AK69" i="10"/>
  <c r="AK80" i="10" s="1"/>
  <c r="AD69" i="10"/>
  <c r="AD80" i="10" s="1"/>
  <c r="AL69" i="10"/>
  <c r="AL80" i="10" s="1"/>
  <c r="AH69" i="10"/>
  <c r="AH80" i="10" s="1"/>
  <c r="Z84" i="10"/>
  <c r="AH84" i="10"/>
  <c r="AP84" i="10"/>
  <c r="AB84" i="10"/>
  <c r="AJ84" i="10"/>
  <c r="AC82" i="10"/>
  <c r="AK82" i="10"/>
  <c r="AC84" i="10"/>
  <c r="Z69" i="10"/>
  <c r="Z80" i="10" s="1"/>
  <c r="AK84" i="10"/>
  <c r="X82" i="10"/>
  <c r="AF82" i="10"/>
  <c r="AN82" i="10"/>
  <c r="AN84" i="10"/>
  <c r="AO80" i="10"/>
  <c r="Y84" i="10"/>
  <c r="AG84" i="10"/>
  <c r="AO84" i="10"/>
  <c r="AP80" i="10"/>
  <c r="Y80" i="10"/>
  <c r="AD82" i="10"/>
  <c r="AL82" i="10"/>
  <c r="AE82" i="10"/>
  <c r="AM82" i="10"/>
  <c r="AG82" i="10"/>
  <c r="Z82" i="10"/>
  <c r="AH82" i="10"/>
  <c r="AP82" i="10"/>
  <c r="AD84" i="10"/>
  <c r="AL84" i="10"/>
  <c r="Y82" i="10"/>
  <c r="AO82" i="10"/>
  <c r="AA82" i="10"/>
  <c r="AI82" i="10"/>
  <c r="AQ82" i="10"/>
  <c r="AE84" i="10"/>
  <c r="AM84" i="10"/>
  <c r="AJ82" i="10"/>
  <c r="AB82" i="10"/>
  <c r="AR117" i="6"/>
  <c r="AQ117" i="6"/>
  <c r="AQ10" i="6" s="1"/>
  <c r="AP117" i="6"/>
  <c r="AP10" i="6" s="1"/>
  <c r="AO117" i="6"/>
  <c r="AO10" i="6" s="1"/>
  <c r="AN117" i="6"/>
  <c r="AM117" i="6"/>
  <c r="AL117" i="6"/>
  <c r="AL10" i="6" s="1"/>
  <c r="AK117" i="6"/>
  <c r="AJ117" i="6"/>
  <c r="AI117" i="6"/>
  <c r="AI10" i="6" s="1"/>
  <c r="AH117" i="6"/>
  <c r="AH10" i="6" s="1"/>
  <c r="AG117" i="6"/>
  <c r="AG10" i="6" s="1"/>
  <c r="AF117" i="6"/>
  <c r="AE117" i="6"/>
  <c r="AD117" i="6"/>
  <c r="AD10" i="6" s="1"/>
  <c r="AC117" i="6"/>
  <c r="AB117" i="6"/>
  <c r="AA117" i="6"/>
  <c r="AA10" i="6" s="1"/>
  <c r="Z117" i="6"/>
  <c r="Z10" i="6" s="1"/>
  <c r="AR106" i="6"/>
  <c r="AR102" i="6" s="1"/>
  <c r="AR7" i="6" s="1"/>
  <c r="AQ106" i="6"/>
  <c r="AQ102" i="6" s="1"/>
  <c r="AQ7" i="6" s="1"/>
  <c r="AP106" i="6"/>
  <c r="AP102" i="6" s="1"/>
  <c r="AP7" i="6" s="1"/>
  <c r="AO106" i="6"/>
  <c r="AO102" i="6" s="1"/>
  <c r="AO7" i="6" s="1"/>
  <c r="AN106" i="6"/>
  <c r="AN102" i="6" s="1"/>
  <c r="AN7" i="6" s="1"/>
  <c r="AM106" i="6"/>
  <c r="AM102" i="6" s="1"/>
  <c r="AM7" i="6" s="1"/>
  <c r="AL106" i="6"/>
  <c r="AL102" i="6" s="1"/>
  <c r="AL7" i="6" s="1"/>
  <c r="AK106" i="6"/>
  <c r="AK102" i="6" s="1"/>
  <c r="AK7" i="6" s="1"/>
  <c r="AJ106" i="6"/>
  <c r="AJ102" i="6" s="1"/>
  <c r="AJ7" i="6" s="1"/>
  <c r="AI106" i="6"/>
  <c r="AH106" i="6"/>
  <c r="AH102" i="6" s="1"/>
  <c r="AH7" i="6" s="1"/>
  <c r="AG106" i="6"/>
  <c r="AG102" i="6" s="1"/>
  <c r="AG7" i="6" s="1"/>
  <c r="AF106" i="6"/>
  <c r="AF102" i="6" s="1"/>
  <c r="AF7" i="6" s="1"/>
  <c r="AD106" i="6"/>
  <c r="AD102" i="6" s="1"/>
  <c r="AD7" i="6" s="1"/>
  <c r="AB106" i="6"/>
  <c r="AB102" i="6" s="1"/>
  <c r="AB7" i="6" s="1"/>
  <c r="AI102" i="6"/>
  <c r="AE102" i="6"/>
  <c r="AE7" i="6" s="1"/>
  <c r="AC102" i="6"/>
  <c r="AA102" i="6"/>
  <c r="AA7" i="6" s="1"/>
  <c r="Z102" i="6"/>
  <c r="Z7" i="6" s="1"/>
  <c r="AO95" i="6"/>
  <c r="AO12" i="6" s="1"/>
  <c r="AN95" i="6"/>
  <c r="AN12" i="6" s="1"/>
  <c r="AM94" i="6"/>
  <c r="AM6" i="6" s="1"/>
  <c r="AL94" i="6"/>
  <c r="AL6" i="6" s="1"/>
  <c r="AK94" i="6"/>
  <c r="AK6" i="6" s="1"/>
  <c r="AJ94" i="6"/>
  <c r="AJ6" i="6" s="1"/>
  <c r="AI94" i="6"/>
  <c r="AH94" i="6"/>
  <c r="AG94" i="6"/>
  <c r="AF94" i="6"/>
  <c r="AF6" i="6" s="1"/>
  <c r="AE94" i="6"/>
  <c r="AE6" i="6" s="1"/>
  <c r="AD94" i="6"/>
  <c r="AD6" i="6" s="1"/>
  <c r="AC94" i="6"/>
  <c r="AC6" i="6" s="1"/>
  <c r="AB94" i="6"/>
  <c r="AB6" i="6" s="1"/>
  <c r="AA94" i="6"/>
  <c r="Z94" i="6"/>
  <c r="AQ69" i="6"/>
  <c r="AA69" i="6"/>
  <c r="AO69" i="6"/>
  <c r="AG69" i="6"/>
  <c r="AK82" i="6"/>
  <c r="AJ82" i="6"/>
  <c r="AC82" i="6"/>
  <c r="AB82" i="6"/>
  <c r="AR10" i="6"/>
  <c r="AN10" i="6"/>
  <c r="AM10" i="6"/>
  <c r="AK10" i="6"/>
  <c r="AJ10" i="6"/>
  <c r="AF10" i="6"/>
  <c r="AE10" i="6"/>
  <c r="AC10" i="6"/>
  <c r="AB10" i="6"/>
  <c r="AI7" i="6"/>
  <c r="AC7" i="6"/>
  <c r="AI6" i="6"/>
  <c r="AH6" i="6"/>
  <c r="AG6" i="6"/>
  <c r="AA6" i="6"/>
  <c r="Z6" i="6"/>
  <c r="AD8" i="6" l="1"/>
  <c r="AF8" i="6"/>
  <c r="AI8" i="6"/>
  <c r="Z8" i="6"/>
  <c r="AN94" i="6"/>
  <c r="AN6" i="6" s="1"/>
  <c r="AN8" i="6" s="1"/>
  <c r="AA8" i="6"/>
  <c r="AC8" i="6"/>
  <c r="AO94" i="6"/>
  <c r="AO6" i="6" s="1"/>
  <c r="AO8" i="6" s="1"/>
  <c r="AP94" i="6"/>
  <c r="AP6" i="6" s="1"/>
  <c r="AP95" i="6"/>
  <c r="AP12" i="6" s="1"/>
  <c r="AQ94" i="6"/>
  <c r="AQ6" i="6" s="1"/>
  <c r="AQ8" i="6" s="1"/>
  <c r="AQ95" i="6"/>
  <c r="AQ12" i="6" s="1"/>
  <c r="AR94" i="6"/>
  <c r="AR6" i="6" s="1"/>
  <c r="AR8" i="6" s="1"/>
  <c r="AR95" i="6"/>
  <c r="AR12" i="6" s="1"/>
  <c r="AB8" i="6"/>
  <c r="AJ8" i="6"/>
  <c r="AE8" i="6"/>
  <c r="AM8" i="6"/>
  <c r="AI69" i="6"/>
  <c r="AI80" i="6" s="1"/>
  <c r="AK8" i="6"/>
  <c r="AQ84" i="6"/>
  <c r="AH8" i="6"/>
  <c r="AL8" i="6"/>
  <c r="Z69" i="6"/>
  <c r="Z80" i="6" s="1"/>
  <c r="AH69" i="6"/>
  <c r="AH80" i="6" s="1"/>
  <c r="AP69" i="6"/>
  <c r="AP80" i="6" s="1"/>
  <c r="AE69" i="6"/>
  <c r="AE80" i="6" s="1"/>
  <c r="AM69" i="6"/>
  <c r="AM80" i="6" s="1"/>
  <c r="AC69" i="6"/>
  <c r="AC80" i="6" s="1"/>
  <c r="AK69" i="6"/>
  <c r="AK80" i="6" s="1"/>
  <c r="AF69" i="6"/>
  <c r="AF80" i="6" s="1"/>
  <c r="AN69" i="6"/>
  <c r="AN80" i="6" s="1"/>
  <c r="AH84" i="6"/>
  <c r="Z82" i="6"/>
  <c r="AQ80" i="6"/>
  <c r="AA82" i="6"/>
  <c r="AB84" i="6"/>
  <c r="AJ84" i="6"/>
  <c r="Z84" i="6"/>
  <c r="AQ82" i="6"/>
  <c r="AC84" i="6"/>
  <c r="AK84" i="6"/>
  <c r="AA84" i="6"/>
  <c r="AI82" i="6"/>
  <c r="AD84" i="6"/>
  <c r="AL84" i="6"/>
  <c r="AH82" i="6"/>
  <c r="AE84" i="6"/>
  <c r="AM84" i="6"/>
  <c r="AI84" i="6"/>
  <c r="AP82" i="6"/>
  <c r="AA80" i="6"/>
  <c r="AD69" i="6"/>
  <c r="AD80" i="6" s="1"/>
  <c r="AL69" i="6"/>
  <c r="AL80" i="6" s="1"/>
  <c r="AB69" i="6"/>
  <c r="AB80" i="6" s="1"/>
  <c r="AJ69" i="6"/>
  <c r="AJ80" i="6" s="1"/>
  <c r="AF84" i="6"/>
  <c r="AN84" i="6"/>
  <c r="AP84" i="6"/>
  <c r="AG82" i="6"/>
  <c r="AO82" i="6"/>
  <c r="AG8" i="6"/>
  <c r="AO80" i="6"/>
  <c r="AP8" i="6"/>
  <c r="AG80" i="6"/>
  <c r="AG84" i="6"/>
  <c r="AO84" i="6"/>
  <c r="AD82" i="6"/>
  <c r="AL82" i="6"/>
  <c r="AE82" i="6"/>
  <c r="AM82" i="6"/>
  <c r="AF82" i="6"/>
  <c r="AN82" i="6"/>
  <c r="P6" i="13"/>
  <c r="Q6" i="13"/>
  <c r="R6" i="13"/>
  <c r="S6" i="13"/>
  <c r="T6" i="13"/>
  <c r="U6" i="13"/>
  <c r="V6" i="13"/>
  <c r="X6" i="13"/>
  <c r="Z6" i="13"/>
  <c r="AB6" i="13"/>
  <c r="AD6" i="13"/>
  <c r="AF6" i="13"/>
  <c r="AG6" i="13"/>
  <c r="AH6" i="13"/>
  <c r="AI6" i="13"/>
  <c r="AJ6" i="13"/>
  <c r="AK6" i="13"/>
  <c r="AL6" i="13"/>
  <c r="AM6" i="13"/>
  <c r="AM8" i="13" s="1"/>
  <c r="AN6" i="13"/>
  <c r="AN8" i="13" s="1"/>
  <c r="AO6" i="13"/>
  <c r="AP6" i="13"/>
  <c r="P7" i="13"/>
  <c r="Q7" i="13"/>
  <c r="R7" i="13"/>
  <c r="S7" i="13"/>
  <c r="T7" i="13"/>
  <c r="U7" i="13"/>
  <c r="V7" i="13"/>
  <c r="X7" i="13"/>
  <c r="Z7" i="13"/>
  <c r="AB7" i="13"/>
  <c r="AD7" i="13"/>
  <c r="AD8" i="13" s="1"/>
  <c r="AF7" i="13"/>
  <c r="AG7" i="13"/>
  <c r="AH7" i="13"/>
  <c r="AI7" i="13"/>
  <c r="AJ7" i="13"/>
  <c r="AK7" i="13"/>
  <c r="AL7" i="13"/>
  <c r="AM7" i="13"/>
  <c r="AN7" i="13"/>
  <c r="AO7" i="13"/>
  <c r="AP7" i="13"/>
  <c r="S8" i="13"/>
  <c r="P10" i="13"/>
  <c r="Q10" i="13"/>
  <c r="R10" i="13"/>
  <c r="S10" i="13"/>
  <c r="T10" i="13"/>
  <c r="U10" i="13"/>
  <c r="V10" i="13"/>
  <c r="X10" i="13"/>
  <c r="Z10" i="13"/>
  <c r="AB10" i="13"/>
  <c r="AD10" i="13"/>
  <c r="AF10" i="13"/>
  <c r="AG10" i="13"/>
  <c r="AH10" i="13"/>
  <c r="AI10" i="13"/>
  <c r="AJ10" i="13"/>
  <c r="AK10" i="13"/>
  <c r="AL10" i="13"/>
  <c r="AM10" i="13"/>
  <c r="AN10" i="13"/>
  <c r="AO10" i="13"/>
  <c r="AP10" i="13"/>
  <c r="X12" i="13"/>
  <c r="Z12" i="13"/>
  <c r="AB12" i="13"/>
  <c r="AD12" i="13"/>
  <c r="AF12" i="13"/>
  <c r="AG12" i="13"/>
  <c r="AH12" i="13"/>
  <c r="AI12" i="13"/>
  <c r="AJ12" i="13"/>
  <c r="AK12" i="13"/>
  <c r="AL12" i="13"/>
  <c r="AM12" i="13"/>
  <c r="AN12" i="13"/>
  <c r="AO12" i="13"/>
  <c r="AP12" i="13"/>
  <c r="AG24" i="13"/>
  <c r="AI24" i="13"/>
  <c r="AK24" i="13"/>
  <c r="AM24" i="13"/>
  <c r="AO24" i="13"/>
  <c r="AQ24" i="13"/>
  <c r="AS24" i="13"/>
  <c r="AU24" i="13"/>
  <c r="AW24" i="13"/>
  <c r="AY24" i="13"/>
  <c r="AG29" i="13"/>
  <c r="AI29" i="13"/>
  <c r="AK29" i="13"/>
  <c r="AM29" i="13"/>
  <c r="AO29" i="13"/>
  <c r="AQ29" i="13"/>
  <c r="AS29" i="13"/>
  <c r="AU29" i="13"/>
  <c r="AW29" i="13"/>
  <c r="AY29" i="13"/>
  <c r="AG33" i="13"/>
  <c r="AI33" i="13"/>
  <c r="AK33" i="13"/>
  <c r="AM33" i="13"/>
  <c r="AO33" i="13"/>
  <c r="AQ33" i="13"/>
  <c r="AS33" i="13"/>
  <c r="AU33" i="13"/>
  <c r="AW33" i="13"/>
  <c r="AY33" i="13"/>
  <c r="AG38" i="13"/>
  <c r="AI38" i="13"/>
  <c r="AK38" i="13"/>
  <c r="AM38" i="13"/>
  <c r="AO38" i="13"/>
  <c r="AQ38" i="13"/>
  <c r="AS38" i="13"/>
  <c r="AU38" i="13"/>
  <c r="AW38" i="13"/>
  <c r="AY38" i="13"/>
  <c r="AG43" i="13"/>
  <c r="AI43" i="13"/>
  <c r="AK43" i="13"/>
  <c r="AM43" i="13"/>
  <c r="AO43" i="13"/>
  <c r="AQ43" i="13"/>
  <c r="AS43" i="13"/>
  <c r="AU43" i="13"/>
  <c r="AW43" i="13"/>
  <c r="AY43" i="13"/>
  <c r="AG46" i="13"/>
  <c r="AI46" i="13"/>
  <c r="AK46" i="13"/>
  <c r="AM46" i="13"/>
  <c r="AO46" i="13"/>
  <c r="AQ46" i="13"/>
  <c r="AS46" i="13"/>
  <c r="AU46" i="13"/>
  <c r="AW46" i="13"/>
  <c r="AY46" i="13"/>
  <c r="AG50" i="13"/>
  <c r="AI50" i="13"/>
  <c r="AK50" i="13"/>
  <c r="AM50" i="13"/>
  <c r="AO50" i="13"/>
  <c r="AQ50" i="13"/>
  <c r="AS50" i="13"/>
  <c r="AU50" i="13"/>
  <c r="AW50" i="13"/>
  <c r="AY50" i="13"/>
  <c r="AH82" i="13"/>
  <c r="AJ84" i="13"/>
  <c r="AF8" i="13" l="1"/>
  <c r="AK8" i="13"/>
  <c r="Z8" i="13"/>
  <c r="P8" i="13"/>
  <c r="R8" i="13"/>
  <c r="AL8" i="13"/>
  <c r="AB8" i="13"/>
  <c r="Q8" i="13"/>
  <c r="AJ8" i="13"/>
  <c r="X8" i="13"/>
  <c r="AI8" i="13"/>
  <c r="V8" i="13"/>
  <c r="AL82" i="13"/>
  <c r="AY23" i="13"/>
  <c r="AU23" i="13"/>
  <c r="AS23" i="13"/>
  <c r="AQ23" i="13"/>
  <c r="AP8" i="13"/>
  <c r="AH8" i="13"/>
  <c r="U8" i="13"/>
  <c r="AL84" i="13"/>
  <c r="AO8" i="13"/>
  <c r="AG8" i="13"/>
  <c r="T8" i="13"/>
  <c r="AO23" i="13"/>
  <c r="AW23" i="13"/>
  <c r="AO84" i="13"/>
  <c r="AG84" i="13"/>
  <c r="AM84" i="13"/>
  <c r="AP82" i="13"/>
  <c r="AP84" i="13"/>
  <c r="AK82" i="13"/>
  <c r="AH84" i="13"/>
  <c r="AJ69" i="13"/>
  <c r="AJ80" i="13" s="1"/>
  <c r="AQ82" i="13"/>
  <c r="AI84" i="13"/>
  <c r="AG82" i="13"/>
  <c r="AO82" i="13"/>
  <c r="AM82" i="13"/>
  <c r="AP69" i="13"/>
  <c r="AP80" i="13" s="1"/>
  <c r="AH69" i="13"/>
  <c r="AH80" i="13" s="1"/>
  <c r="AK69" i="13"/>
  <c r="AK80" i="13" s="1"/>
  <c r="AO69" i="13"/>
  <c r="AG69" i="13"/>
  <c r="AK84" i="13"/>
  <c r="AI82" i="13"/>
  <c r="AN69" i="13"/>
  <c r="AN80" i="13" s="1"/>
  <c r="AI69" i="13"/>
  <c r="AI80" i="13" s="1"/>
  <c r="AJ82" i="13"/>
  <c r="AM69" i="13"/>
  <c r="AQ69" i="13"/>
  <c r="AQ80" i="13" s="1"/>
  <c r="AL69" i="13"/>
  <c r="AL80" i="13" s="1"/>
  <c r="AN82" i="13"/>
  <c r="AN84" i="13"/>
  <c r="AQ84" i="13"/>
  <c r="AL192" i="22"/>
  <c r="AK192" i="22"/>
  <c r="AJ192" i="22"/>
  <c r="AI192" i="22"/>
  <c r="AH192" i="22"/>
  <c r="AG192" i="22"/>
  <c r="AF192" i="22"/>
  <c r="AE192" i="22"/>
  <c r="AC192" i="22"/>
  <c r="AB192" i="22"/>
  <c r="AA192" i="22"/>
  <c r="Z192" i="22"/>
  <c r="Y192" i="22"/>
  <c r="X192" i="22"/>
  <c r="W192" i="22"/>
  <c r="AD183" i="22"/>
  <c r="AD192" i="22" s="1"/>
  <c r="AQ181" i="22"/>
  <c r="AP181" i="22"/>
  <c r="AO181" i="22"/>
  <c r="AN181" i="22"/>
  <c r="AM181" i="22"/>
  <c r="AL179" i="22"/>
  <c r="AK179" i="22"/>
  <c r="AJ179" i="22"/>
  <c r="AI179" i="22"/>
  <c r="AH179" i="22"/>
  <c r="AG179" i="22"/>
  <c r="AF179" i="22"/>
  <c r="AE179" i="22"/>
  <c r="AD179" i="22"/>
  <c r="AC179" i="22"/>
  <c r="AB179" i="22"/>
  <c r="AA179" i="22"/>
  <c r="Z179" i="22"/>
  <c r="Y179" i="22"/>
  <c r="X179" i="22"/>
  <c r="W179" i="22"/>
  <c r="AL168" i="22"/>
  <c r="AK168" i="22"/>
  <c r="AJ168" i="22"/>
  <c r="AI168" i="22"/>
  <c r="AH168" i="22"/>
  <c r="AG168" i="22"/>
  <c r="AF168" i="22"/>
  <c r="AE168" i="22"/>
  <c r="AD168" i="22"/>
  <c r="AC168" i="22"/>
  <c r="AB168" i="22"/>
  <c r="AA168" i="22"/>
  <c r="Z168" i="22"/>
  <c r="Y168" i="22"/>
  <c r="X168" i="22"/>
  <c r="W168" i="22"/>
  <c r="AL160" i="22"/>
  <c r="AK160" i="22"/>
  <c r="AJ160" i="22"/>
  <c r="AI160" i="22"/>
  <c r="AH160" i="22"/>
  <c r="AG160" i="22"/>
  <c r="AF160" i="22"/>
  <c r="AE160" i="22"/>
  <c r="AD160" i="22"/>
  <c r="AC160" i="22"/>
  <c r="AB160" i="22"/>
  <c r="AA160" i="22"/>
  <c r="Z160" i="22"/>
  <c r="Y160" i="22"/>
  <c r="X160" i="22"/>
  <c r="W160" i="22"/>
  <c r="AL151" i="22"/>
  <c r="AK151" i="22"/>
  <c r="AJ151" i="22"/>
  <c r="AI151" i="22"/>
  <c r="AH151" i="22"/>
  <c r="AG151" i="22"/>
  <c r="AF151" i="22"/>
  <c r="AE151" i="22"/>
  <c r="AD151" i="22"/>
  <c r="AC151" i="22"/>
  <c r="AB151" i="22"/>
  <c r="AA151" i="22"/>
  <c r="Z151" i="22"/>
  <c r="Y151" i="22"/>
  <c r="X151" i="22"/>
  <c r="W151" i="22"/>
  <c r="AL143" i="22"/>
  <c r="AK143" i="22"/>
  <c r="AJ143" i="22"/>
  <c r="AI143" i="22"/>
  <c r="AH143" i="22"/>
  <c r="AG143" i="22"/>
  <c r="AF143" i="22"/>
  <c r="AF193" i="22" s="1"/>
  <c r="AE143" i="22"/>
  <c r="AD143" i="22"/>
  <c r="AC143" i="22"/>
  <c r="AB143" i="22"/>
  <c r="AA143" i="22"/>
  <c r="Z143" i="22"/>
  <c r="Y143" i="22"/>
  <c r="X143" i="22"/>
  <c r="X193" i="22" s="1"/>
  <c r="W143" i="22"/>
  <c r="AQ6" i="22"/>
  <c r="AP6" i="22"/>
  <c r="AN6" i="22"/>
  <c r="AM6" i="22"/>
  <c r="AA84" i="22"/>
  <c r="Z84" i="22"/>
  <c r="Y84" i="22"/>
  <c r="X84" i="22"/>
  <c r="AA82" i="22"/>
  <c r="Z82" i="22"/>
  <c r="Y82" i="22"/>
  <c r="X82" i="22"/>
  <c r="AA80" i="22"/>
  <c r="Z80" i="22"/>
  <c r="Y80" i="22"/>
  <c r="X80" i="22"/>
  <c r="AQ69" i="22"/>
  <c r="AP69" i="22"/>
  <c r="AO69" i="22"/>
  <c r="AN69" i="22"/>
  <c r="AM69" i="22"/>
  <c r="AL69" i="22"/>
  <c r="AK69" i="22"/>
  <c r="AJ69" i="22"/>
  <c r="AI69" i="22"/>
  <c r="AH69" i="22"/>
  <c r="AG69" i="22"/>
  <c r="AF69" i="22"/>
  <c r="AE69" i="22"/>
  <c r="AD69" i="22"/>
  <c r="AC69" i="22"/>
  <c r="AB69" i="22"/>
  <c r="AQ23" i="22"/>
  <c r="AP23" i="22"/>
  <c r="AO23" i="22"/>
  <c r="AN23" i="22"/>
  <c r="AM23" i="22"/>
  <c r="AL23" i="22"/>
  <c r="AK23" i="22"/>
  <c r="AJ23" i="22"/>
  <c r="AI23" i="22"/>
  <c r="AH23" i="22"/>
  <c r="AG23" i="22"/>
  <c r="AF23" i="22"/>
  <c r="AE23" i="22"/>
  <c r="AD23" i="22"/>
  <c r="AC23" i="22"/>
  <c r="AB23" i="22"/>
  <c r="AA23" i="22"/>
  <c r="Z23" i="22"/>
  <c r="AQ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AO6" i="22"/>
  <c r="AL6" i="22"/>
  <c r="AK6" i="22"/>
  <c r="AK8" i="22" s="1"/>
  <c r="AJ6" i="22"/>
  <c r="AI6" i="22"/>
  <c r="AH6" i="22"/>
  <c r="AG6" i="22"/>
  <c r="AF6" i="22"/>
  <c r="AE6" i="22"/>
  <c r="AD6" i="22"/>
  <c r="AC6" i="22"/>
  <c r="AB6" i="22"/>
  <c r="AA6" i="22"/>
  <c r="Z6" i="22"/>
  <c r="Y6" i="22"/>
  <c r="X6" i="22"/>
  <c r="W6" i="22"/>
  <c r="V6" i="22"/>
  <c r="U6" i="22"/>
  <c r="T6" i="22"/>
  <c r="S6" i="22"/>
  <c r="R6" i="22"/>
  <c r="T8" i="22" l="1"/>
  <c r="AB8" i="22"/>
  <c r="AJ8" i="22"/>
  <c r="AC8" i="22"/>
  <c r="AC193" i="22"/>
  <c r="AK193" i="22"/>
  <c r="AD8" i="22"/>
  <c r="AL8" i="22"/>
  <c r="S8" i="22"/>
  <c r="AA8" i="22"/>
  <c r="AI8" i="22"/>
  <c r="W193" i="22"/>
  <c r="AE193" i="22"/>
  <c r="U8" i="22"/>
  <c r="V8" i="22"/>
  <c r="W8" i="22"/>
  <c r="AE8" i="22"/>
  <c r="AQ151" i="22"/>
  <c r="AQ168" i="22"/>
  <c r="AQ160" i="22"/>
  <c r="AM168" i="22"/>
  <c r="AN143" i="22"/>
  <c r="AP160" i="22"/>
  <c r="AM143" i="22"/>
  <c r="AQ192" i="22"/>
  <c r="AP179" i="22"/>
  <c r="AM8" i="22"/>
  <c r="AP151" i="22"/>
  <c r="AP168" i="22"/>
  <c r="AN160" i="22"/>
  <c r="AO160" i="22"/>
  <c r="AQ179" i="22"/>
  <c r="AM151" i="22"/>
  <c r="AM192" i="22"/>
  <c r="AF8" i="22"/>
  <c r="Y8" i="22"/>
  <c r="R8" i="22"/>
  <c r="Z8" i="22"/>
  <c r="AH8" i="22"/>
  <c r="AP8" i="22"/>
  <c r="AC80" i="22"/>
  <c r="AK80" i="22"/>
  <c r="AD84" i="22"/>
  <c r="Y193" i="22"/>
  <c r="AG193" i="22"/>
  <c r="AN151" i="22"/>
  <c r="AN168" i="22"/>
  <c r="AD193" i="22"/>
  <c r="AL193" i="22"/>
  <c r="AN192" i="22"/>
  <c r="AG8" i="22"/>
  <c r="AO8" i="22"/>
  <c r="AQ8" i="22"/>
  <c r="AO143" i="22"/>
  <c r="Z193" i="22"/>
  <c r="AH193" i="22"/>
  <c r="AO151" i="22"/>
  <c r="AO192" i="22"/>
  <c r="X8" i="22"/>
  <c r="AP143" i="22"/>
  <c r="AA193" i="22"/>
  <c r="AI193" i="22"/>
  <c r="AM179" i="22"/>
  <c r="AQ143" i="22"/>
  <c r="AB193" i="22"/>
  <c r="AJ193" i="22"/>
  <c r="AN179" i="22"/>
  <c r="AM160" i="22"/>
  <c r="AO168" i="22"/>
  <c r="AO179" i="22"/>
  <c r="AP192" i="22"/>
  <c r="AM80" i="13"/>
  <c r="AO84" i="22"/>
  <c r="AI84" i="22"/>
  <c r="AQ84" i="22"/>
  <c r="AP84" i="22"/>
  <c r="AH84" i="22"/>
  <c r="AL84" i="22"/>
  <c r="AO80" i="13"/>
  <c r="AD80" i="22"/>
  <c r="AK84" i="22"/>
  <c r="AL80" i="22"/>
  <c r="AC82" i="22"/>
  <c r="AK82" i="22"/>
  <c r="AJ80" i="22"/>
  <c r="AD82" i="22"/>
  <c r="AL82" i="22"/>
  <c r="AF84" i="22"/>
  <c r="AN84" i="22"/>
  <c r="AC84" i="22"/>
  <c r="AG80" i="13"/>
  <c r="AE80" i="22"/>
  <c r="AB82" i="22"/>
  <c r="AJ82" i="22"/>
  <c r="AE82" i="22"/>
  <c r="AM82" i="22"/>
  <c r="AN8" i="22"/>
  <c r="AF80" i="22"/>
  <c r="AB80" i="22"/>
  <c r="AM80" i="22"/>
  <c r="AG80" i="22"/>
  <c r="AO80" i="22"/>
  <c r="AG82" i="22"/>
  <c r="AN80" i="22"/>
  <c r="AH80" i="22"/>
  <c r="AP80" i="22"/>
  <c r="AQ80" i="22"/>
  <c r="AI80" i="22"/>
  <c r="AO82" i="22"/>
  <c r="AF82" i="22"/>
  <c r="AN82" i="22"/>
  <c r="AB84" i="22"/>
  <c r="AJ84" i="22"/>
  <c r="AP82" i="22"/>
  <c r="AI82" i="22"/>
  <c r="AQ82" i="22"/>
  <c r="AE84" i="22"/>
  <c r="AM84" i="22"/>
  <c r="AG84" i="22"/>
  <c r="AH82" i="22"/>
  <c r="AQ107" i="39"/>
  <c r="AP107" i="39"/>
  <c r="AP7" i="39" s="1"/>
  <c r="AO107" i="39"/>
  <c r="AN107" i="39"/>
  <c r="AM107" i="39"/>
  <c r="AM7" i="39" s="1"/>
  <c r="AL107" i="39"/>
  <c r="AQ94" i="39"/>
  <c r="AQ6" i="39" s="1"/>
  <c r="AP94" i="39"/>
  <c r="AP6" i="39" s="1"/>
  <c r="AO94" i="39"/>
  <c r="AN94" i="39"/>
  <c r="AN6" i="39" s="1"/>
  <c r="AM94" i="39"/>
  <c r="AL94" i="39"/>
  <c r="AN69" i="39"/>
  <c r="AM69" i="39"/>
  <c r="AJ69" i="39"/>
  <c r="AF69" i="39"/>
  <c r="AE69" i="39"/>
  <c r="AB69" i="39"/>
  <c r="X69" i="39"/>
  <c r="AQ69" i="39"/>
  <c r="Y69" i="39"/>
  <c r="AM84" i="39"/>
  <c r="AK84" i="39"/>
  <c r="AE84" i="39"/>
  <c r="AC84" i="39"/>
  <c r="AQ13" i="39"/>
  <c r="AP13" i="39"/>
  <c r="AO13" i="39"/>
  <c r="AN13" i="39"/>
  <c r="AM13" i="39"/>
  <c r="AL13" i="39"/>
  <c r="AK13" i="39"/>
  <c r="AJ13" i="39"/>
  <c r="AI13" i="39"/>
  <c r="AH13" i="39"/>
  <c r="AG13" i="39"/>
  <c r="AF13" i="39"/>
  <c r="AE13" i="39"/>
  <c r="AD13" i="39"/>
  <c r="AC13" i="39"/>
  <c r="AB13" i="39"/>
  <c r="AA13" i="39"/>
  <c r="Z13" i="39"/>
  <c r="Y13" i="39"/>
  <c r="X13" i="39"/>
  <c r="AQ12" i="39"/>
  <c r="AP12" i="39"/>
  <c r="AO12" i="39"/>
  <c r="AN12" i="39"/>
  <c r="AM12" i="39"/>
  <c r="AL12" i="39"/>
  <c r="AK12" i="39"/>
  <c r="AJ12" i="39"/>
  <c r="AI12" i="39"/>
  <c r="AH12" i="39"/>
  <c r="AG12" i="39"/>
  <c r="AF12" i="39"/>
  <c r="AE12" i="39"/>
  <c r="AD12" i="39"/>
  <c r="AC12" i="39"/>
  <c r="AB12" i="39"/>
  <c r="AA12" i="39"/>
  <c r="Z12" i="39"/>
  <c r="Y12" i="39"/>
  <c r="X12" i="39"/>
  <c r="AQ10" i="39"/>
  <c r="AP10" i="39"/>
  <c r="AO10" i="39"/>
  <c r="AN10" i="39"/>
  <c r="AM10" i="39"/>
  <c r="AL10" i="39"/>
  <c r="AK10" i="39"/>
  <c r="AJ10" i="39"/>
  <c r="AI10" i="39"/>
  <c r="AH10" i="39"/>
  <c r="AG10" i="39"/>
  <c r="AF10" i="39"/>
  <c r="AE10" i="39"/>
  <c r="AD10" i="39"/>
  <c r="AC10" i="39"/>
  <c r="AB10" i="39"/>
  <c r="AA10" i="39"/>
  <c r="Z10" i="39"/>
  <c r="Y10" i="39"/>
  <c r="X10" i="39"/>
  <c r="AQ7" i="39"/>
  <c r="AO7" i="39"/>
  <c r="AN7" i="39"/>
  <c r="AL7" i="39"/>
  <c r="AK7" i="39"/>
  <c r="AJ7" i="39"/>
  <c r="AI7" i="39"/>
  <c r="AH7" i="39"/>
  <c r="AG7" i="39"/>
  <c r="AG8" i="39" s="1"/>
  <c r="AF7" i="39"/>
  <c r="AE7" i="39"/>
  <c r="AE8" i="39" s="1"/>
  <c r="AD7" i="39"/>
  <c r="AC7" i="39"/>
  <c r="AC8" i="39" s="1"/>
  <c r="AB7" i="39"/>
  <c r="AA7" i="39"/>
  <c r="AA8" i="39" s="1"/>
  <c r="Z7" i="39"/>
  <c r="Y7" i="39"/>
  <c r="Y8" i="39" s="1"/>
  <c r="X7" i="39"/>
  <c r="W7" i="39"/>
  <c r="V7" i="39"/>
  <c r="U7" i="39"/>
  <c r="T7" i="39"/>
  <c r="S7" i="39"/>
  <c r="R7" i="39"/>
  <c r="Q7" i="39"/>
  <c r="P7" i="39"/>
  <c r="AO6" i="39"/>
  <c r="AM6" i="39"/>
  <c r="AL6" i="39"/>
  <c r="AK6" i="39"/>
  <c r="AJ6" i="39"/>
  <c r="AI6" i="39"/>
  <c r="AH6" i="39"/>
  <c r="AH8" i="39" s="1"/>
  <c r="AF6" i="39"/>
  <c r="AF8" i="39" s="1"/>
  <c r="AD6" i="39"/>
  <c r="AB6" i="39"/>
  <c r="Z6" i="39"/>
  <c r="X6" i="39"/>
  <c r="W6" i="39"/>
  <c r="V6" i="39"/>
  <c r="U6" i="39"/>
  <c r="T6" i="39"/>
  <c r="S6" i="39"/>
  <c r="R6" i="39"/>
  <c r="Q6" i="39"/>
  <c r="P6" i="39"/>
  <c r="AQ8" i="39" l="1"/>
  <c r="Z8" i="39"/>
  <c r="AB8" i="39"/>
  <c r="AM8" i="39"/>
  <c r="AO8" i="39"/>
  <c r="AD8" i="39"/>
  <c r="AN193" i="22"/>
  <c r="AM193" i="22"/>
  <c r="AP193" i="22"/>
  <c r="AI8" i="39"/>
  <c r="AN8" i="39"/>
  <c r="AQ193" i="22"/>
  <c r="AO193" i="22"/>
  <c r="X84" i="39"/>
  <c r="AO69" i="39"/>
  <c r="X8" i="39"/>
  <c r="AJ8" i="39"/>
  <c r="AP8" i="39"/>
  <c r="AK8" i="39"/>
  <c r="AL8" i="39"/>
  <c r="AM82" i="39"/>
  <c r="AF84" i="39"/>
  <c r="AD69" i="39"/>
  <c r="AD80" i="39" s="1"/>
  <c r="AL69" i="39"/>
  <c r="AL80" i="39" s="1"/>
  <c r="Z69" i="39"/>
  <c r="Z80" i="39" s="1"/>
  <c r="AH69" i="39"/>
  <c r="AH80" i="39" s="1"/>
  <c r="AP69" i="39"/>
  <c r="AP80" i="39" s="1"/>
  <c r="AP84" i="39"/>
  <c r="AA69" i="39"/>
  <c r="AA80" i="39" s="1"/>
  <c r="AI69" i="39"/>
  <c r="AI80" i="39" s="1"/>
  <c r="AG69" i="39"/>
  <c r="AG80" i="39" s="1"/>
  <c r="AE82" i="39"/>
  <c r="AD82" i="39"/>
  <c r="AL82" i="39"/>
  <c r="X80" i="39"/>
  <c r="AJ84" i="39"/>
  <c r="AD84" i="39"/>
  <c r="AL84" i="39"/>
  <c r="AF80" i="39"/>
  <c r="AB84" i="39"/>
  <c r="AK82" i="39"/>
  <c r="X82" i="39"/>
  <c r="AF82" i="39"/>
  <c r="AN82" i="39"/>
  <c r="AN84" i="39"/>
  <c r="AC82" i="39"/>
  <c r="AN80" i="39"/>
  <c r="AC69" i="39"/>
  <c r="AK69" i="39"/>
  <c r="AB80" i="39"/>
  <c r="AJ80" i="39"/>
  <c r="Y82" i="39"/>
  <c r="AG82" i="39"/>
  <c r="AO82" i="39"/>
  <c r="AO80" i="39"/>
  <c r="Z82" i="39"/>
  <c r="AH82" i="39"/>
  <c r="AA82" i="39"/>
  <c r="AQ80" i="39"/>
  <c r="AI82" i="39"/>
  <c r="AQ82" i="39"/>
  <c r="Y80" i="39"/>
  <c r="AB82" i="39"/>
  <c r="AJ82" i="39"/>
  <c r="Y84" i="39"/>
  <c r="AG84" i="39"/>
  <c r="AO84" i="39"/>
  <c r="AP82" i="39"/>
  <c r="Z84" i="39"/>
  <c r="AH84" i="39"/>
  <c r="AA84" i="39"/>
  <c r="AI84" i="39"/>
  <c r="AQ84" i="39"/>
  <c r="W109" i="19"/>
  <c r="V109" i="19"/>
  <c r="V94" i="19" s="1"/>
  <c r="V6" i="19" s="1"/>
  <c r="U109" i="19"/>
  <c r="U94" i="19" s="1"/>
  <c r="U6" i="19" s="1"/>
  <c r="T109" i="19"/>
  <c r="T94" i="19" s="1"/>
  <c r="T6" i="19" s="1"/>
  <c r="S109" i="19"/>
  <c r="S94" i="19" s="1"/>
  <c r="S6" i="19" s="1"/>
  <c r="R109" i="19"/>
  <c r="R94" i="19" s="1"/>
  <c r="R6" i="19" s="1"/>
  <c r="W94" i="19"/>
  <c r="W6" i="19" s="1"/>
  <c r="AL69" i="19"/>
  <c r="AP69" i="19"/>
  <c r="AO69" i="19"/>
  <c r="AH69" i="19"/>
  <c r="AG69" i="19"/>
  <c r="AR12" i="19"/>
  <c r="AQ12" i="19"/>
  <c r="AP12" i="19"/>
  <c r="AO12" i="19"/>
  <c r="AN12" i="19"/>
  <c r="AM12" i="19"/>
  <c r="AL12" i="19"/>
  <c r="AK12" i="19"/>
  <c r="AJ12" i="19"/>
  <c r="AI12" i="19"/>
  <c r="AH12" i="19"/>
  <c r="AG12" i="19"/>
  <c r="AF12" i="19"/>
  <c r="AD12" i="19"/>
  <c r="AB12" i="19"/>
  <c r="Z12" i="19"/>
  <c r="X12" i="19"/>
  <c r="AR10" i="19"/>
  <c r="AQ10" i="19"/>
  <c r="AP10" i="19"/>
  <c r="AO10" i="19"/>
  <c r="AN10" i="19"/>
  <c r="AM10" i="19"/>
  <c r="AL10" i="19"/>
  <c r="AK10" i="19"/>
  <c r="AJ10" i="19"/>
  <c r="AI10" i="19"/>
  <c r="AH10" i="19"/>
  <c r="AG10" i="19"/>
  <c r="AF10" i="19"/>
  <c r="AD10" i="19"/>
  <c r="AB10" i="19"/>
  <c r="Z10" i="19"/>
  <c r="X10" i="19"/>
  <c r="W10" i="19"/>
  <c r="V10" i="19"/>
  <c r="U10" i="19"/>
  <c r="T10" i="19"/>
  <c r="S10" i="19"/>
  <c r="R10" i="19"/>
  <c r="AP8" i="19"/>
  <c r="AR7" i="19"/>
  <c r="AQ7" i="19"/>
  <c r="AP7" i="19"/>
  <c r="AO7" i="19"/>
  <c r="AN7" i="19"/>
  <c r="AM7" i="19"/>
  <c r="AL7" i="19"/>
  <c r="AK7" i="19"/>
  <c r="AJ7" i="19"/>
  <c r="AI7" i="19"/>
  <c r="AH7" i="19"/>
  <c r="AG7" i="19"/>
  <c r="AF7" i="19"/>
  <c r="AD7" i="19"/>
  <c r="AB7" i="19"/>
  <c r="Z7" i="19"/>
  <c r="X7" i="19"/>
  <c r="W7" i="19"/>
  <c r="V7" i="19"/>
  <c r="U7" i="19"/>
  <c r="T7" i="19"/>
  <c r="S7" i="19"/>
  <c r="R7" i="19"/>
  <c r="AR6" i="19"/>
  <c r="AQ6" i="19"/>
  <c r="AQ8" i="19" s="1"/>
  <c r="AP6" i="19"/>
  <c r="AO6" i="19"/>
  <c r="AO8" i="19" s="1"/>
  <c r="AN6" i="19"/>
  <c r="AM6" i="19"/>
  <c r="AL6" i="19"/>
  <c r="AK6" i="19"/>
  <c r="AJ6" i="19"/>
  <c r="AI6" i="19"/>
  <c r="AI8" i="19" s="1"/>
  <c r="AH6" i="19"/>
  <c r="AG6" i="19"/>
  <c r="AG8" i="19" s="1"/>
  <c r="AF6" i="19"/>
  <c r="AD6" i="19"/>
  <c r="AB6" i="19"/>
  <c r="Z6" i="19"/>
  <c r="X6" i="19"/>
  <c r="V8" i="19" l="1"/>
  <c r="X8" i="19"/>
  <c r="AJ8" i="19"/>
  <c r="W8" i="19"/>
  <c r="AB8" i="19"/>
  <c r="AL8" i="19"/>
  <c r="Z8" i="19"/>
  <c r="AH8" i="19"/>
  <c r="AK8" i="19"/>
  <c r="AR8" i="19"/>
  <c r="AM8" i="19"/>
  <c r="AF8" i="19"/>
  <c r="AN8" i="19"/>
  <c r="AL82" i="19"/>
  <c r="R8" i="19"/>
  <c r="AE80" i="39"/>
  <c r="AM80" i="39"/>
  <c r="AM69" i="19"/>
  <c r="AM80" i="19" s="1"/>
  <c r="S8" i="19"/>
  <c r="AD8" i="19"/>
  <c r="T8" i="19"/>
  <c r="AK84" i="19"/>
  <c r="U8" i="19"/>
  <c r="AK69" i="19"/>
  <c r="AK80" i="19" s="1"/>
  <c r="AI84" i="19"/>
  <c r="AF69" i="19"/>
  <c r="AF80" i="19" s="1"/>
  <c r="AN69" i="19"/>
  <c r="AN80" i="19" s="1"/>
  <c r="AJ69" i="19"/>
  <c r="AJ80" i="19" s="1"/>
  <c r="AJ84" i="19"/>
  <c r="AG80" i="19"/>
  <c r="AG84" i="19"/>
  <c r="AP80" i="19"/>
  <c r="AH84" i="19"/>
  <c r="AI69" i="19"/>
  <c r="AI80" i="19" s="1"/>
  <c r="AQ69" i="19"/>
  <c r="AQ80" i="19" s="1"/>
  <c r="AM84" i="19"/>
  <c r="AF84" i="19"/>
  <c r="AO80" i="19"/>
  <c r="AH80" i="19"/>
  <c r="AF82" i="19"/>
  <c r="AN82" i="19"/>
  <c r="AN84" i="19"/>
  <c r="AG82" i="19"/>
  <c r="AO82" i="19"/>
  <c r="AO84" i="19"/>
  <c r="AH82" i="19"/>
  <c r="AP82" i="19"/>
  <c r="AP84" i="19"/>
  <c r="AK80" i="39"/>
  <c r="AI82" i="19"/>
  <c r="AQ82" i="19"/>
  <c r="AQ84" i="19"/>
  <c r="AC80" i="39"/>
  <c r="AL80" i="19"/>
  <c r="AK82" i="19"/>
  <c r="AL84" i="19"/>
  <c r="AJ82" i="19"/>
  <c r="AM82" i="19"/>
  <c r="AR154" i="5" l="1"/>
  <c r="AQ154" i="5"/>
  <c r="AP154" i="5"/>
  <c r="AO154" i="5"/>
  <c r="AO10" i="5" s="1"/>
  <c r="AN154" i="5"/>
  <c r="AN10" i="5" s="1"/>
  <c r="AM154" i="5"/>
  <c r="AM10" i="5" s="1"/>
  <c r="AL154" i="5"/>
  <c r="AL10" i="5" s="1"/>
  <c r="AO69" i="5"/>
  <c r="AM69" i="5"/>
  <c r="AH69" i="5"/>
  <c r="AG69" i="5"/>
  <c r="AR13" i="5"/>
  <c r="AQ13" i="5"/>
  <c r="AP13" i="5"/>
  <c r="AO13" i="5"/>
  <c r="AN13" i="5"/>
  <c r="AM13" i="5"/>
  <c r="AL13" i="5"/>
  <c r="AK13" i="5"/>
  <c r="AJ13" i="5"/>
  <c r="AI13" i="5"/>
  <c r="AH13" i="5"/>
  <c r="AG13" i="5"/>
  <c r="AF13" i="5"/>
  <c r="AD13" i="5"/>
  <c r="AB13" i="5"/>
  <c r="Z13" i="5"/>
  <c r="X13" i="5"/>
  <c r="AR12" i="5"/>
  <c r="AQ12" i="5"/>
  <c r="AP12" i="5"/>
  <c r="AO12" i="5"/>
  <c r="AN12" i="5"/>
  <c r="AM12" i="5"/>
  <c r="AL12" i="5"/>
  <c r="AK12" i="5"/>
  <c r="AJ12" i="5"/>
  <c r="AI12" i="5"/>
  <c r="AH12" i="5"/>
  <c r="AG12" i="5"/>
  <c r="AF12" i="5"/>
  <c r="AD12" i="5"/>
  <c r="AB12" i="5"/>
  <c r="Z12" i="5"/>
  <c r="X12" i="5"/>
  <c r="AR10" i="5"/>
  <c r="AQ10" i="5"/>
  <c r="AP10" i="5"/>
  <c r="AK10" i="5"/>
  <c r="AJ10" i="5"/>
  <c r="AI10" i="5"/>
  <c r="AH10" i="5"/>
  <c r="AG10" i="5"/>
  <c r="AF10" i="5"/>
  <c r="AD10" i="5"/>
  <c r="AB10" i="5"/>
  <c r="Z10" i="5"/>
  <c r="X10" i="5"/>
  <c r="AR7" i="5"/>
  <c r="AQ7" i="5"/>
  <c r="AQ8" i="5" s="1"/>
  <c r="AP7" i="5"/>
  <c r="AO7" i="5"/>
  <c r="AN7" i="5"/>
  <c r="AM7" i="5"/>
  <c r="AL7" i="5"/>
  <c r="AK7" i="5"/>
  <c r="AJ7" i="5"/>
  <c r="AI7" i="5"/>
  <c r="AH7" i="5"/>
  <c r="AG7" i="5"/>
  <c r="AF7" i="5"/>
  <c r="AD7" i="5"/>
  <c r="AB7" i="5"/>
  <c r="Z7" i="5"/>
  <c r="X7" i="5"/>
  <c r="AR6" i="5"/>
  <c r="AQ6" i="5"/>
  <c r="AP6" i="5"/>
  <c r="AP8" i="5" s="1"/>
  <c r="AO6" i="5"/>
  <c r="AO8" i="5" s="1"/>
  <c r="AN6" i="5"/>
  <c r="AM6" i="5"/>
  <c r="AM8" i="5" s="1"/>
  <c r="AL6" i="5"/>
  <c r="AK6" i="5"/>
  <c r="AK8" i="5" s="1"/>
  <c r="AJ6" i="5"/>
  <c r="AI6" i="5"/>
  <c r="AH6" i="5"/>
  <c r="AH8" i="5" s="1"/>
  <c r="AG6" i="5"/>
  <c r="AG8" i="5" s="1"/>
  <c r="AF6" i="5"/>
  <c r="AD6" i="5"/>
  <c r="AD8" i="5" s="1"/>
  <c r="AB6" i="5"/>
  <c r="Z6" i="5"/>
  <c r="Z8" i="5" s="1"/>
  <c r="X6" i="5"/>
  <c r="X8" i="5" s="1"/>
  <c r="AB8" i="5" l="1"/>
  <c r="AL8" i="5"/>
  <c r="AF8" i="5"/>
  <c r="AN8" i="5"/>
  <c r="AI8" i="5"/>
  <c r="AB84" i="5"/>
  <c r="AC69" i="5"/>
  <c r="AC80" i="5" s="1"/>
  <c r="AJ8" i="5"/>
  <c r="AR8" i="5"/>
  <c r="AD69" i="5"/>
  <c r="AD80" i="5" s="1"/>
  <c r="AA69" i="5"/>
  <c r="AA80" i="5" s="1"/>
  <c r="AI69" i="5"/>
  <c r="AI80" i="5" s="1"/>
  <c r="AQ69" i="5"/>
  <c r="AQ80" i="5" s="1"/>
  <c r="AB69" i="5"/>
  <c r="AB80" i="5" s="1"/>
  <c r="AJ69" i="5"/>
  <c r="AJ80" i="5" s="1"/>
  <c r="X69" i="5"/>
  <c r="X80" i="5" s="1"/>
  <c r="AF69" i="5"/>
  <c r="AF80" i="5" s="1"/>
  <c r="AN69" i="5"/>
  <c r="AN80" i="5" s="1"/>
  <c r="X84" i="5"/>
  <c r="AF84" i="5"/>
  <c r="AN84" i="5"/>
  <c r="AQ84" i="5"/>
  <c r="AK69" i="5"/>
  <c r="AK80" i="5" s="1"/>
  <c r="AL69" i="5"/>
  <c r="AL80" i="5" s="1"/>
  <c r="AP69" i="5"/>
  <c r="AP80" i="5" s="1"/>
  <c r="AM80" i="5"/>
  <c r="Y84" i="5"/>
  <c r="AG84" i="5"/>
  <c r="Z84" i="5"/>
  <c r="AH84" i="5"/>
  <c r="AP84" i="5"/>
  <c r="AA82" i="5"/>
  <c r="AI82" i="5"/>
  <c r="AQ82" i="5"/>
  <c r="AO84" i="5"/>
  <c r="AB82" i="5"/>
  <c r="AJ82" i="5"/>
  <c r="AA84" i="5"/>
  <c r="Z69" i="5"/>
  <c r="Z80" i="5" s="1"/>
  <c r="AI84" i="5"/>
  <c r="Y69" i="5"/>
  <c r="Y80" i="5" s="1"/>
  <c r="AE69" i="5"/>
  <c r="AE80" i="5" s="1"/>
  <c r="AE84" i="5"/>
  <c r="AM84" i="5"/>
  <c r="AJ84" i="5"/>
  <c r="AO80" i="5"/>
  <c r="AG80" i="5"/>
  <c r="AH80" i="5"/>
  <c r="AC82" i="5"/>
  <c r="AK82" i="5"/>
  <c r="AD82" i="5"/>
  <c r="AL82" i="5"/>
  <c r="AE82" i="5"/>
  <c r="AM82" i="5"/>
  <c r="X82" i="5"/>
  <c r="Y82" i="5"/>
  <c r="AG82" i="5"/>
  <c r="AO82" i="5"/>
  <c r="AC84" i="5"/>
  <c r="AK84" i="5"/>
  <c r="AF82" i="5"/>
  <c r="AN82" i="5"/>
  <c r="Z82" i="5"/>
  <c r="AH82" i="5"/>
  <c r="AP82" i="5"/>
  <c r="AD84" i="5"/>
  <c r="AL84" i="5"/>
  <c r="W139" i="1"/>
  <c r="W94" i="1" s="1"/>
  <c r="W6" i="1" s="1"/>
  <c r="V139" i="1"/>
  <c r="V94" i="1" s="1"/>
  <c r="V6" i="1" s="1"/>
  <c r="U139" i="1"/>
  <c r="U94" i="1" s="1"/>
  <c r="U6" i="1" s="1"/>
  <c r="U8" i="1" s="1"/>
  <c r="T139" i="1"/>
  <c r="T94" i="1" s="1"/>
  <c r="T6" i="1" s="1"/>
  <c r="S139" i="1"/>
  <c r="S94" i="1" s="1"/>
  <c r="S6" i="1" s="1"/>
  <c r="S8" i="1" s="1"/>
  <c r="R139" i="1"/>
  <c r="R94" i="1" s="1"/>
  <c r="R6" i="1" s="1"/>
  <c r="AP69" i="1"/>
  <c r="AL69" i="1"/>
  <c r="AF69" i="1"/>
  <c r="AP12" i="1"/>
  <c r="AO12" i="1"/>
  <c r="AN12" i="1"/>
  <c r="AM12" i="1"/>
  <c r="AL12" i="1"/>
  <c r="AK12" i="1"/>
  <c r="AJ12" i="1"/>
  <c r="AI12" i="1"/>
  <c r="AH12" i="1"/>
  <c r="AG12" i="1"/>
  <c r="AF12" i="1"/>
  <c r="AD12" i="1"/>
  <c r="AB12" i="1"/>
  <c r="Z12" i="1"/>
  <c r="AP10" i="1"/>
  <c r="AO10" i="1"/>
  <c r="AN10" i="1"/>
  <c r="AM10" i="1"/>
  <c r="AL10" i="1"/>
  <c r="AK10" i="1"/>
  <c r="AJ10" i="1"/>
  <c r="AI10" i="1"/>
  <c r="AH10" i="1"/>
  <c r="AG10" i="1"/>
  <c r="AF10" i="1"/>
  <c r="AD10" i="1"/>
  <c r="AB10" i="1"/>
  <c r="Z10" i="1"/>
  <c r="X10" i="1"/>
  <c r="W10" i="1"/>
  <c r="V10" i="1"/>
  <c r="U10" i="1"/>
  <c r="T10" i="1"/>
  <c r="S10" i="1"/>
  <c r="R10" i="1"/>
  <c r="AI8" i="1"/>
  <c r="AP7" i="1"/>
  <c r="AO7" i="1"/>
  <c r="AN7" i="1"/>
  <c r="AM7" i="1"/>
  <c r="AM8" i="1" s="1"/>
  <c r="AL7" i="1"/>
  <c r="AK7" i="1"/>
  <c r="AJ7" i="1"/>
  <c r="AI7" i="1"/>
  <c r="AH7" i="1"/>
  <c r="AG7" i="1"/>
  <c r="AF7" i="1"/>
  <c r="AD7" i="1"/>
  <c r="AD8" i="1" s="1"/>
  <c r="AB7" i="1"/>
  <c r="Z7" i="1"/>
  <c r="X7" i="1"/>
  <c r="W7" i="1"/>
  <c r="V7" i="1"/>
  <c r="U7" i="1"/>
  <c r="T7" i="1"/>
  <c r="S7" i="1"/>
  <c r="R7" i="1"/>
  <c r="AP6" i="1"/>
  <c r="AP8" i="1" s="1"/>
  <c r="AO6" i="1"/>
  <c r="AN6" i="1"/>
  <c r="AM6" i="1"/>
  <c r="AL6" i="1"/>
  <c r="AK6" i="1"/>
  <c r="AJ6" i="1"/>
  <c r="AI6" i="1"/>
  <c r="AH6" i="1"/>
  <c r="AH8" i="1" s="1"/>
  <c r="AG6" i="1"/>
  <c r="AF6" i="1"/>
  <c r="AD6" i="1"/>
  <c r="AB6" i="1"/>
  <c r="Z6" i="1"/>
  <c r="X6" i="1"/>
  <c r="AJ8" i="1" l="1"/>
  <c r="W8" i="1"/>
  <c r="AK8" i="1"/>
  <c r="AB8" i="1"/>
  <c r="AL8" i="1"/>
  <c r="X8" i="1"/>
  <c r="Z8" i="1"/>
  <c r="AF8" i="1"/>
  <c r="AN8" i="1"/>
  <c r="R8" i="1"/>
  <c r="AP80" i="1"/>
  <c r="AM69" i="1"/>
  <c r="AM80" i="1" s="1"/>
  <c r="AN69" i="1"/>
  <c r="AN80" i="1" s="1"/>
  <c r="AP82" i="1"/>
  <c r="AQ69" i="1"/>
  <c r="AQ80" i="1" s="1"/>
  <c r="AL80" i="1"/>
  <c r="AG8" i="1"/>
  <c r="V8" i="1"/>
  <c r="AO8" i="1"/>
  <c r="T8" i="1"/>
  <c r="AJ84" i="1"/>
  <c r="AH69" i="1"/>
  <c r="AH80" i="1" s="1"/>
  <c r="AJ69" i="1"/>
  <c r="AJ80" i="1" s="1"/>
  <c r="AK69" i="1"/>
  <c r="AK80" i="1" s="1"/>
  <c r="AG82" i="1"/>
  <c r="AO84" i="1"/>
  <c r="AL84" i="1"/>
  <c r="AG84" i="1"/>
  <c r="AG69" i="1"/>
  <c r="AG80" i="1" s="1"/>
  <c r="AO69" i="1"/>
  <c r="AO80" i="1" s="1"/>
  <c r="AK84" i="1"/>
  <c r="AL82" i="1"/>
  <c r="AI69" i="1"/>
  <c r="AI80" i="1" s="1"/>
  <c r="AM84" i="1"/>
  <c r="AO82" i="1"/>
  <c r="AH82" i="1"/>
  <c r="AI82" i="1"/>
  <c r="AQ82" i="1"/>
  <c r="AF80" i="1"/>
  <c r="AF82" i="1"/>
  <c r="AN82" i="1"/>
  <c r="AF84" i="1"/>
  <c r="AN84" i="1"/>
  <c r="AH84" i="1"/>
  <c r="AP84" i="1"/>
  <c r="AK82" i="1"/>
  <c r="AM82" i="1"/>
  <c r="AI84" i="1"/>
  <c r="AQ84" i="1"/>
  <c r="AQ118" i="36"/>
  <c r="AP118" i="36"/>
  <c r="AQ110" i="36"/>
  <c r="AQ7" i="36" s="1"/>
  <c r="AP110" i="36"/>
  <c r="AP7" i="36" s="1"/>
  <c r="AQ94" i="36"/>
  <c r="AP94" i="36"/>
  <c r="AP6" i="36" s="1"/>
  <c r="AN69" i="36"/>
  <c r="AH69" i="36"/>
  <c r="AF69" i="36"/>
  <c r="Z69" i="36"/>
  <c r="AQ12" i="36"/>
  <c r="AP12" i="36"/>
  <c r="AO12" i="36"/>
  <c r="AN12" i="36"/>
  <c r="AM12" i="36"/>
  <c r="AL12" i="36"/>
  <c r="AK12" i="36"/>
  <c r="AJ12" i="36"/>
  <c r="AI12" i="36"/>
  <c r="AH12" i="36"/>
  <c r="AG12" i="36"/>
  <c r="AF12" i="36"/>
  <c r="AD12" i="36"/>
  <c r="AB12" i="36"/>
  <c r="Z12" i="36"/>
  <c r="AQ10" i="36"/>
  <c r="AP10" i="36"/>
  <c r="AO10" i="36"/>
  <c r="AN10" i="36"/>
  <c r="AM10" i="36"/>
  <c r="AL10" i="36"/>
  <c r="AK10" i="36"/>
  <c r="AJ10" i="36"/>
  <c r="AI10" i="36"/>
  <c r="AH10" i="36"/>
  <c r="AG10" i="36"/>
  <c r="AF10" i="36"/>
  <c r="AD10" i="36"/>
  <c r="AB10" i="36"/>
  <c r="Z10" i="36"/>
  <c r="AE8" i="36"/>
  <c r="AC8" i="36"/>
  <c r="AA8" i="36"/>
  <c r="AO7" i="36"/>
  <c r="AN7" i="36"/>
  <c r="AM7" i="36"/>
  <c r="AL7" i="36"/>
  <c r="AK7" i="36"/>
  <c r="AJ7" i="36"/>
  <c r="AI7" i="36"/>
  <c r="AH7" i="36"/>
  <c r="AG7" i="36"/>
  <c r="AF7" i="36"/>
  <c r="AD7" i="36"/>
  <c r="AB7" i="36"/>
  <c r="Z7" i="36"/>
  <c r="AQ6" i="36"/>
  <c r="AQ8" i="36" s="1"/>
  <c r="AO6" i="36"/>
  <c r="AN6" i="36"/>
  <c r="AM6" i="36"/>
  <c r="AL6" i="36"/>
  <c r="AK6" i="36"/>
  <c r="AJ6" i="36"/>
  <c r="AJ8" i="36" s="1"/>
  <c r="AI6" i="36"/>
  <c r="AH6" i="36"/>
  <c r="AG6" i="36"/>
  <c r="AF6" i="36"/>
  <c r="AD6" i="36"/>
  <c r="AB6" i="36"/>
  <c r="Z6" i="36"/>
  <c r="Z8" i="36" l="1"/>
  <c r="AK8" i="36"/>
  <c r="AL8" i="36"/>
  <c r="AM8" i="36"/>
  <c r="AG8" i="36"/>
  <c r="AO8" i="36"/>
  <c r="AI8" i="36"/>
  <c r="AG69" i="36"/>
  <c r="AG80" i="36" s="1"/>
  <c r="AO69" i="36"/>
  <c r="AO80" i="36" s="1"/>
  <c r="AD8" i="36"/>
  <c r="AP8" i="36"/>
  <c r="AM69" i="36"/>
  <c r="AM80" i="36" s="1"/>
  <c r="AF8" i="36"/>
  <c r="AH8" i="36"/>
  <c r="AA84" i="36"/>
  <c r="AQ84" i="36"/>
  <c r="AN8" i="36"/>
  <c r="AB8" i="36"/>
  <c r="Z82" i="36"/>
  <c r="AD69" i="36"/>
  <c r="AD80" i="36" s="1"/>
  <c r="AL69" i="36"/>
  <c r="AL80" i="36" s="1"/>
  <c r="AQ69" i="36"/>
  <c r="AQ80" i="36" s="1"/>
  <c r="AC84" i="36"/>
  <c r="AK84" i="36"/>
  <c r="AE69" i="36"/>
  <c r="AE80" i="36" s="1"/>
  <c r="AB69" i="36"/>
  <c r="AB80" i="36" s="1"/>
  <c r="AJ69" i="36"/>
  <c r="AJ80" i="36" s="1"/>
  <c r="AD84" i="36"/>
  <c r="AL84" i="36"/>
  <c r="AE84" i="36"/>
  <c r="AM84" i="36"/>
  <c r="AF84" i="36"/>
  <c r="AN84" i="36"/>
  <c r="AI84" i="36"/>
  <c r="Z80" i="36"/>
  <c r="AG84" i="36"/>
  <c r="AO84" i="36"/>
  <c r="AP82" i="36"/>
  <c r="AA69" i="36"/>
  <c r="AA80" i="36" s="1"/>
  <c r="AD82" i="36"/>
  <c r="AL82" i="36"/>
  <c r="AA82" i="36"/>
  <c r="AI82" i="36"/>
  <c r="AQ82" i="36"/>
  <c r="AF80" i="36"/>
  <c r="AI69" i="36"/>
  <c r="AI80" i="36" s="1"/>
  <c r="AE82" i="36"/>
  <c r="AM82" i="36"/>
  <c r="AC69" i="36"/>
  <c r="AC80" i="36" s="1"/>
  <c r="AK69" i="36"/>
  <c r="AK80" i="36" s="1"/>
  <c r="AP69" i="36"/>
  <c r="AP80" i="36" s="1"/>
  <c r="AB82" i="36"/>
  <c r="AJ82" i="36"/>
  <c r="AJ82" i="1"/>
  <c r="AH80" i="36"/>
  <c r="AH82" i="36"/>
  <c r="AN80" i="36"/>
  <c r="AC82" i="36"/>
  <c r="AK82" i="36"/>
  <c r="Z84" i="36"/>
  <c r="AH84" i="36"/>
  <c r="AP84" i="36"/>
  <c r="AF82" i="36"/>
  <c r="AN82" i="36"/>
  <c r="AB84" i="36"/>
  <c r="AJ84" i="36"/>
  <c r="AG82" i="36"/>
  <c r="AO82" i="36"/>
  <c r="AQ94" i="28" l="1"/>
  <c r="AP94" i="28"/>
  <c r="AQ69" i="28"/>
  <c r="AP69" i="28"/>
  <c r="AK69" i="28"/>
  <c r="AJ69" i="28"/>
  <c r="AH69" i="28"/>
  <c r="AC69" i="28"/>
  <c r="Z69" i="28"/>
  <c r="AQ13" i="28"/>
  <c r="AP13" i="28"/>
  <c r="AO13" i="28"/>
  <c r="AN13" i="28"/>
  <c r="AM13" i="28"/>
  <c r="AL13" i="28"/>
  <c r="AK13" i="28"/>
  <c r="AJ13" i="28"/>
  <c r="AI13" i="28"/>
  <c r="AH13" i="28"/>
  <c r="AG13" i="28"/>
  <c r="AF13" i="28"/>
  <c r="AD13" i="28"/>
  <c r="AB13" i="28"/>
  <c r="Z13" i="28"/>
  <c r="X13" i="28"/>
  <c r="AQ12" i="28"/>
  <c r="AP12" i="28"/>
  <c r="AO12" i="28"/>
  <c r="AN12" i="28"/>
  <c r="AM12" i="28"/>
  <c r="AL12" i="28"/>
  <c r="AK12" i="28"/>
  <c r="AJ12" i="28"/>
  <c r="AI12" i="28"/>
  <c r="AH12" i="28"/>
  <c r="AG12" i="28"/>
  <c r="AF12" i="28"/>
  <c r="AD12" i="28"/>
  <c r="AB12" i="28"/>
  <c r="Z12" i="28"/>
  <c r="AQ10" i="28"/>
  <c r="AP10" i="28"/>
  <c r="AO10" i="28"/>
  <c r="AN10" i="28"/>
  <c r="AM10" i="28"/>
  <c r="AL10" i="28"/>
  <c r="AK10" i="28"/>
  <c r="AJ10" i="28"/>
  <c r="AI10" i="28"/>
  <c r="AH10" i="28"/>
  <c r="AG10" i="28"/>
  <c r="AF10" i="28"/>
  <c r="AD10" i="28"/>
  <c r="AB10" i="28"/>
  <c r="Z10" i="28"/>
  <c r="X10" i="28"/>
  <c r="AE8" i="28"/>
  <c r="AC8" i="28"/>
  <c r="AA8" i="28"/>
  <c r="Y8" i="28"/>
  <c r="X8" i="28"/>
  <c r="AQ7" i="28"/>
  <c r="AP7" i="28"/>
  <c r="AO7" i="28"/>
  <c r="AN7" i="28"/>
  <c r="AM7" i="28"/>
  <c r="AL7" i="28"/>
  <c r="AK7" i="28"/>
  <c r="AJ7" i="28"/>
  <c r="AI7" i="28"/>
  <c r="AH7" i="28"/>
  <c r="AG7" i="28"/>
  <c r="AF7" i="28"/>
  <c r="AD7" i="28"/>
  <c r="AB7" i="28"/>
  <c r="Z7" i="28"/>
  <c r="AQ6" i="28"/>
  <c r="AP6" i="28"/>
  <c r="AO6" i="28"/>
  <c r="AN6" i="28"/>
  <c r="AM6" i="28"/>
  <c r="AL6" i="28"/>
  <c r="AL8" i="28" s="1"/>
  <c r="AK6" i="28"/>
  <c r="AJ6" i="28"/>
  <c r="AI6" i="28"/>
  <c r="AH6" i="28"/>
  <c r="AG6" i="28"/>
  <c r="AF6" i="28"/>
  <c r="AD6" i="28"/>
  <c r="AB6" i="28"/>
  <c r="Z6" i="28"/>
  <c r="AO8" i="28" l="1"/>
  <c r="AG8" i="28"/>
  <c r="AP8" i="28"/>
  <c r="AJ8" i="28"/>
  <c r="AK8" i="28"/>
  <c r="AH8" i="28"/>
  <c r="AD8" i="28"/>
  <c r="AM8" i="28"/>
  <c r="Z8" i="28"/>
  <c r="AI8" i="28"/>
  <c r="AQ8" i="28"/>
  <c r="AF8" i="28"/>
  <c r="AN8" i="28"/>
  <c r="AB8" i="28"/>
  <c r="AE84" i="28"/>
  <c r="AM84" i="28"/>
  <c r="AG69" i="28"/>
  <c r="AG80" i="28" s="1"/>
  <c r="AO69" i="28"/>
  <c r="AO80" i="28" s="1"/>
  <c r="AO82" i="28"/>
  <c r="AG82" i="28"/>
  <c r="AD69" i="28"/>
  <c r="AD80" i="28" s="1"/>
  <c r="AL69" i="28"/>
  <c r="AL80" i="28" s="1"/>
  <c r="AQ80" i="28"/>
  <c r="X84" i="28"/>
  <c r="AN84" i="28"/>
  <c r="X69" i="28"/>
  <c r="AF69" i="28"/>
  <c r="AF80" i="28" s="1"/>
  <c r="AN69" i="28"/>
  <c r="AN80" i="28" s="1"/>
  <c r="AB69" i="28"/>
  <c r="AB80" i="28" s="1"/>
  <c r="Y69" i="28"/>
  <c r="Y80" i="28" s="1"/>
  <c r="AF82" i="28"/>
  <c r="Z84" i="28"/>
  <c r="AH84" i="28"/>
  <c r="AP84" i="28"/>
  <c r="AE69" i="28"/>
  <c r="AE80" i="28" s="1"/>
  <c r="AM69" i="28"/>
  <c r="AM80" i="28" s="1"/>
  <c r="AA69" i="28"/>
  <c r="AA80" i="28" s="1"/>
  <c r="AI69" i="28"/>
  <c r="AI80" i="28" s="1"/>
  <c r="AA84" i="28"/>
  <c r="AI82" i="28"/>
  <c r="AQ84" i="28"/>
  <c r="AB84" i="28"/>
  <c r="AJ84" i="28"/>
  <c r="X82" i="28"/>
  <c r="AC84" i="28"/>
  <c r="AK84" i="28"/>
  <c r="AF84" i="28"/>
  <c r="AD82" i="28"/>
  <c r="AL82" i="28"/>
  <c r="AE82" i="28"/>
  <c r="AM82" i="28"/>
  <c r="AP80" i="28"/>
  <c r="AC80" i="28"/>
  <c r="AH80" i="28"/>
  <c r="AJ80" i="28"/>
  <c r="AK80" i="28"/>
  <c r="Z80" i="28"/>
  <c r="Y82" i="28"/>
  <c r="Z82" i="28"/>
  <c r="AH82" i="28"/>
  <c r="AP82" i="28"/>
  <c r="AD84" i="28"/>
  <c r="AL84" i="28"/>
  <c r="AJ82" i="28"/>
  <c r="AC82" i="28"/>
  <c r="AK82" i="28"/>
  <c r="Y84" i="28"/>
  <c r="AG84" i="28"/>
  <c r="AO84" i="28"/>
  <c r="AA82" i="28"/>
  <c r="AQ82" i="28"/>
  <c r="AB82" i="28"/>
  <c r="AI84" i="28"/>
  <c r="X80" i="28" l="1"/>
  <c r="AN82" i="28"/>
  <c r="AP119" i="12" l="1"/>
  <c r="AO119" i="12"/>
  <c r="AN119" i="12"/>
  <c r="AM119" i="12"/>
  <c r="AL119" i="12"/>
  <c r="AL10" i="12" s="1"/>
  <c r="AK119" i="12"/>
  <c r="AK10" i="12" s="1"/>
  <c r="AJ119" i="12"/>
  <c r="AJ10" i="12" s="1"/>
  <c r="AI119" i="12"/>
  <c r="AI10" i="12" s="1"/>
  <c r="AH119" i="12"/>
  <c r="AG119" i="12"/>
  <c r="AF119" i="12"/>
  <c r="AD119" i="12"/>
  <c r="AB119" i="12"/>
  <c r="Z119" i="12"/>
  <c r="Z10" i="12" s="1"/>
  <c r="X119" i="12"/>
  <c r="X10" i="12" s="1"/>
  <c r="AP115" i="12"/>
  <c r="AP7" i="12" s="1"/>
  <c r="AO115" i="12"/>
  <c r="AN115" i="12"/>
  <c r="AM115" i="12"/>
  <c r="AL115" i="12"/>
  <c r="AK115" i="12"/>
  <c r="AK7" i="12" s="1"/>
  <c r="AJ115" i="12"/>
  <c r="AJ7" i="12" s="1"/>
  <c r="AI115" i="12"/>
  <c r="AI7" i="12" s="1"/>
  <c r="AH115" i="12"/>
  <c r="AH7" i="12" s="1"/>
  <c r="AG115" i="12"/>
  <c r="AF115" i="12"/>
  <c r="AD115" i="12"/>
  <c r="AD7" i="12" s="1"/>
  <c r="AB115" i="12"/>
  <c r="Z115" i="12"/>
  <c r="Z7" i="12" s="1"/>
  <c r="X115" i="12"/>
  <c r="T107" i="12"/>
  <c r="T94" i="12" s="1"/>
  <c r="AP94" i="12"/>
  <c r="AP6" i="12" s="1"/>
  <c r="AP8" i="12" s="1"/>
  <c r="AO94" i="12"/>
  <c r="AN94" i="12"/>
  <c r="AM94" i="12"/>
  <c r="AL94" i="12"/>
  <c r="AK94" i="12"/>
  <c r="AK6" i="12" s="1"/>
  <c r="AK8" i="12" s="1"/>
  <c r="AJ94" i="12"/>
  <c r="AI94" i="12"/>
  <c r="AI6" i="12" s="1"/>
  <c r="AH94" i="12"/>
  <c r="AH6" i="12" s="1"/>
  <c r="AG94" i="12"/>
  <c r="AF94" i="12"/>
  <c r="AD94" i="12"/>
  <c r="AB94" i="12"/>
  <c r="Z94" i="12"/>
  <c r="Z6" i="12" s="1"/>
  <c r="X94" i="12"/>
  <c r="W94" i="12"/>
  <c r="W6" i="12" s="1"/>
  <c r="W8" i="12" s="1"/>
  <c r="V94" i="12"/>
  <c r="V6" i="12" s="1"/>
  <c r="V8" i="12" s="1"/>
  <c r="U94" i="12"/>
  <c r="S94" i="12"/>
  <c r="R94" i="12"/>
  <c r="Q94" i="12"/>
  <c r="AN69" i="12"/>
  <c r="AM69" i="12"/>
  <c r="AK69" i="12"/>
  <c r="AF69" i="12"/>
  <c r="AE69" i="12"/>
  <c r="AC69" i="12"/>
  <c r="X69" i="12"/>
  <c r="AP39" i="12"/>
  <c r="AO39" i="12"/>
  <c r="AN39" i="12"/>
  <c r="AM39" i="12"/>
  <c r="AL39" i="12"/>
  <c r="AK39" i="12"/>
  <c r="AJ39" i="12"/>
  <c r="AI39" i="12"/>
  <c r="AH39" i="12"/>
  <c r="AG39" i="12"/>
  <c r="AF39" i="12"/>
  <c r="AE39" i="12"/>
  <c r="AD39" i="12"/>
  <c r="AB39" i="12"/>
  <c r="Z39" i="12"/>
  <c r="Y39" i="12"/>
  <c r="X39" i="12"/>
  <c r="AP35" i="12"/>
  <c r="AO35" i="12"/>
  <c r="AN35" i="12"/>
  <c r="AM35" i="12"/>
  <c r="AL35" i="12"/>
  <c r="AK35" i="12"/>
  <c r="AJ35" i="12"/>
  <c r="AI35" i="12"/>
  <c r="AH35" i="12"/>
  <c r="AG35" i="12"/>
  <c r="AF35" i="12"/>
  <c r="AE35" i="12"/>
  <c r="AD35" i="12"/>
  <c r="AB35" i="12"/>
  <c r="Z35" i="12"/>
  <c r="Y35" i="12"/>
  <c r="X35" i="12"/>
  <c r="AP23" i="12"/>
  <c r="AO23" i="12"/>
  <c r="AN23" i="12"/>
  <c r="AM23" i="12"/>
  <c r="AL23" i="12"/>
  <c r="AK23" i="12"/>
  <c r="AJ23" i="12"/>
  <c r="AI23" i="12"/>
  <c r="AH23" i="12"/>
  <c r="AG23" i="12"/>
  <c r="AF23" i="12"/>
  <c r="AE23" i="12"/>
  <c r="AD23" i="12"/>
  <c r="AB23" i="12"/>
  <c r="Z23" i="12"/>
  <c r="Y23" i="12"/>
  <c r="X23" i="12"/>
  <c r="AP12" i="12"/>
  <c r="AO12" i="12"/>
  <c r="AN12" i="12"/>
  <c r="AM12" i="12"/>
  <c r="AL12" i="12"/>
  <c r="AK12" i="12"/>
  <c r="AJ12" i="12"/>
  <c r="AI12" i="12"/>
  <c r="AH12" i="12"/>
  <c r="AG12" i="12"/>
  <c r="AF12" i="12"/>
  <c r="AE12" i="12"/>
  <c r="AD12" i="12"/>
  <c r="AC12" i="12"/>
  <c r="AB12" i="12"/>
  <c r="AA12" i="12"/>
  <c r="Z12" i="12"/>
  <c r="Y12" i="12"/>
  <c r="X12" i="12"/>
  <c r="AP10" i="12"/>
  <c r="AO10" i="12"/>
  <c r="AN10" i="12"/>
  <c r="AM10" i="12"/>
  <c r="AH10" i="12"/>
  <c r="AG10" i="12"/>
  <c r="AF10" i="12"/>
  <c r="AE10" i="12"/>
  <c r="AD10" i="12"/>
  <c r="AC10" i="12"/>
  <c r="AB10" i="12"/>
  <c r="AA10" i="12"/>
  <c r="Y10" i="12"/>
  <c r="AO7" i="12"/>
  <c r="AN7" i="12"/>
  <c r="AM7" i="12"/>
  <c r="AL7" i="12"/>
  <c r="AG7" i="12"/>
  <c r="AF7" i="12"/>
  <c r="AE7" i="12"/>
  <c r="AC7" i="12"/>
  <c r="AB7" i="12"/>
  <c r="AA7" i="12"/>
  <c r="Y7" i="12"/>
  <c r="X7" i="12"/>
  <c r="AO6" i="12"/>
  <c r="AN6" i="12"/>
  <c r="AM6" i="12"/>
  <c r="AL6" i="12"/>
  <c r="AJ6" i="12"/>
  <c r="AJ8" i="12" s="1"/>
  <c r="AG6" i="12"/>
  <c r="AF6" i="12"/>
  <c r="AE6" i="12"/>
  <c r="AD6" i="12"/>
  <c r="AC6" i="12"/>
  <c r="AB6" i="12"/>
  <c r="AA6" i="12"/>
  <c r="Y6" i="12"/>
  <c r="X6" i="12"/>
  <c r="U6" i="12"/>
  <c r="U8" i="12" s="1"/>
  <c r="S6" i="12"/>
  <c r="R6" i="12"/>
  <c r="R8" i="12" s="1"/>
  <c r="Q6" i="12"/>
  <c r="P6" i="12"/>
  <c r="P8" i="12" s="1"/>
  <c r="S8" i="12" l="1"/>
  <c r="T6" i="12"/>
  <c r="T8" i="12" s="1"/>
  <c r="AL8" i="12"/>
  <c r="AM8" i="12"/>
  <c r="AN8" i="12"/>
  <c r="AH8" i="12"/>
  <c r="AI8" i="12"/>
  <c r="AF8" i="12"/>
  <c r="AO8" i="12"/>
  <c r="Z8" i="12"/>
  <c r="X8" i="12"/>
  <c r="AG8" i="12"/>
  <c r="AD8" i="12"/>
  <c r="AB8" i="12"/>
  <c r="AO69" i="12"/>
  <c r="AO80" i="12" s="1"/>
  <c r="AA84" i="12"/>
  <c r="AI84" i="12"/>
  <c r="Z69" i="12"/>
  <c r="AH69" i="12"/>
  <c r="AP69" i="12"/>
  <c r="Z84" i="12"/>
  <c r="AH84" i="12"/>
  <c r="AP84" i="12"/>
  <c r="AQ84" i="12"/>
  <c r="AD69" i="12"/>
  <c r="AD80" i="12" s="1"/>
  <c r="AL69" i="12"/>
  <c r="AL80" i="12" s="1"/>
  <c r="AJ82" i="12"/>
  <c r="AI82" i="12"/>
  <c r="AI69" i="12"/>
  <c r="AB69" i="12"/>
  <c r="AB80" i="12" s="1"/>
  <c r="AJ69" i="12"/>
  <c r="AJ80" i="12" s="1"/>
  <c r="X84" i="12"/>
  <c r="AF84" i="12"/>
  <c r="AN84" i="12"/>
  <c r="Y84" i="12"/>
  <c r="AG84" i="12"/>
  <c r="AO84" i="12"/>
  <c r="Z82" i="12"/>
  <c r="AA82" i="12"/>
  <c r="AQ82" i="12"/>
  <c r="AB82" i="12"/>
  <c r="AH82" i="12"/>
  <c r="Y69" i="12"/>
  <c r="Y80" i="12" s="1"/>
  <c r="AG69" i="12"/>
  <c r="AG80" i="12" s="1"/>
  <c r="AB84" i="12"/>
  <c r="AD84" i="12"/>
  <c r="AL84" i="12"/>
  <c r="AA69" i="12"/>
  <c r="AQ69" i="12"/>
  <c r="AQ80" i="12" s="1"/>
  <c r="AE84" i="12"/>
  <c r="AJ84" i="12"/>
  <c r="AF80" i="12"/>
  <c r="AM82" i="12"/>
  <c r="AK80" i="12"/>
  <c r="AM80" i="12"/>
  <c r="X80" i="12"/>
  <c r="AN80" i="12"/>
  <c r="AC80" i="12"/>
  <c r="AE80" i="12"/>
  <c r="AC82" i="12"/>
  <c r="AK82" i="12"/>
  <c r="AD82" i="12"/>
  <c r="AL82" i="12"/>
  <c r="X82" i="12"/>
  <c r="Y82" i="12"/>
  <c r="AG82" i="12"/>
  <c r="AO82" i="12"/>
  <c r="AC84" i="12"/>
  <c r="AK84" i="12"/>
  <c r="AE82" i="12"/>
  <c r="AF82" i="12"/>
  <c r="AN82" i="12"/>
  <c r="AM84" i="12"/>
  <c r="AP80" i="12" l="1"/>
  <c r="AI80" i="12"/>
  <c r="AH80" i="12"/>
  <c r="Z80" i="12"/>
  <c r="AP82" i="12"/>
  <c r="AA80" i="12"/>
  <c r="AP110" i="4"/>
  <c r="AO110" i="4"/>
  <c r="AN110" i="4"/>
  <c r="AM110" i="4"/>
  <c r="AL110" i="4"/>
  <c r="AK110" i="4"/>
  <c r="AJ110" i="4"/>
  <c r="AI110" i="4"/>
  <c r="AH110" i="4"/>
  <c r="AG110" i="4"/>
  <c r="AF110" i="4"/>
  <c r="AE110" i="4"/>
  <c r="AD110" i="4"/>
  <c r="AC110" i="4"/>
  <c r="AB110" i="4"/>
  <c r="Z110" i="4"/>
  <c r="Y110" i="4"/>
  <c r="X110" i="4"/>
  <c r="W110" i="4"/>
  <c r="V110" i="4"/>
  <c r="U110" i="4"/>
  <c r="T110" i="4"/>
  <c r="S110" i="4"/>
  <c r="R110" i="4"/>
  <c r="Q110" i="4"/>
  <c r="P110" i="4"/>
  <c r="AP94" i="4"/>
  <c r="AO94" i="4"/>
  <c r="AN94" i="4"/>
  <c r="AM94" i="4"/>
  <c r="AM6" i="4" s="1"/>
  <c r="AL94" i="4"/>
  <c r="AL6" i="4" s="1"/>
  <c r="AL8" i="4" s="1"/>
  <c r="AK94" i="4"/>
  <c r="AK6" i="4" s="1"/>
  <c r="AK8" i="4" s="1"/>
  <c r="AJ94" i="4"/>
  <c r="AI94" i="4"/>
  <c r="AH94" i="4"/>
  <c r="AG94" i="4"/>
  <c r="AF94" i="4"/>
  <c r="AE94" i="4"/>
  <c r="AD94" i="4"/>
  <c r="AD6" i="4" s="1"/>
  <c r="AC94" i="4"/>
  <c r="AB94" i="4"/>
  <c r="Z94" i="4"/>
  <c r="X94" i="4"/>
  <c r="W94" i="4"/>
  <c r="V94" i="4"/>
  <c r="U94" i="4"/>
  <c r="T94" i="4"/>
  <c r="T6" i="4" s="1"/>
  <c r="S94" i="4"/>
  <c r="S6" i="4" s="1"/>
  <c r="R94" i="4"/>
  <c r="Q94" i="4"/>
  <c r="P94" i="4"/>
  <c r="AQ69" i="4"/>
  <c r="AK69" i="4"/>
  <c r="AJ69" i="4"/>
  <c r="AC69" i="4"/>
  <c r="AB69" i="4"/>
  <c r="AO84" i="4"/>
  <c r="AG84" i="4"/>
  <c r="Y84" i="4"/>
  <c r="AP36" i="4"/>
  <c r="AO36" i="4"/>
  <c r="AN36" i="4"/>
  <c r="AM36" i="4"/>
  <c r="AL36" i="4"/>
  <c r="AK36" i="4"/>
  <c r="AJ36" i="4"/>
  <c r="AI36" i="4"/>
  <c r="AH36" i="4"/>
  <c r="AG36" i="4"/>
  <c r="AF36" i="4"/>
  <c r="AE36" i="4"/>
  <c r="AD36" i="4"/>
  <c r="AC36" i="4"/>
  <c r="AB36" i="4"/>
  <c r="Z36" i="4"/>
  <c r="X36" i="4"/>
  <c r="AP29" i="4"/>
  <c r="AO29" i="4"/>
  <c r="AN29" i="4"/>
  <c r="AM29" i="4"/>
  <c r="AL29" i="4"/>
  <c r="AK29" i="4"/>
  <c r="AK23" i="4" s="1"/>
  <c r="AK43" i="4" s="1"/>
  <c r="AJ29" i="4"/>
  <c r="AJ23" i="4" s="1"/>
  <c r="AJ43" i="4" s="1"/>
  <c r="AI29" i="4"/>
  <c r="AI23" i="4" s="1"/>
  <c r="AI43" i="4" s="1"/>
  <c r="AH29" i="4"/>
  <c r="AG29" i="4"/>
  <c r="AG23" i="4" s="1"/>
  <c r="AG43" i="4" s="1"/>
  <c r="AF29" i="4"/>
  <c r="AE29" i="4"/>
  <c r="AD29" i="4"/>
  <c r="AC29" i="4"/>
  <c r="AC23" i="4" s="1"/>
  <c r="AC43" i="4" s="1"/>
  <c r="AB29" i="4"/>
  <c r="AB23" i="4" s="1"/>
  <c r="AB43" i="4" s="1"/>
  <c r="Z29" i="4"/>
  <c r="Z23" i="4" s="1"/>
  <c r="Z43" i="4" s="1"/>
  <c r="X29" i="4"/>
  <c r="AO23" i="4"/>
  <c r="AO43" i="4" s="1"/>
  <c r="AP13" i="4"/>
  <c r="AO13" i="4"/>
  <c r="AN13" i="4"/>
  <c r="AM13" i="4"/>
  <c r="AL13" i="4"/>
  <c r="AK13" i="4"/>
  <c r="AJ13" i="4"/>
  <c r="AI13" i="4"/>
  <c r="AH13" i="4"/>
  <c r="AG13" i="4"/>
  <c r="AF13" i="4"/>
  <c r="AE13" i="4"/>
  <c r="AD13" i="4"/>
  <c r="AC13" i="4"/>
  <c r="AB13" i="4"/>
  <c r="AA13" i="4"/>
  <c r="Z13" i="4"/>
  <c r="Y13" i="4"/>
  <c r="X13" i="4"/>
  <c r="AP12" i="4"/>
  <c r="AO12" i="4"/>
  <c r="AN12" i="4"/>
  <c r="AM12" i="4"/>
  <c r="AL12" i="4"/>
  <c r="AK12" i="4"/>
  <c r="AJ12" i="4"/>
  <c r="AI12" i="4"/>
  <c r="AH12" i="4"/>
  <c r="AG12" i="4"/>
  <c r="AF12" i="4"/>
  <c r="AD12" i="4"/>
  <c r="AB12" i="4"/>
  <c r="Z12" i="4"/>
  <c r="X12" i="4"/>
  <c r="W12" i="4"/>
  <c r="V12" i="4"/>
  <c r="U12" i="4"/>
  <c r="T12" i="4"/>
  <c r="S12" i="4"/>
  <c r="R12" i="4"/>
  <c r="Q12" i="4"/>
  <c r="P12" i="4"/>
  <c r="AP10" i="4"/>
  <c r="AO10" i="4"/>
  <c r="AN10" i="4"/>
  <c r="AM10" i="4"/>
  <c r="AL10" i="4"/>
  <c r="AK10" i="4"/>
  <c r="AJ10" i="4"/>
  <c r="AI10" i="4"/>
  <c r="AH10" i="4"/>
  <c r="AG10" i="4"/>
  <c r="AF10" i="4"/>
  <c r="AD10" i="4"/>
  <c r="AB10" i="4"/>
  <c r="Z10" i="4"/>
  <c r="X10" i="4"/>
  <c r="W10" i="4"/>
  <c r="V10" i="4"/>
  <c r="U10" i="4"/>
  <c r="T10" i="4"/>
  <c r="S10" i="4"/>
  <c r="R10" i="4"/>
  <c r="Q10" i="4"/>
  <c r="P10" i="4"/>
  <c r="AP7" i="4"/>
  <c r="AO7" i="4"/>
  <c r="AN7" i="4"/>
  <c r="AM7" i="4"/>
  <c r="AL7" i="4"/>
  <c r="AK7" i="4"/>
  <c r="AJ7" i="4"/>
  <c r="AI7" i="4"/>
  <c r="AI8" i="4" s="1"/>
  <c r="AH7" i="4"/>
  <c r="AG7" i="4"/>
  <c r="AF7" i="4"/>
  <c r="AD7" i="4"/>
  <c r="AB7" i="4"/>
  <c r="Z7" i="4"/>
  <c r="X7" i="4"/>
  <c r="W7" i="4"/>
  <c r="W8" i="4" s="1"/>
  <c r="V7" i="4"/>
  <c r="U7" i="4"/>
  <c r="T7" i="4"/>
  <c r="S7" i="4"/>
  <c r="R7" i="4"/>
  <c r="Q7" i="4"/>
  <c r="P7" i="4"/>
  <c r="AP6" i="4"/>
  <c r="AO6" i="4"/>
  <c r="AN6" i="4"/>
  <c r="AJ6" i="4"/>
  <c r="AI6" i="4"/>
  <c r="AH6" i="4"/>
  <c r="AG6" i="4"/>
  <c r="AF6" i="4"/>
  <c r="AB6" i="4"/>
  <c r="Z6" i="4"/>
  <c r="X6" i="4"/>
  <c r="W6" i="4"/>
  <c r="V6" i="4"/>
  <c r="U6" i="4"/>
  <c r="R6" i="4"/>
  <c r="R8" i="4" s="1"/>
  <c r="Q6" i="4"/>
  <c r="Q8" i="4" s="1"/>
  <c r="P6" i="4"/>
  <c r="AN8" i="4" l="1"/>
  <c r="Z8" i="4"/>
  <c r="AL23" i="4"/>
  <c r="AL43" i="4" s="1"/>
  <c r="AB8" i="4"/>
  <c r="AF8" i="4"/>
  <c r="AP8" i="4"/>
  <c r="AG8" i="4"/>
  <c r="AH8" i="4"/>
  <c r="T8" i="4"/>
  <c r="U8" i="4"/>
  <c r="V8" i="4"/>
  <c r="AF23" i="4"/>
  <c r="AF43" i="4" s="1"/>
  <c r="AN23" i="4"/>
  <c r="AN43" i="4" s="1"/>
  <c r="AD23" i="4"/>
  <c r="AD43" i="4" s="1"/>
  <c r="Z69" i="4"/>
  <c r="Z80" i="4" s="1"/>
  <c r="AH69" i="4"/>
  <c r="AH80" i="4" s="1"/>
  <c r="AP69" i="4"/>
  <c r="AP80" i="4" s="1"/>
  <c r="AO8" i="4"/>
  <c r="X23" i="4"/>
  <c r="X43" i="4" s="1"/>
  <c r="AH23" i="4"/>
  <c r="AH43" i="4" s="1"/>
  <c r="AP23" i="4"/>
  <c r="AP43" i="4" s="1"/>
  <c r="AM8" i="4"/>
  <c r="P8" i="4"/>
  <c r="X8" i="4"/>
  <c r="AJ8" i="4"/>
  <c r="S8" i="4"/>
  <c r="AD8" i="4"/>
  <c r="AE23" i="4"/>
  <c r="AE43" i="4" s="1"/>
  <c r="AM23" i="4"/>
  <c r="AM43" i="4" s="1"/>
  <c r="AD69" i="4"/>
  <c r="AD80" i="4" s="1"/>
  <c r="AL69" i="4"/>
  <c r="AL80" i="4" s="1"/>
  <c r="X69" i="4"/>
  <c r="X80" i="4" s="1"/>
  <c r="AF69" i="4"/>
  <c r="AF80" i="4" s="1"/>
  <c r="AN69" i="4"/>
  <c r="AN80" i="4" s="1"/>
  <c r="Y82" i="4"/>
  <c r="AE69" i="4"/>
  <c r="AE80" i="4" s="1"/>
  <c r="AM69" i="4"/>
  <c r="AM80" i="4" s="1"/>
  <c r="AE84" i="4"/>
  <c r="AM84" i="4"/>
  <c r="X84" i="4"/>
  <c r="AF84" i="4"/>
  <c r="AN84" i="4"/>
  <c r="AC80" i="4"/>
  <c r="AA69" i="4"/>
  <c r="AA80" i="4" s="1"/>
  <c r="AI69" i="4"/>
  <c r="AI80" i="4" s="1"/>
  <c r="AG82" i="4"/>
  <c r="AB82" i="4"/>
  <c r="AJ82" i="4"/>
  <c r="AO82" i="4"/>
  <c r="Y69" i="4"/>
  <c r="AG69" i="4"/>
  <c r="AO69" i="4"/>
  <c r="AC84" i="4"/>
  <c r="AK84" i="4"/>
  <c r="AD84" i="4"/>
  <c r="AL84" i="4"/>
  <c r="AE82" i="4"/>
  <c r="AM82" i="4"/>
  <c r="Z82" i="4"/>
  <c r="AH82" i="4"/>
  <c r="AP82" i="4"/>
  <c r="AQ80" i="4"/>
  <c r="AA82" i="4"/>
  <c r="AI82" i="4"/>
  <c r="AQ82" i="4"/>
  <c r="AJ80" i="4"/>
  <c r="AK80" i="4"/>
  <c r="AB80" i="4"/>
  <c r="AC82" i="4"/>
  <c r="AD82" i="4"/>
  <c r="AL82" i="4"/>
  <c r="Z84" i="4"/>
  <c r="AH84" i="4"/>
  <c r="AP84" i="4"/>
  <c r="AK82" i="4"/>
  <c r="AA84" i="4"/>
  <c r="AI84" i="4"/>
  <c r="AQ84" i="4"/>
  <c r="X82" i="4"/>
  <c r="AF82" i="4"/>
  <c r="AN82" i="4"/>
  <c r="AB84" i="4"/>
  <c r="AJ84" i="4"/>
  <c r="Y80" i="4" l="1"/>
  <c r="AO80" i="4"/>
  <c r="AG80" i="4"/>
  <c r="V122" i="15"/>
  <c r="U122" i="15"/>
  <c r="T122" i="15"/>
  <c r="S122" i="15"/>
  <c r="S10" i="15" s="1"/>
  <c r="R122" i="15"/>
  <c r="R10" i="15" s="1"/>
  <c r="Q122" i="15"/>
  <c r="P122" i="15"/>
  <c r="P10" i="15" s="1"/>
  <c r="V105" i="15"/>
  <c r="U105" i="15"/>
  <c r="U7" i="15" s="1"/>
  <c r="T105" i="15"/>
  <c r="T7" i="15" s="1"/>
  <c r="T8" i="15" s="1"/>
  <c r="S105" i="15"/>
  <c r="R105" i="15"/>
  <c r="R7" i="15" s="1"/>
  <c r="Q105" i="15"/>
  <c r="Q7" i="15" s="1"/>
  <c r="P105" i="15"/>
  <c r="V94" i="15"/>
  <c r="U94" i="15"/>
  <c r="T94" i="15"/>
  <c r="T6" i="15" s="1"/>
  <c r="S94" i="15"/>
  <c r="S6" i="15" s="1"/>
  <c r="R94" i="15"/>
  <c r="Q94" i="15"/>
  <c r="Q6" i="15" s="1"/>
  <c r="P94" i="15"/>
  <c r="P6" i="15" s="1"/>
  <c r="P8" i="15" s="1"/>
  <c r="AF69" i="15"/>
  <c r="AQ23" i="15"/>
  <c r="AP23" i="15"/>
  <c r="AO23" i="15"/>
  <c r="AN23" i="15"/>
  <c r="AM23" i="15"/>
  <c r="AL23" i="15"/>
  <c r="AK23" i="15"/>
  <c r="AJ23" i="15"/>
  <c r="AI23" i="15"/>
  <c r="AH23" i="15"/>
  <c r="AG23" i="15"/>
  <c r="AF23" i="15"/>
  <c r="AD23" i="15"/>
  <c r="AB23" i="15"/>
  <c r="Z23" i="15"/>
  <c r="X23" i="15"/>
  <c r="AQ12" i="15"/>
  <c r="AP12" i="15"/>
  <c r="AO12" i="15"/>
  <c r="AN12" i="15"/>
  <c r="AM12" i="15"/>
  <c r="AL12" i="15"/>
  <c r="AK12" i="15"/>
  <c r="AJ12" i="15"/>
  <c r="AI12" i="15"/>
  <c r="AH12" i="15"/>
  <c r="AG12" i="15"/>
  <c r="AF12" i="15"/>
  <c r="AD12" i="15"/>
  <c r="AB12" i="15"/>
  <c r="Z12" i="15"/>
  <c r="X12" i="15"/>
  <c r="AQ10" i="15"/>
  <c r="AP10" i="15"/>
  <c r="AO10" i="15"/>
  <c r="AN10" i="15"/>
  <c r="AM10" i="15"/>
  <c r="AL10" i="15"/>
  <c r="AK10" i="15"/>
  <c r="AJ10" i="15"/>
  <c r="AI10" i="15"/>
  <c r="AH10" i="15"/>
  <c r="AG10" i="15"/>
  <c r="AF10" i="15"/>
  <c r="AE10" i="15"/>
  <c r="AD10" i="15"/>
  <c r="AC10" i="15"/>
  <c r="AB10" i="15"/>
  <c r="AA10" i="15"/>
  <c r="Z10" i="15"/>
  <c r="Y10" i="15"/>
  <c r="X10" i="15"/>
  <c r="V10" i="15"/>
  <c r="U10" i="15"/>
  <c r="T10" i="15"/>
  <c r="Q10" i="15"/>
  <c r="AQ7" i="15"/>
  <c r="AP7" i="15"/>
  <c r="AO7" i="15"/>
  <c r="AO8" i="15" s="1"/>
  <c r="AN7" i="15"/>
  <c r="AM7" i="15"/>
  <c r="AL7" i="15"/>
  <c r="AK7" i="15"/>
  <c r="AK8" i="15" s="1"/>
  <c r="AJ7" i="15"/>
  <c r="AI7" i="15"/>
  <c r="AH7" i="15"/>
  <c r="AG7" i="15"/>
  <c r="AG8" i="15" s="1"/>
  <c r="AF7" i="15"/>
  <c r="AD7" i="15"/>
  <c r="AB7" i="15"/>
  <c r="Z7" i="15"/>
  <c r="Z8" i="15" s="1"/>
  <c r="X7" i="15"/>
  <c r="V7" i="15"/>
  <c r="S7" i="15"/>
  <c r="P7" i="15"/>
  <c r="AQ6" i="15"/>
  <c r="AP6" i="15"/>
  <c r="AO6" i="15"/>
  <c r="AN6" i="15"/>
  <c r="AM6" i="15"/>
  <c r="AL6" i="15"/>
  <c r="AK6" i="15"/>
  <c r="AJ6" i="15"/>
  <c r="AI6" i="15"/>
  <c r="AH6" i="15"/>
  <c r="AG6" i="15"/>
  <c r="AF6" i="15"/>
  <c r="AD6" i="15"/>
  <c r="AB6" i="15"/>
  <c r="Z6" i="15"/>
  <c r="X6" i="15"/>
  <c r="V6" i="15"/>
  <c r="U6" i="15"/>
  <c r="R6" i="15"/>
  <c r="AB8" i="15" l="1"/>
  <c r="X8" i="15"/>
  <c r="AJ8" i="15"/>
  <c r="Q8" i="15"/>
  <c r="AL8" i="15"/>
  <c r="R8" i="15"/>
  <c r="AD8" i="15"/>
  <c r="AM8" i="15"/>
  <c r="S8" i="15"/>
  <c r="AF8" i="15"/>
  <c r="AN8" i="15"/>
  <c r="U8" i="15"/>
  <c r="AH8" i="15"/>
  <c r="AP8" i="15"/>
  <c r="V8" i="15"/>
  <c r="AI8" i="15"/>
  <c r="AQ8" i="15"/>
  <c r="AN69" i="15"/>
  <c r="AN80" i="15" s="1"/>
  <c r="AM69" i="15"/>
  <c r="AM80" i="15" s="1"/>
  <c r="AJ69" i="15"/>
  <c r="AJ80" i="15" s="1"/>
  <c r="AK69" i="15"/>
  <c r="AK80" i="15" s="1"/>
  <c r="AL69" i="15"/>
  <c r="AL80" i="15" s="1"/>
  <c r="AH84" i="15"/>
  <c r="AH69" i="15"/>
  <c r="AH80" i="15" s="1"/>
  <c r="AP69" i="15"/>
  <c r="AP80" i="15" s="1"/>
  <c r="AI69" i="15"/>
  <c r="AI80" i="15" s="1"/>
  <c r="AQ69" i="15"/>
  <c r="AQ80" i="15" s="1"/>
  <c r="AO69" i="15"/>
  <c r="AO80" i="15" s="1"/>
  <c r="AP82" i="15"/>
  <c r="AI82" i="15"/>
  <c r="AQ82" i="15"/>
  <c r="AH82" i="15"/>
  <c r="AG69" i="15"/>
  <c r="AG80" i="15" s="1"/>
  <c r="AK84" i="15"/>
  <c r="AI84" i="15"/>
  <c r="AL84" i="15"/>
  <c r="AP84" i="15"/>
  <c r="AM84" i="15"/>
  <c r="AQ84" i="15"/>
  <c r="AF84" i="15"/>
  <c r="AN84" i="15"/>
  <c r="AG82" i="15"/>
  <c r="AO82" i="15"/>
  <c r="AF80" i="15"/>
  <c r="AJ82" i="15"/>
  <c r="AM82" i="15"/>
  <c r="AK82" i="15"/>
  <c r="AG84" i="15"/>
  <c r="AO84" i="15"/>
  <c r="AL82" i="15"/>
  <c r="AF82" i="15"/>
  <c r="AN82" i="15"/>
  <c r="AJ84" i="15"/>
  <c r="AQ128" i="23" l="1"/>
  <c r="AP128" i="23"/>
  <c r="AO128" i="23"/>
  <c r="AN128" i="23"/>
  <c r="AM128" i="23"/>
  <c r="AM10" i="23" s="1"/>
  <c r="AQ120" i="23"/>
  <c r="AQ7" i="23" s="1"/>
  <c r="AP120" i="23"/>
  <c r="AP7" i="23" s="1"/>
  <c r="AO120" i="23"/>
  <c r="AO7" i="23" s="1"/>
  <c r="AN120" i="23"/>
  <c r="AM120" i="23"/>
  <c r="AM7" i="23" s="1"/>
  <c r="AQ95" i="23"/>
  <c r="AP95" i="23"/>
  <c r="AP6" i="23" s="1"/>
  <c r="AO95" i="23"/>
  <c r="AO6" i="23" s="1"/>
  <c r="AN95" i="23"/>
  <c r="AN6" i="23" s="1"/>
  <c r="AM95" i="23"/>
  <c r="AM6" i="23" s="1"/>
  <c r="AQ69" i="23"/>
  <c r="AL69" i="23"/>
  <c r="AI69" i="23"/>
  <c r="AQ84" i="23"/>
  <c r="AP82" i="23"/>
  <c r="AN84" i="23"/>
  <c r="AM84" i="23"/>
  <c r="AI84" i="23"/>
  <c r="AH82" i="23"/>
  <c r="AQ12" i="23"/>
  <c r="AP12" i="23"/>
  <c r="AO12" i="23"/>
  <c r="AN12" i="23"/>
  <c r="AM12" i="23"/>
  <c r="AL12" i="23"/>
  <c r="AK12" i="23"/>
  <c r="AJ12" i="23"/>
  <c r="AI12" i="23"/>
  <c r="AH12" i="23"/>
  <c r="AG12" i="23"/>
  <c r="AF12" i="23"/>
  <c r="AD12" i="23"/>
  <c r="AB12" i="23"/>
  <c r="Z12" i="23"/>
  <c r="X12" i="23"/>
  <c r="AQ10" i="23"/>
  <c r="AP10" i="23"/>
  <c r="AO10" i="23"/>
  <c r="AN10" i="23"/>
  <c r="AL10" i="23"/>
  <c r="AK10" i="23"/>
  <c r="AJ10" i="23"/>
  <c r="AI10" i="23"/>
  <c r="AH10" i="23"/>
  <c r="AG10" i="23"/>
  <c r="AF10" i="23"/>
  <c r="AD10" i="23"/>
  <c r="AB10" i="23"/>
  <c r="Z10" i="23"/>
  <c r="X10" i="23"/>
  <c r="AN7" i="23"/>
  <c r="AL7" i="23"/>
  <c r="AK7" i="23"/>
  <c r="AJ7" i="23"/>
  <c r="AI7" i="23"/>
  <c r="AH7" i="23"/>
  <c r="AG7" i="23"/>
  <c r="AF7" i="23"/>
  <c r="AD7" i="23"/>
  <c r="AB7" i="23"/>
  <c r="Z7" i="23"/>
  <c r="X7" i="23"/>
  <c r="V7" i="23"/>
  <c r="V8" i="23" s="1"/>
  <c r="AQ6" i="23"/>
  <c r="AL6" i="23"/>
  <c r="AL8" i="23" s="1"/>
  <c r="AK6" i="23"/>
  <c r="AK8" i="23" s="1"/>
  <c r="AJ6" i="23"/>
  <c r="AI6" i="23"/>
  <c r="AH6" i="23"/>
  <c r="AG6" i="23"/>
  <c r="AF6" i="23"/>
  <c r="AD6" i="23"/>
  <c r="AB6" i="23"/>
  <c r="AB8" i="23" s="1"/>
  <c r="Z6" i="23"/>
  <c r="Z8" i="23" s="1"/>
  <c r="X6" i="23"/>
  <c r="AF8" i="23" l="1"/>
  <c r="AG8" i="23"/>
  <c r="AM8" i="23"/>
  <c r="AO8" i="23"/>
  <c r="AI8" i="23"/>
  <c r="AD8" i="23"/>
  <c r="AQ8" i="23"/>
  <c r="AH8" i="23"/>
  <c r="AP8" i="23"/>
  <c r="X8" i="23"/>
  <c r="AJ8" i="23"/>
  <c r="AN8" i="23"/>
  <c r="AM69" i="23"/>
  <c r="AH69" i="23"/>
  <c r="AI82" i="23"/>
  <c r="AN69" i="23"/>
  <c r="AO69" i="23"/>
  <c r="AO80" i="23" s="1"/>
  <c r="AK84" i="23"/>
  <c r="AJ69" i="23"/>
  <c r="AJ80" i="23" s="1"/>
  <c r="AK69" i="23"/>
  <c r="AK80" i="23" s="1"/>
  <c r="AO84" i="23"/>
  <c r="AM80" i="23"/>
  <c r="AP69" i="23"/>
  <c r="AP80" i="23" s="1"/>
  <c r="AL84" i="23"/>
  <c r="AN82" i="23"/>
  <c r="AQ80" i="23"/>
  <c r="AL80" i="23"/>
  <c r="AH84" i="23"/>
  <c r="AP84" i="23"/>
  <c r="AH80" i="23"/>
  <c r="AJ82" i="23"/>
  <c r="AK82" i="23"/>
  <c r="AL82" i="23"/>
  <c r="AJ84" i="23"/>
  <c r="AO82" i="23"/>
  <c r="AI80" i="23" l="1"/>
  <c r="AN80" i="23"/>
  <c r="AQ82" i="23"/>
  <c r="AM82" i="23"/>
  <c r="AE69" i="24"/>
  <c r="AP12" i="24"/>
  <c r="AO12" i="24"/>
  <c r="AN12" i="24"/>
  <c r="AM12" i="24"/>
  <c r="AL12" i="24"/>
  <c r="AK12" i="24"/>
  <c r="AJ12" i="24"/>
  <c r="AI12" i="24"/>
  <c r="AH12" i="24"/>
  <c r="AG12" i="24"/>
  <c r="AF12" i="24"/>
  <c r="AE12" i="24"/>
  <c r="AD12" i="24"/>
  <c r="AC12" i="24"/>
  <c r="AB12" i="24"/>
  <c r="AA12" i="24"/>
  <c r="Z12" i="24"/>
  <c r="AP10" i="24"/>
  <c r="AO10" i="24"/>
  <c r="AN10" i="24"/>
  <c r="AM10" i="24"/>
  <c r="AL10" i="24"/>
  <c r="AK10" i="24"/>
  <c r="AJ10" i="24"/>
  <c r="AI10" i="24"/>
  <c r="AH10" i="24"/>
  <c r="AG10" i="24"/>
  <c r="AF10" i="24"/>
  <c r="AE10" i="24"/>
  <c r="AD10" i="24"/>
  <c r="AC10" i="24"/>
  <c r="AB10" i="24"/>
  <c r="AA10" i="24"/>
  <c r="Z10" i="24"/>
  <c r="AP7" i="24"/>
  <c r="AO7" i="24"/>
  <c r="AN7" i="24"/>
  <c r="AM7" i="24"/>
  <c r="AL7" i="24"/>
  <c r="AK7" i="24"/>
  <c r="AJ7" i="24"/>
  <c r="AI7" i="24"/>
  <c r="AH7" i="24"/>
  <c r="AG7" i="24"/>
  <c r="AF7" i="24"/>
  <c r="AE7" i="24"/>
  <c r="AD7" i="24"/>
  <c r="AC7" i="24"/>
  <c r="AC8" i="24" s="1"/>
  <c r="AB7" i="24"/>
  <c r="AA7" i="24"/>
  <c r="Z7" i="24"/>
  <c r="AP6" i="24"/>
  <c r="AO6" i="24"/>
  <c r="AO8" i="24" s="1"/>
  <c r="AN6" i="24"/>
  <c r="AN8" i="24" s="1"/>
  <c r="AM6" i="24"/>
  <c r="AL6" i="24"/>
  <c r="AL8" i="24" s="1"/>
  <c r="AK6" i="24"/>
  <c r="AJ6" i="24"/>
  <c r="AJ8" i="24" s="1"/>
  <c r="AI6" i="24"/>
  <c r="AI8" i="24" s="1"/>
  <c r="AH6" i="24"/>
  <c r="AG6" i="24"/>
  <c r="AG8" i="24" s="1"/>
  <c r="AF6" i="24"/>
  <c r="AF8" i="24" s="1"/>
  <c r="AE6" i="24"/>
  <c r="AE8" i="24" s="1"/>
  <c r="AD6" i="24"/>
  <c r="AD8" i="24" s="1"/>
  <c r="AC6" i="24"/>
  <c r="AB6" i="24"/>
  <c r="AB8" i="24" s="1"/>
  <c r="AA6" i="24"/>
  <c r="AA8" i="24" s="1"/>
  <c r="Z6" i="24"/>
  <c r="AK8" i="24" l="1"/>
  <c r="AM8" i="24"/>
  <c r="Z8" i="24"/>
  <c r="AH8" i="24"/>
  <c r="AP8" i="24"/>
  <c r="AH69" i="24"/>
  <c r="AH80" i="24" s="1"/>
  <c r="AF69" i="24"/>
  <c r="AF80" i="24" s="1"/>
  <c r="AN69" i="24"/>
  <c r="AN80" i="24" s="1"/>
  <c r="AA69" i="24"/>
  <c r="AA80" i="24" s="1"/>
  <c r="AI69" i="24"/>
  <c r="AI80" i="24" s="1"/>
  <c r="AQ69" i="24"/>
  <c r="AQ80" i="24" s="1"/>
  <c r="AC69" i="24"/>
  <c r="AC80" i="24" s="1"/>
  <c r="AJ84" i="24"/>
  <c r="AB69" i="24"/>
  <c r="AB80" i="24" s="1"/>
  <c r="AJ69" i="24"/>
  <c r="AJ80" i="24" s="1"/>
  <c r="Z69" i="24"/>
  <c r="Z80" i="24" s="1"/>
  <c r="AP69" i="24"/>
  <c r="AP80" i="24" s="1"/>
  <c r="AD84" i="24"/>
  <c r="AL84" i="24"/>
  <c r="AG82" i="24"/>
  <c r="AO82" i="24"/>
  <c r="AK69" i="24"/>
  <c r="AK80" i="24" s="1"/>
  <c r="AF84" i="24"/>
  <c r="AN84" i="24"/>
  <c r="AL82" i="24"/>
  <c r="AG84" i="24"/>
  <c r="AO84" i="24"/>
  <c r="AD82" i="24"/>
  <c r="AE84" i="24"/>
  <c r="AM84" i="24"/>
  <c r="AD69" i="24"/>
  <c r="AD80" i="24" s="1"/>
  <c r="AL69" i="24"/>
  <c r="AL80" i="24" s="1"/>
  <c r="Z84" i="24"/>
  <c r="AH84" i="24"/>
  <c r="AP84" i="24"/>
  <c r="AK82" i="24"/>
  <c r="AG69" i="24"/>
  <c r="AG80" i="24" s="1"/>
  <c r="AO69" i="24"/>
  <c r="AO80" i="24" s="1"/>
  <c r="AM69" i="24"/>
  <c r="AA84" i="24"/>
  <c r="AI84" i="24"/>
  <c r="AQ84" i="24"/>
  <c r="AC82" i="24"/>
  <c r="AB82" i="24"/>
  <c r="AJ82" i="24"/>
  <c r="AB84" i="24"/>
  <c r="AC84" i="24"/>
  <c r="AK84" i="24"/>
  <c r="AF82" i="24"/>
  <c r="AN82" i="24"/>
  <c r="AE82" i="24"/>
  <c r="AM82" i="24"/>
  <c r="Z82" i="24"/>
  <c r="AH82" i="24"/>
  <c r="AP82" i="24"/>
  <c r="AA82" i="24"/>
  <c r="AI82" i="24"/>
  <c r="AQ82" i="24"/>
  <c r="AM80" i="24" l="1"/>
  <c r="AE80" i="24"/>
  <c r="AN107" i="41"/>
  <c r="AN10" i="41" s="1"/>
  <c r="AL107" i="41"/>
  <c r="AK107" i="41"/>
  <c r="AJ107" i="41"/>
  <c r="AJ10" i="41" s="1"/>
  <c r="AI107" i="41"/>
  <c r="AI10" i="41" s="1"/>
  <c r="AH107" i="41"/>
  <c r="AH10" i="41" s="1"/>
  <c r="AG107" i="41"/>
  <c r="AG10" i="41" s="1"/>
  <c r="AF107" i="41"/>
  <c r="AF10" i="41" s="1"/>
  <c r="AD107" i="41"/>
  <c r="AB107" i="41"/>
  <c r="Z107" i="41"/>
  <c r="X107" i="41"/>
  <c r="X10" i="41" s="1"/>
  <c r="AQ103" i="41"/>
  <c r="AQ7" i="41" s="1"/>
  <c r="AP103" i="41"/>
  <c r="AP7" i="41" s="1"/>
  <c r="AO103" i="41"/>
  <c r="AO7" i="41" s="1"/>
  <c r="AN103" i="41"/>
  <c r="AN7" i="41" s="1"/>
  <c r="AM103" i="41"/>
  <c r="AM7" i="41" s="1"/>
  <c r="V103" i="41"/>
  <c r="AN12" i="41"/>
  <c r="AM12" i="41"/>
  <c r="AQ36" i="41"/>
  <c r="AP36" i="41"/>
  <c r="AO36" i="41"/>
  <c r="AN36" i="41"/>
  <c r="AM36" i="41"/>
  <c r="AO31" i="41"/>
  <c r="AN31" i="41"/>
  <c r="AM31" i="41"/>
  <c r="AQ31" i="41"/>
  <c r="AP31" i="41"/>
  <c r="AQ27" i="41"/>
  <c r="AP27" i="41"/>
  <c r="AO27" i="41"/>
  <c r="AN27" i="41"/>
  <c r="AM27" i="41"/>
  <c r="AQ22" i="41"/>
  <c r="AP22" i="41"/>
  <c r="AO22" i="41"/>
  <c r="AN22" i="41"/>
  <c r="AM22" i="41"/>
  <c r="AQ12" i="41"/>
  <c r="AP12" i="41"/>
  <c r="AO12" i="41"/>
  <c r="AL12" i="41"/>
  <c r="AK12" i="41"/>
  <c r="AJ12" i="41"/>
  <c r="AI12" i="41"/>
  <c r="AH12" i="41"/>
  <c r="AG12" i="41"/>
  <c r="AF12" i="41"/>
  <c r="AD12" i="41"/>
  <c r="AB12" i="41"/>
  <c r="Z12" i="41"/>
  <c r="X12" i="41"/>
  <c r="AL10" i="41"/>
  <c r="AK10" i="41"/>
  <c r="AD10" i="41"/>
  <c r="AB10" i="41"/>
  <c r="Z10" i="41"/>
  <c r="AL7" i="41"/>
  <c r="AK7" i="41"/>
  <c r="AJ7" i="41"/>
  <c r="AI7" i="41"/>
  <c r="AH7" i="41"/>
  <c r="AG7" i="41"/>
  <c r="AF7" i="41"/>
  <c r="AD7" i="41"/>
  <c r="AB7" i="41"/>
  <c r="Z7" i="41"/>
  <c r="X7" i="41"/>
  <c r="V7" i="41"/>
  <c r="V8" i="41" s="1"/>
  <c r="AL6" i="41"/>
  <c r="AK6" i="41"/>
  <c r="AJ6" i="41"/>
  <c r="AJ8" i="41" s="1"/>
  <c r="AI6" i="41"/>
  <c r="AI8" i="41" s="1"/>
  <c r="AH6" i="41"/>
  <c r="AG6" i="41"/>
  <c r="AF6" i="41"/>
  <c r="AD6" i="41"/>
  <c r="AB6" i="41"/>
  <c r="Z6" i="41"/>
  <c r="X6" i="41"/>
  <c r="X8" i="41" s="1"/>
  <c r="AO107" i="41" l="1"/>
  <c r="AO10" i="41" s="1"/>
  <c r="AQ95" i="41"/>
  <c r="AQ6" i="41" s="1"/>
  <c r="AG8" i="41"/>
  <c r="AK8" i="41"/>
  <c r="Z8" i="41"/>
  <c r="AQ82" i="41"/>
  <c r="AG69" i="41"/>
  <c r="AG80" i="41" s="1"/>
  <c r="AO69" i="41"/>
  <c r="AO80" i="41" s="1"/>
  <c r="AI82" i="41"/>
  <c r="AQ8" i="41"/>
  <c r="AB8" i="41"/>
  <c r="AH8" i="41"/>
  <c r="AD8" i="41"/>
  <c r="AP95" i="41"/>
  <c r="AP6" i="41" s="1"/>
  <c r="AP8" i="41" s="1"/>
  <c r="AQ107" i="41"/>
  <c r="AQ10" i="41" s="1"/>
  <c r="AL8" i="41"/>
  <c r="AF8" i="41"/>
  <c r="AM95" i="41"/>
  <c r="AM6" i="41" s="1"/>
  <c r="AM8" i="41" s="1"/>
  <c r="AN95" i="41"/>
  <c r="AN6" i="41" s="1"/>
  <c r="AN8" i="41" s="1"/>
  <c r="AO95" i="41"/>
  <c r="AO6" i="41" s="1"/>
  <c r="AO8" i="41" s="1"/>
  <c r="AM107" i="41"/>
  <c r="AM10" i="41" s="1"/>
  <c r="AP107" i="41"/>
  <c r="AP10" i="41" s="1"/>
  <c r="AH69" i="41"/>
  <c r="AH80" i="41" s="1"/>
  <c r="AP69" i="41"/>
  <c r="AP80" i="41" s="1"/>
  <c r="AK69" i="41"/>
  <c r="AK80" i="41" s="1"/>
  <c r="AL69" i="41"/>
  <c r="AL80" i="41" s="1"/>
  <c r="AM69" i="41"/>
  <c r="AM80" i="41" s="1"/>
  <c r="AI69" i="41"/>
  <c r="AI80" i="41" s="1"/>
  <c r="AQ69" i="41"/>
  <c r="AQ80" i="41" s="1"/>
  <c r="AN84" i="41"/>
  <c r="AJ69" i="41"/>
  <c r="AJ80" i="41" s="1"/>
  <c r="AL84" i="41"/>
  <c r="AN69" i="41"/>
  <c r="AM82" i="41"/>
  <c r="AO82" i="41"/>
  <c r="AH84" i="41"/>
  <c r="AP84" i="41"/>
  <c r="AN82" i="41"/>
  <c r="AI84" i="41"/>
  <c r="AQ84" i="41"/>
  <c r="AJ84" i="41"/>
  <c r="AK84" i="41"/>
  <c r="AG82" i="41"/>
  <c r="AH82" i="41"/>
  <c r="AP82" i="41"/>
  <c r="AM84" i="41"/>
  <c r="AJ82" i="41"/>
  <c r="AG84" i="41"/>
  <c r="AO84" i="41"/>
  <c r="AK82" i="41"/>
  <c r="AL82" i="41"/>
  <c r="AN80" i="41" l="1"/>
  <c r="AQ104" i="9"/>
  <c r="AP104" i="9"/>
  <c r="AO104" i="9"/>
  <c r="AN104" i="9"/>
  <c r="AM104" i="9"/>
  <c r="AL104" i="9"/>
  <c r="AK104" i="9"/>
  <c r="AJ104" i="9"/>
  <c r="AI104" i="9"/>
  <c r="AH104" i="9"/>
  <c r="AG104" i="9"/>
  <c r="AF104" i="9"/>
  <c r="AD104" i="9"/>
  <c r="AQ96" i="9"/>
  <c r="AQ94" i="9" s="1"/>
  <c r="AQ6" i="9" s="1"/>
  <c r="AP96" i="9"/>
  <c r="AP94" i="9" s="1"/>
  <c r="AP6" i="9" s="1"/>
  <c r="AP8" i="9" s="1"/>
  <c r="AQ82" i="9"/>
  <c r="AJ82" i="9"/>
  <c r="AI82" i="9"/>
  <c r="AO12" i="9"/>
  <c r="AN12" i="9"/>
  <c r="AM12" i="9"/>
  <c r="AL12" i="9"/>
  <c r="AK12" i="9"/>
  <c r="AJ12" i="9"/>
  <c r="AI12" i="9"/>
  <c r="AH12" i="9"/>
  <c r="AG12" i="9"/>
  <c r="AF12" i="9"/>
  <c r="AQ10" i="9"/>
  <c r="AP10" i="9"/>
  <c r="AO10" i="9"/>
  <c r="AN10" i="9"/>
  <c r="AM10" i="9"/>
  <c r="AL10" i="9"/>
  <c r="AK10" i="9"/>
  <c r="AJ10" i="9"/>
  <c r="AI10" i="9"/>
  <c r="AH10" i="9"/>
  <c r="AG10" i="9"/>
  <c r="AF10" i="9"/>
  <c r="W10" i="9"/>
  <c r="V10" i="9"/>
  <c r="U10" i="9"/>
  <c r="T10" i="9"/>
  <c r="S10" i="9"/>
  <c r="R10" i="9"/>
  <c r="AQ7" i="9"/>
  <c r="AP7" i="9"/>
  <c r="AO7" i="9"/>
  <c r="AN7" i="9"/>
  <c r="AM7" i="9"/>
  <c r="AL7" i="9"/>
  <c r="AK7" i="9"/>
  <c r="AJ7" i="9"/>
  <c r="AI7" i="9"/>
  <c r="AH7" i="9"/>
  <c r="AG7" i="9"/>
  <c r="AF7" i="9"/>
  <c r="W7" i="9"/>
  <c r="V7" i="9"/>
  <c r="U7" i="9"/>
  <c r="T7" i="9"/>
  <c r="S7" i="9"/>
  <c r="R7" i="9"/>
  <c r="AO6" i="9"/>
  <c r="AO8" i="9" s="1"/>
  <c r="AN6" i="9"/>
  <c r="AM6" i="9"/>
  <c r="AM8" i="9" s="1"/>
  <c r="AL6" i="9"/>
  <c r="AL8" i="9" s="1"/>
  <c r="AK6" i="9"/>
  <c r="AJ6" i="9"/>
  <c r="AJ8" i="9" s="1"/>
  <c r="AI6" i="9"/>
  <c r="AI8" i="9" s="1"/>
  <c r="AH6" i="9"/>
  <c r="AH8" i="9" s="1"/>
  <c r="AG6" i="9"/>
  <c r="AG8" i="9" s="1"/>
  <c r="AF6" i="9"/>
  <c r="AF8" i="9" s="1"/>
  <c r="W6" i="9"/>
  <c r="W8" i="9" s="1"/>
  <c r="V6" i="9"/>
  <c r="V8" i="9" s="1"/>
  <c r="U6" i="9"/>
  <c r="T6" i="9"/>
  <c r="T8" i="9" s="1"/>
  <c r="S6" i="9"/>
  <c r="S8" i="9" s="1"/>
  <c r="R6" i="9"/>
  <c r="R8" i="9" s="1"/>
  <c r="AQ8" i="9" l="1"/>
  <c r="AQ12" i="9"/>
  <c r="AN8" i="9"/>
  <c r="U8" i="9"/>
  <c r="AK8" i="9"/>
  <c r="AP12" i="9"/>
  <c r="AL69" i="9"/>
  <c r="AL80" i="9" s="1"/>
  <c r="AE69" i="9"/>
  <c r="AE80" i="9" s="1"/>
  <c r="AM69" i="9"/>
  <c r="AM80" i="9" s="1"/>
  <c r="AF69" i="9"/>
  <c r="AF80" i="9" s="1"/>
  <c r="AN69" i="9"/>
  <c r="AN80" i="9" s="1"/>
  <c r="AI69" i="9"/>
  <c r="AI80" i="9" s="1"/>
  <c r="AK69" i="9"/>
  <c r="AK80" i="9" s="1"/>
  <c r="AD84" i="9"/>
  <c r="AD69" i="9"/>
  <c r="AD80" i="9" s="1"/>
  <c r="AG69" i="9"/>
  <c r="AG80" i="9" s="1"/>
  <c r="AO69" i="9"/>
  <c r="AO80" i="9" s="1"/>
  <c r="AH69" i="9"/>
  <c r="AH80" i="9" s="1"/>
  <c r="AP69" i="9"/>
  <c r="AP80" i="9" s="1"/>
  <c r="AJ69" i="9"/>
  <c r="AJ80" i="9" s="1"/>
  <c r="AF82" i="9"/>
  <c r="AN82" i="9"/>
  <c r="AI84" i="9"/>
  <c r="AQ84" i="9"/>
  <c r="AJ84" i="9"/>
  <c r="AK82" i="9"/>
  <c r="AK84" i="9"/>
  <c r="AD82" i="9"/>
  <c r="AL82" i="9"/>
  <c r="AL84" i="9"/>
  <c r="AQ69" i="9"/>
  <c r="AQ80" i="9" s="1"/>
  <c r="AE82" i="9"/>
  <c r="AM82" i="9"/>
  <c r="AG82" i="9"/>
  <c r="AO82" i="9"/>
  <c r="AH82" i="9"/>
  <c r="AP82" i="9"/>
  <c r="AE84" i="9"/>
  <c r="AM84" i="9"/>
  <c r="AF84" i="9"/>
  <c r="AN84" i="9"/>
  <c r="AG84" i="9"/>
  <c r="AO84" i="9"/>
  <c r="AH84" i="9"/>
  <c r="AP84" i="9"/>
  <c r="AP94" i="42" l="1"/>
  <c r="AO94" i="42"/>
  <c r="AN94" i="42"/>
  <c r="AM94" i="42"/>
  <c r="AL94" i="42"/>
  <c r="AK94" i="42"/>
  <c r="AK6" i="42" s="1"/>
  <c r="AJ94" i="42"/>
  <c r="AJ6" i="42" s="1"/>
  <c r="AI94" i="42"/>
  <c r="AI6" i="42" s="1"/>
  <c r="AI8" i="42" s="1"/>
  <c r="AH94" i="42"/>
  <c r="AG94" i="42"/>
  <c r="AF94" i="42"/>
  <c r="AD94" i="42"/>
  <c r="AD6" i="42" s="1"/>
  <c r="AD8" i="42" s="1"/>
  <c r="AB94" i="42"/>
  <c r="Z94" i="42"/>
  <c r="Z6" i="42" s="1"/>
  <c r="Z8" i="42" s="1"/>
  <c r="X94" i="42"/>
  <c r="X6" i="42" s="1"/>
  <c r="V94" i="42"/>
  <c r="V6" i="42" s="1"/>
  <c r="V8" i="42" s="1"/>
  <c r="U94" i="42"/>
  <c r="T94" i="42"/>
  <c r="S94" i="42"/>
  <c r="R94" i="42"/>
  <c r="Q94" i="42"/>
  <c r="P94" i="42"/>
  <c r="P6" i="42" s="1"/>
  <c r="P8" i="42" s="1"/>
  <c r="X44" i="42"/>
  <c r="X43" i="42"/>
  <c r="X42" i="42"/>
  <c r="X41" i="42"/>
  <c r="X39" i="42"/>
  <c r="X38" i="42"/>
  <c r="X34" i="42"/>
  <c r="X33" i="42"/>
  <c r="X32" i="42"/>
  <c r="X31" i="42"/>
  <c r="X30" i="42"/>
  <c r="X29" i="42"/>
  <c r="X28" i="42"/>
  <c r="X27" i="42"/>
  <c r="X26" i="42"/>
  <c r="X25" i="42"/>
  <c r="X24" i="42"/>
  <c r="AP12" i="42"/>
  <c r="AO12" i="42"/>
  <c r="AN12" i="42"/>
  <c r="AM12" i="42"/>
  <c r="AL12" i="42"/>
  <c r="AK12" i="42"/>
  <c r="AJ12" i="42"/>
  <c r="AI12" i="42"/>
  <c r="AH12" i="42"/>
  <c r="AG12" i="42"/>
  <c r="AF12" i="42"/>
  <c r="AE12" i="42"/>
  <c r="AD12" i="42"/>
  <c r="AC12" i="42"/>
  <c r="AB12" i="42"/>
  <c r="Z12" i="42"/>
  <c r="X12" i="42"/>
  <c r="AP10" i="42"/>
  <c r="AO10" i="42"/>
  <c r="AN10" i="42"/>
  <c r="AM10" i="42"/>
  <c r="AL10" i="42"/>
  <c r="AK10" i="42"/>
  <c r="AJ10" i="42"/>
  <c r="AI10" i="42"/>
  <c r="AH10" i="42"/>
  <c r="AG10" i="42"/>
  <c r="AF10" i="42"/>
  <c r="AE10" i="42"/>
  <c r="AD10" i="42"/>
  <c r="AC10" i="42"/>
  <c r="AB10" i="42"/>
  <c r="Z10" i="42"/>
  <c r="X10" i="42"/>
  <c r="AP7" i="42"/>
  <c r="AO7" i="42"/>
  <c r="AN7" i="42"/>
  <c r="AM7" i="42"/>
  <c r="AL7" i="42"/>
  <c r="AK7" i="42"/>
  <c r="AJ7" i="42"/>
  <c r="AI7" i="42"/>
  <c r="AH7" i="42"/>
  <c r="AG7" i="42"/>
  <c r="AF7" i="42"/>
  <c r="AE7" i="42"/>
  <c r="AD7" i="42"/>
  <c r="AC7" i="42"/>
  <c r="AB7" i="42"/>
  <c r="Z7" i="42"/>
  <c r="X7" i="42"/>
  <c r="V7" i="42"/>
  <c r="T7" i="42"/>
  <c r="S7" i="42"/>
  <c r="R7" i="42"/>
  <c r="Q7" i="42"/>
  <c r="P7" i="42"/>
  <c r="AP6" i="42"/>
  <c r="AO6" i="42"/>
  <c r="AN6" i="42"/>
  <c r="AM6" i="42"/>
  <c r="AL6" i="42"/>
  <c r="AH6" i="42"/>
  <c r="AG6" i="42"/>
  <c r="AF6" i="42"/>
  <c r="AE6" i="42"/>
  <c r="AC6" i="42"/>
  <c r="AB6" i="42"/>
  <c r="T6" i="42"/>
  <c r="S6" i="42"/>
  <c r="R6" i="42"/>
  <c r="R8" i="42" s="1"/>
  <c r="Q6" i="42"/>
  <c r="Q8" i="42" s="1"/>
  <c r="AK8" i="42" l="1"/>
  <c r="AB8" i="42"/>
  <c r="AC8" i="42"/>
  <c r="AO8" i="42"/>
  <c r="AN8" i="42"/>
  <c r="AE8" i="42"/>
  <c r="S8" i="42"/>
  <c r="AM8" i="42"/>
  <c r="AF8" i="42"/>
  <c r="AG8" i="42"/>
  <c r="T8" i="42"/>
  <c r="AJ8" i="42"/>
  <c r="AH8" i="42"/>
  <c r="X8" i="42"/>
  <c r="AP8" i="42"/>
  <c r="AL8" i="42"/>
  <c r="AM69" i="42"/>
  <c r="AM80" i="42" s="1"/>
  <c r="AE69" i="42"/>
  <c r="AE80" i="42" s="1"/>
  <c r="AD69" i="42"/>
  <c r="AD80" i="42" s="1"/>
  <c r="AL69" i="42"/>
  <c r="AL80" i="42" s="1"/>
  <c r="Y69" i="42"/>
  <c r="Y80" i="42" s="1"/>
  <c r="AO69" i="42"/>
  <c r="AO80" i="42" s="1"/>
  <c r="AG69" i="42"/>
  <c r="AG80" i="42" s="1"/>
  <c r="X69" i="42"/>
  <c r="X80" i="42" s="1"/>
  <c r="AF69" i="42"/>
  <c r="AF80" i="42" s="1"/>
  <c r="AN69" i="42"/>
  <c r="AN80" i="42" s="1"/>
  <c r="AB69" i="42"/>
  <c r="AB80" i="42" s="1"/>
  <c r="Z69" i="42"/>
  <c r="AH69" i="42"/>
  <c r="AP69" i="42"/>
  <c r="Z84" i="42"/>
  <c r="AH84" i="42"/>
  <c r="AP84" i="42"/>
  <c r="AC69" i="42"/>
  <c r="AC80" i="42" s="1"/>
  <c r="AK69" i="42"/>
  <c r="AK80" i="42" s="1"/>
  <c r="AJ69" i="42"/>
  <c r="AJ80" i="42" s="1"/>
  <c r="AH82" i="42"/>
  <c r="AA69" i="42"/>
  <c r="AA80" i="42" s="1"/>
  <c r="AI69" i="42"/>
  <c r="AI80" i="42" s="1"/>
  <c r="AQ69" i="42"/>
  <c r="AQ80" i="42" s="1"/>
  <c r="AE84" i="42"/>
  <c r="AM84" i="42"/>
  <c r="AP82" i="42"/>
  <c r="X84" i="42"/>
  <c r="AF84" i="42"/>
  <c r="AN84" i="42"/>
  <c r="Y84" i="42"/>
  <c r="AG84" i="42"/>
  <c r="AO84" i="42"/>
  <c r="AA82" i="42"/>
  <c r="AI82" i="42"/>
  <c r="AQ82" i="42"/>
  <c r="AA84" i="42"/>
  <c r="AI84" i="42"/>
  <c r="AD84" i="42"/>
  <c r="AL84" i="42"/>
  <c r="AQ84" i="42"/>
  <c r="AC82" i="42"/>
  <c r="AK82" i="42"/>
  <c r="AB82" i="42"/>
  <c r="AJ82" i="42"/>
  <c r="AD82" i="42"/>
  <c r="AL82" i="42"/>
  <c r="AE82" i="42"/>
  <c r="AM82" i="42"/>
  <c r="X82" i="42"/>
  <c r="AF82" i="42"/>
  <c r="AN82" i="42"/>
  <c r="AB84" i="42"/>
  <c r="AJ84" i="42"/>
  <c r="Y82" i="42"/>
  <c r="AG82" i="42"/>
  <c r="AO82" i="42"/>
  <c r="AC84" i="42"/>
  <c r="AK84" i="42"/>
  <c r="Z80" i="42" l="1"/>
  <c r="AH80" i="42"/>
  <c r="Z82" i="42"/>
  <c r="AP80" i="42"/>
  <c r="AQ111" i="3" l="1"/>
  <c r="AP111" i="3"/>
  <c r="AO111" i="3"/>
  <c r="AN111" i="3"/>
  <c r="AM111" i="3"/>
  <c r="AM10" i="3" s="1"/>
  <c r="AL111" i="3"/>
  <c r="AL10" i="3" s="1"/>
  <c r="AK111" i="3"/>
  <c r="AK10" i="3" s="1"/>
  <c r="AJ111" i="3"/>
  <c r="AJ10" i="3" s="1"/>
  <c r="AI111" i="3"/>
  <c r="AH111" i="3"/>
  <c r="AG111" i="3"/>
  <c r="AF111" i="3"/>
  <c r="AD111" i="3"/>
  <c r="AD10" i="3" s="1"/>
  <c r="AB111" i="3"/>
  <c r="AB10" i="3" s="1"/>
  <c r="Z111" i="3"/>
  <c r="Z10" i="3" s="1"/>
  <c r="X111" i="3"/>
  <c r="X10" i="3" s="1"/>
  <c r="AL106" i="3"/>
  <c r="AK106" i="3"/>
  <c r="AJ106" i="3"/>
  <c r="AI106" i="3"/>
  <c r="AH106" i="3"/>
  <c r="AG106" i="3"/>
  <c r="W106" i="3"/>
  <c r="W7" i="3" s="1"/>
  <c r="V106" i="3"/>
  <c r="V7" i="3" s="1"/>
  <c r="U106" i="3"/>
  <c r="T106" i="3"/>
  <c r="S106" i="3"/>
  <c r="R106" i="3"/>
  <c r="R7" i="3" s="1"/>
  <c r="AQ94" i="3"/>
  <c r="AP94" i="3"/>
  <c r="AO94" i="3"/>
  <c r="AO6" i="3" s="1"/>
  <c r="AO8" i="3" s="1"/>
  <c r="AN94" i="3"/>
  <c r="AN6" i="3" s="1"/>
  <c r="AN8" i="3" s="1"/>
  <c r="AM94" i="3"/>
  <c r="AL94" i="3"/>
  <c r="AK94" i="3"/>
  <c r="AJ94" i="3"/>
  <c r="AJ6" i="3" s="1"/>
  <c r="AJ8" i="3" s="1"/>
  <c r="AI94" i="3"/>
  <c r="AI6" i="3" s="1"/>
  <c r="AI8" i="3" s="1"/>
  <c r="AH94" i="3"/>
  <c r="AG94" i="3"/>
  <c r="AG6" i="3" s="1"/>
  <c r="AF94" i="3"/>
  <c r="AF6" i="3" s="1"/>
  <c r="AD94" i="3"/>
  <c r="AB94" i="3"/>
  <c r="Z94" i="3"/>
  <c r="X94" i="3"/>
  <c r="W94" i="3"/>
  <c r="W6" i="3" s="1"/>
  <c r="V94" i="3"/>
  <c r="U94" i="3"/>
  <c r="U6" i="3" s="1"/>
  <c r="T94" i="3"/>
  <c r="T6" i="3" s="1"/>
  <c r="S94" i="3"/>
  <c r="R94" i="3"/>
  <c r="AQ24" i="3"/>
  <c r="AP24" i="3"/>
  <c r="AQ12" i="3"/>
  <c r="AP12" i="3"/>
  <c r="AO12" i="3"/>
  <c r="AN12" i="3"/>
  <c r="AM12" i="3"/>
  <c r="AL12" i="3"/>
  <c r="AK12" i="3"/>
  <c r="AJ12" i="3"/>
  <c r="AI12" i="3"/>
  <c r="AH12" i="3"/>
  <c r="AG12" i="3"/>
  <c r="AF12" i="3"/>
  <c r="AD12" i="3"/>
  <c r="AB12" i="3"/>
  <c r="Z12" i="3"/>
  <c r="X12" i="3"/>
  <c r="AQ10" i="3"/>
  <c r="AP10" i="3"/>
  <c r="AO10" i="3"/>
  <c r="AN10" i="3"/>
  <c r="AI10" i="3"/>
  <c r="AH10" i="3"/>
  <c r="AG10" i="3"/>
  <c r="AF10" i="3"/>
  <c r="U10" i="3"/>
  <c r="T10" i="3"/>
  <c r="S10" i="3"/>
  <c r="R10" i="3"/>
  <c r="AQ7" i="3"/>
  <c r="AP7" i="3"/>
  <c r="AO7" i="3"/>
  <c r="AM7" i="3"/>
  <c r="AH7" i="3"/>
  <c r="AG7" i="3"/>
  <c r="AF7" i="3"/>
  <c r="AD7" i="3"/>
  <c r="AB7" i="3"/>
  <c r="Z7" i="3"/>
  <c r="X7" i="3"/>
  <c r="U7" i="3"/>
  <c r="T7" i="3"/>
  <c r="S7" i="3"/>
  <c r="AQ6" i="3"/>
  <c r="AQ8" i="3" s="1"/>
  <c r="AP6" i="3"/>
  <c r="AP8" i="3" s="1"/>
  <c r="AM6" i="3"/>
  <c r="AL6" i="3"/>
  <c r="AL8" i="3" s="1"/>
  <c r="AK6" i="3"/>
  <c r="AK8" i="3" s="1"/>
  <c r="AH6" i="3"/>
  <c r="AD6" i="3"/>
  <c r="AB6" i="3"/>
  <c r="AB8" i="3" s="1"/>
  <c r="Z6" i="3"/>
  <c r="Z8" i="3" s="1"/>
  <c r="X6" i="3"/>
  <c r="X8" i="3" s="1"/>
  <c r="V6" i="3"/>
  <c r="S6" i="3"/>
  <c r="R6" i="3"/>
  <c r="S8" i="3" l="1"/>
  <c r="AM8" i="3"/>
  <c r="AH8" i="3"/>
  <c r="T8" i="3"/>
  <c r="AF8" i="3"/>
  <c r="V8" i="3"/>
  <c r="W8" i="3"/>
  <c r="R8" i="3"/>
  <c r="AD8" i="3"/>
  <c r="AG8" i="3"/>
  <c r="U8" i="3"/>
  <c r="AA69" i="3"/>
  <c r="AA80" i="3" s="1"/>
  <c r="AI69" i="3"/>
  <c r="AI80" i="3" s="1"/>
  <c r="AQ69" i="3"/>
  <c r="AQ80" i="3" s="1"/>
  <c r="AB69" i="3"/>
  <c r="AB80" i="3" s="1"/>
  <c r="AJ69" i="3"/>
  <c r="AJ80" i="3" s="1"/>
  <c r="AE69" i="3"/>
  <c r="AE80" i="3" s="1"/>
  <c r="AN69" i="3"/>
  <c r="AN80" i="3" s="1"/>
  <c r="AH69" i="3"/>
  <c r="AH80" i="3" s="1"/>
  <c r="AP69" i="3"/>
  <c r="AP80" i="3" s="1"/>
  <c r="X69" i="3"/>
  <c r="X80" i="3" s="1"/>
  <c r="Z69" i="3"/>
  <c r="Z80" i="3" s="1"/>
  <c r="AM69" i="3"/>
  <c r="AM80" i="3" s="1"/>
  <c r="AF69" i="3"/>
  <c r="AF80" i="3" s="1"/>
  <c r="AJ84" i="3"/>
  <c r="Y69" i="3"/>
  <c r="Y80" i="3" s="1"/>
  <c r="AG69" i="3"/>
  <c r="AG80" i="3" s="1"/>
  <c r="AO69" i="3"/>
  <c r="AO80" i="3" s="1"/>
  <c r="AC69" i="3"/>
  <c r="AC80" i="3" s="1"/>
  <c r="AK69" i="3"/>
  <c r="AK80" i="3" s="1"/>
  <c r="AC84" i="3"/>
  <c r="AK84" i="3"/>
  <c r="AD69" i="3"/>
  <c r="AD80" i="3" s="1"/>
  <c r="AL69" i="3"/>
  <c r="AL80" i="3" s="1"/>
  <c r="AD82" i="3"/>
  <c r="AL82" i="3"/>
  <c r="AB82" i="3"/>
  <c r="AJ82" i="3"/>
  <c r="AB84" i="3"/>
  <c r="Y82" i="3"/>
  <c r="AG82" i="3"/>
  <c r="AO82" i="3"/>
  <c r="Z84" i="3"/>
  <c r="AH84" i="3"/>
  <c r="AP84" i="3"/>
  <c r="AA84" i="3"/>
  <c r="AI84" i="3"/>
  <c r="AQ84" i="3"/>
  <c r="AE82" i="3"/>
  <c r="AM82" i="3"/>
  <c r="X82" i="3"/>
  <c r="AF82" i="3"/>
  <c r="AN82" i="3"/>
  <c r="AH82" i="3"/>
  <c r="AD84" i="3"/>
  <c r="AA82" i="3"/>
  <c r="AI82" i="3"/>
  <c r="AQ82" i="3"/>
  <c r="AE84" i="3"/>
  <c r="AM84" i="3"/>
  <c r="Z82" i="3"/>
  <c r="AP82" i="3"/>
  <c r="AL84" i="3"/>
  <c r="X84" i="3"/>
  <c r="AF84" i="3"/>
  <c r="AN84" i="3"/>
  <c r="AC82" i="3"/>
  <c r="AK82" i="3"/>
  <c r="Y84" i="3"/>
  <c r="AG84" i="3"/>
  <c r="AO84" i="3"/>
  <c r="AM12" i="29" l="1"/>
  <c r="AN12" i="16"/>
  <c r="AO12" i="16"/>
  <c r="AI166" i="7" l="1"/>
  <c r="AI165" i="7"/>
  <c r="AI155" i="7"/>
  <c r="AI149" i="7"/>
  <c r="AI150" i="7" s="1"/>
  <c r="AI151" i="7" s="1"/>
  <c r="AI152" i="7" s="1"/>
  <c r="AF10" i="7"/>
  <c r="Z10" i="7"/>
  <c r="AO115" i="7"/>
  <c r="AO7" i="7" s="1"/>
  <c r="AN115" i="7"/>
  <c r="AN7" i="7" s="1"/>
  <c r="AM115" i="7"/>
  <c r="AM7" i="7" s="1"/>
  <c r="AL115" i="7"/>
  <c r="AL7" i="7" s="1"/>
  <c r="AK115" i="7"/>
  <c r="AK7" i="7" s="1"/>
  <c r="AJ115" i="7"/>
  <c r="AJ7" i="7" s="1"/>
  <c r="AI115" i="7"/>
  <c r="AI7" i="7" s="1"/>
  <c r="AH115" i="7"/>
  <c r="AH7" i="7" s="1"/>
  <c r="AG115" i="7"/>
  <c r="AG7" i="7" s="1"/>
  <c r="AF115" i="7"/>
  <c r="AF7" i="7" s="1"/>
  <c r="AD115" i="7"/>
  <c r="AD7" i="7" s="1"/>
  <c r="AB115" i="7"/>
  <c r="AB7" i="7" s="1"/>
  <c r="Z115" i="7"/>
  <c r="Z7" i="7" s="1"/>
  <c r="X115" i="7"/>
  <c r="X7" i="7" s="1"/>
  <c r="AO6" i="7"/>
  <c r="AB102" i="7"/>
  <c r="AM6" i="7"/>
  <c r="AL6" i="7"/>
  <c r="AJ6" i="7"/>
  <c r="AI6" i="7"/>
  <c r="AH6" i="7"/>
  <c r="AG6" i="7"/>
  <c r="Z6" i="7"/>
  <c r="X6" i="7"/>
  <c r="AP23" i="7"/>
  <c r="AN10" i="7"/>
  <c r="AO10" i="7"/>
  <c r="AN6" i="31"/>
  <c r="AO6" i="31"/>
  <c r="AN7" i="31"/>
  <c r="AO7" i="31"/>
  <c r="AN10" i="31"/>
  <c r="AO10" i="31"/>
  <c r="AN12" i="31"/>
  <c r="AO12" i="31"/>
  <c r="AD12" i="29"/>
  <c r="AK10" i="7"/>
  <c r="AL10" i="7"/>
  <c r="AM10" i="7"/>
  <c r="AK6" i="7"/>
  <c r="AJ10" i="7"/>
  <c r="AI10" i="7"/>
  <c r="AH10" i="7"/>
  <c r="AG10" i="7"/>
  <c r="AI7" i="29"/>
  <c r="AJ7" i="29"/>
  <c r="AK7" i="29"/>
  <c r="AL7" i="29"/>
  <c r="AI10" i="29"/>
  <c r="AJ10" i="29"/>
  <c r="AK10" i="29"/>
  <c r="AL10" i="29"/>
  <c r="AM10" i="29"/>
  <c r="AI12" i="29"/>
  <c r="AJ12" i="29"/>
  <c r="AK12" i="29"/>
  <c r="AL12" i="29"/>
  <c r="AN12" i="29" s="1"/>
  <c r="AO12" i="29" s="1"/>
  <c r="AP12" i="29" s="1"/>
  <c r="AH111" i="29"/>
  <c r="AH10" i="29" s="1"/>
  <c r="AG111" i="29"/>
  <c r="AG10" i="29" s="1"/>
  <c r="AF111" i="29"/>
  <c r="AF10" i="29" s="1"/>
  <c r="AD111" i="29"/>
  <c r="AD10" i="29" s="1"/>
  <c r="AB111" i="29"/>
  <c r="AB10" i="29" s="1"/>
  <c r="AF107" i="29"/>
  <c r="AF7" i="29" s="1"/>
  <c r="AD107" i="29"/>
  <c r="AD7" i="29" s="1"/>
  <c r="AB107" i="29"/>
  <c r="AB7" i="29" s="1"/>
  <c r="Z107" i="29"/>
  <c r="Z7" i="29" s="1"/>
  <c r="X107" i="29"/>
  <c r="X7" i="29" s="1"/>
  <c r="AM103" i="29"/>
  <c r="AL103" i="29"/>
  <c r="AK103" i="29"/>
  <c r="AK6" i="29" s="1"/>
  <c r="AJ94" i="29"/>
  <c r="AJ6" i="29" s="1"/>
  <c r="AI94" i="29"/>
  <c r="AI6" i="29" s="1"/>
  <c r="AH94" i="29"/>
  <c r="AH6" i="29" s="1"/>
  <c r="AG94" i="29"/>
  <c r="AG6" i="29" s="1"/>
  <c r="AF94" i="29"/>
  <c r="AF6" i="29" s="1"/>
  <c r="AD94" i="29"/>
  <c r="AD6" i="29" s="1"/>
  <c r="AB94" i="29"/>
  <c r="AB6" i="29" s="1"/>
  <c r="Z94" i="29"/>
  <c r="Z6" i="29" s="1"/>
  <c r="X94" i="29"/>
  <c r="X6" i="29" s="1"/>
  <c r="AH12" i="29"/>
  <c r="AG12" i="29"/>
  <c r="AF12" i="29"/>
  <c r="AB12" i="29"/>
  <c r="Z10" i="29"/>
  <c r="X10" i="29"/>
  <c r="AH7" i="29"/>
  <c r="AG7" i="29"/>
  <c r="AM12" i="31"/>
  <c r="AL12" i="31"/>
  <c r="AK12" i="31"/>
  <c r="AJ12" i="31"/>
  <c r="AM10" i="31"/>
  <c r="AL10" i="31"/>
  <c r="AK10" i="31"/>
  <c r="AJ10" i="31"/>
  <c r="AM7" i="31"/>
  <c r="AL7" i="31"/>
  <c r="AK7" i="31"/>
  <c r="AJ7" i="31"/>
  <c r="AM6" i="31"/>
  <c r="AL6" i="31"/>
  <c r="AK6" i="31"/>
  <c r="AJ6" i="31"/>
  <c r="AI12" i="31"/>
  <c r="AH12" i="31"/>
  <c r="AG12" i="31"/>
  <c r="AF12" i="31"/>
  <c r="AD12" i="31"/>
  <c r="AB12" i="31"/>
  <c r="Z12" i="31"/>
  <c r="X12" i="31"/>
  <c r="AI10" i="31"/>
  <c r="AH10" i="31"/>
  <c r="AG10" i="31"/>
  <c r="AF10" i="31"/>
  <c r="AD10" i="31"/>
  <c r="AB10" i="31"/>
  <c r="Z10" i="31"/>
  <c r="X10" i="31"/>
  <c r="AI7" i="31"/>
  <c r="AH7" i="31"/>
  <c r="AG7" i="31"/>
  <c r="AF7" i="31"/>
  <c r="AD7" i="31"/>
  <c r="AB7" i="31"/>
  <c r="Z7" i="31"/>
  <c r="X7" i="31"/>
  <c r="AI6" i="31"/>
  <c r="AH6" i="31"/>
  <c r="AG6" i="31"/>
  <c r="AF6" i="31"/>
  <c r="AD6" i="31"/>
  <c r="AB6" i="31"/>
  <c r="Z6" i="31"/>
  <c r="X6" i="31"/>
  <c r="AI6" i="16"/>
  <c r="AJ6" i="16"/>
  <c r="AK6" i="16"/>
  <c r="AL6" i="16"/>
  <c r="AM6" i="16"/>
  <c r="AI7" i="16"/>
  <c r="AJ7" i="16"/>
  <c r="AK7" i="16"/>
  <c r="AL7" i="16"/>
  <c r="AM7" i="16"/>
  <c r="AI10" i="16"/>
  <c r="AJ10" i="16"/>
  <c r="AK10" i="16"/>
  <c r="AL10" i="16"/>
  <c r="AI12" i="16"/>
  <c r="AJ12" i="16"/>
  <c r="AK12" i="16"/>
  <c r="AL12" i="16"/>
  <c r="AM12" i="16"/>
  <c r="AH12" i="16"/>
  <c r="AG12" i="16"/>
  <c r="AF12" i="16"/>
  <c r="AD12" i="16"/>
  <c r="AB12" i="16"/>
  <c r="Z12" i="16"/>
  <c r="X12" i="16"/>
  <c r="AH10" i="16"/>
  <c r="AG10" i="16"/>
  <c r="AF10" i="16"/>
  <c r="AD10" i="16"/>
  <c r="AB10" i="16"/>
  <c r="Z10" i="16"/>
  <c r="X10" i="16"/>
  <c r="AH7" i="16"/>
  <c r="AG7" i="16"/>
  <c r="AF7" i="16"/>
  <c r="AD7" i="16"/>
  <c r="AB7" i="16"/>
  <c r="Z7" i="16"/>
  <c r="X7" i="16"/>
  <c r="AH6" i="16"/>
  <c r="AG6" i="16"/>
  <c r="AF6" i="16"/>
  <c r="AD6" i="16"/>
  <c r="AB6" i="16"/>
  <c r="Z6" i="16"/>
  <c r="X6" i="16"/>
  <c r="AL94" i="29" l="1"/>
  <c r="AL6" i="29" s="1"/>
  <c r="AL8" i="29" s="1"/>
  <c r="AD8" i="29"/>
  <c r="AM6" i="29"/>
  <c r="AD102" i="7"/>
  <c r="AD99" i="7" s="1"/>
  <c r="AB99" i="7"/>
  <c r="AB6" i="7" s="1"/>
  <c r="AI8" i="29"/>
  <c r="AN6" i="7"/>
  <c r="AH8" i="29"/>
  <c r="AJ8" i="29"/>
  <c r="AB8" i="29"/>
  <c r="AK8" i="29"/>
  <c r="AD6" i="7"/>
  <c r="AF102" i="7"/>
  <c r="AG8" i="29"/>
  <c r="AF8" i="29"/>
  <c r="AN6" i="29" l="1"/>
  <c r="AO6" i="29" s="1"/>
  <c r="AM8" i="29"/>
  <c r="AF99" i="7"/>
  <c r="AF6" i="7" s="1"/>
  <c r="AN8" i="29"/>
  <c r="AP6" i="29" l="1"/>
  <c r="AP8" i="29" s="1"/>
  <c r="AO8"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Hosking</author>
  </authors>
  <commentList>
    <comment ref="B137" authorId="0" shapeId="0" xr:uid="{00000000-0006-0000-0000-000001000000}">
      <text>
        <r>
          <rPr>
            <b/>
            <sz val="9"/>
            <color indexed="81"/>
            <rFont val="Tahoma"/>
            <family val="2"/>
          </rPr>
          <t>Tsy:</t>
        </r>
        <r>
          <rPr>
            <sz val="9"/>
            <color indexed="81"/>
            <rFont val="Tahoma"/>
            <family val="2"/>
          </rPr>
          <t xml:space="preserve">
Note that tax expenditure on GST exemptions was introduced into the Tax Expenditure Statement in 2008. For this reason, tax breaks relating to GST exemptions are not available for prior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AH101" authorId="0" shapeId="0" xr:uid="{00000000-0006-0000-1400-000001000000}">
      <text>
        <r>
          <rPr>
            <b/>
            <sz val="9"/>
            <color indexed="81"/>
            <rFont val="Tahoma"/>
            <family val="2"/>
          </rPr>
          <t>FRON Pauline:</t>
        </r>
        <r>
          <rPr>
            <sz val="9"/>
            <color indexed="81"/>
            <rFont val="Tahoma"/>
            <family val="2"/>
          </rPr>
          <t xml:space="preserve">
info from Eurostat email Gemma sept 2014. data refer to 2012.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FRON Pauline</author>
    <author>Home</author>
    <author>Fron_P</author>
  </authors>
  <commentList>
    <comment ref="C99" authorId="0" shapeId="0" xr:uid="{00000000-0006-0000-1600-000001000000}">
      <text>
        <r>
          <rPr>
            <b/>
            <sz val="9"/>
            <color indexed="81"/>
            <rFont val="Tahoma"/>
            <family val="2"/>
          </rPr>
          <t>FRON Pauline:</t>
        </r>
        <r>
          <rPr>
            <sz val="9"/>
            <color indexed="81"/>
            <rFont val="Tahoma"/>
            <family val="2"/>
          </rPr>
          <t xml:space="preserve">
Let's Tax abatement for social welfare support be (A) and Tax abatement for non-profit corporation be (B). 
1. Large difference in (A) in 2014 (difference between 147 709M wons and 1 996 M wons) reflects the differences between provisional (2013/2014) and fixed (2015/2016) version.
2. In addition to the gap between provisional and fixed version, it is largely due to revisions in tax abatement law.  Some provisions under (A) (i.e. Reduction or Exemption for Motor Vehicles for Persons with Disabilities, Special Taxation for Medical Institutions for religious organizations, Reduction or Exemption for Welfare Facilities for Elderly Persons etc.) are re-classified into (B) since 2011. There will be the tendency of decreasing in (A), and increasing (B). 
</t>
        </r>
      </text>
    </comment>
    <comment ref="Z140" authorId="1" shapeId="0" xr:uid="{00000000-0006-0000-1600-000002000000}">
      <text>
        <r>
          <rPr>
            <b/>
            <sz val="9"/>
            <color indexed="81"/>
            <rFont val="Tahoma"/>
            <family val="2"/>
          </rPr>
          <t>Home:</t>
        </r>
        <r>
          <rPr>
            <sz val="9"/>
            <color indexed="81"/>
            <rFont val="Tahoma"/>
            <family val="2"/>
          </rPr>
          <t xml:space="preserve">
</t>
        </r>
        <r>
          <rPr>
            <sz val="9"/>
            <color indexed="81"/>
            <rFont val="Tahoma"/>
            <family val="2"/>
          </rPr>
          <t>Significant increase is due to the fact that benefit amount has been revised from 500 thousands won to 1million won.</t>
        </r>
      </text>
    </comment>
    <comment ref="AG140" authorId="1" shapeId="0" xr:uid="{00000000-0006-0000-1600-000003000000}">
      <text>
        <r>
          <rPr>
            <b/>
            <sz val="9"/>
            <color indexed="81"/>
            <rFont val="Tahoma"/>
            <family val="2"/>
          </rPr>
          <t>Fron_P:</t>
        </r>
        <r>
          <rPr>
            <sz val="9"/>
            <color indexed="81"/>
            <rFont val="Tahoma"/>
            <family val="2"/>
          </rPr>
          <t xml:space="preserve">
</t>
        </r>
        <r>
          <rPr>
            <sz val="9"/>
            <color indexed="81"/>
            <rFont val="Tahoma"/>
            <family val="2"/>
          </rPr>
          <t>Significant decline is due to the fact that  eligibility criteria has been revised from 65 to 70 years old</t>
        </r>
      </text>
    </comment>
    <comment ref="AG143" authorId="2" shapeId="0" xr:uid="{00000000-0006-0000-1600-000004000000}">
      <text>
        <r>
          <rPr>
            <b/>
            <sz val="8"/>
            <color indexed="81"/>
            <rFont val="Tahoma"/>
            <family val="2"/>
          </rPr>
          <t>Fron_P:</t>
        </r>
        <r>
          <rPr>
            <sz val="8"/>
            <color indexed="81"/>
            <rFont val="Tahoma"/>
            <family val="2"/>
          </rPr>
          <t xml:space="preserve">
</t>
        </r>
        <r>
          <rPr>
            <sz val="9"/>
            <color indexed="81"/>
            <rFont val="Tahoma"/>
            <family val="2"/>
          </rPr>
          <t>Significant decline is due to the fact that  eligibility criteria has been revised from 65 to 70 years old</t>
        </r>
      </text>
    </comment>
    <comment ref="X147" authorId="1" shapeId="0" xr:uid="{00000000-0006-0000-1600-000005000000}">
      <text>
        <r>
          <rPr>
            <b/>
            <sz val="9"/>
            <color indexed="81"/>
            <rFont val="Tahoma"/>
            <family val="2"/>
          </rPr>
          <t>Home:</t>
        </r>
        <r>
          <rPr>
            <sz val="9"/>
            <color indexed="81"/>
            <rFont val="Tahoma"/>
            <family val="2"/>
          </rPr>
          <t xml:space="preserve">
We can't separate the VAT exemption for the investment in safety facilities from the data</t>
        </r>
      </text>
    </comment>
    <comment ref="Z147" authorId="1" shapeId="0" xr:uid="{00000000-0006-0000-1600-000006000000}">
      <text>
        <r>
          <rPr>
            <b/>
            <sz val="9"/>
            <color indexed="81"/>
            <rFont val="Tahoma"/>
            <family val="2"/>
          </rPr>
          <t>Home:</t>
        </r>
        <r>
          <rPr>
            <sz val="9"/>
            <color indexed="81"/>
            <rFont val="Tahoma"/>
            <family val="2"/>
          </rPr>
          <t xml:space="preserve">
We can't separate the VAT exemption for the investment in safety facilities from the data</t>
        </r>
      </text>
    </comment>
    <comment ref="AB147" authorId="1" shapeId="0" xr:uid="{00000000-0006-0000-1600-000007000000}">
      <text>
        <r>
          <rPr>
            <b/>
            <sz val="9"/>
            <color indexed="81"/>
            <rFont val="Tahoma"/>
            <family val="2"/>
          </rPr>
          <t>Home:</t>
        </r>
        <r>
          <rPr>
            <sz val="9"/>
            <color indexed="81"/>
            <rFont val="Tahoma"/>
            <family val="2"/>
          </rPr>
          <t xml:space="preserve">
We can't separate the VAT exemption for the investment in safety facilities from the data</t>
        </r>
      </text>
    </comment>
    <comment ref="AD147" authorId="1" shapeId="0" xr:uid="{00000000-0006-0000-1600-000008000000}">
      <text>
        <r>
          <rPr>
            <b/>
            <sz val="9"/>
            <color indexed="81"/>
            <rFont val="Tahoma"/>
            <family val="2"/>
          </rPr>
          <t>Home:</t>
        </r>
        <r>
          <rPr>
            <sz val="9"/>
            <color indexed="81"/>
            <rFont val="돋움"/>
            <family val="3"/>
            <charset val="129"/>
          </rPr>
          <t xml:space="preserve">
We can't separate the VAT exemption for the investment in safety facilities from the data</t>
        </r>
      </text>
    </comment>
    <comment ref="AD149" authorId="1" shapeId="0" xr:uid="{00000000-0006-0000-1600-000009000000}">
      <text>
        <r>
          <rPr>
            <b/>
            <sz val="9"/>
            <color indexed="81"/>
            <rFont val="Tahoma"/>
            <family val="2"/>
          </rPr>
          <t>Home:</t>
        </r>
        <r>
          <rPr>
            <sz val="9"/>
            <color indexed="81"/>
            <rFont val="Tahoma"/>
            <family val="2"/>
          </rPr>
          <t xml:space="preserve">
</t>
        </r>
        <r>
          <rPr>
            <sz val="9"/>
            <color indexed="81"/>
            <rFont val="Tahoma"/>
            <family val="2"/>
          </rPr>
          <t>Significant increase is due to the fact that benefit amount has been revised from 1million won to 2million won.</t>
        </r>
      </text>
    </comment>
    <comment ref="AB162" authorId="1" shapeId="0" xr:uid="{00000000-0006-0000-1600-00000A000000}">
      <text>
        <r>
          <rPr>
            <b/>
            <sz val="9"/>
            <color indexed="81"/>
            <rFont val="Tahoma"/>
            <family val="2"/>
          </rPr>
          <t>Home:</t>
        </r>
        <r>
          <rPr>
            <sz val="9"/>
            <color indexed="81"/>
            <rFont val="Tahoma"/>
            <family val="2"/>
          </rPr>
          <t xml:space="preserve">
</t>
        </r>
        <r>
          <rPr>
            <sz val="9"/>
            <color indexed="81"/>
            <rFont val="Tahoma"/>
            <family val="2"/>
          </rPr>
          <t>Significant increase is due to the fact that benefit amount has been revised from 500 thousands won per child to 1million won.</t>
        </r>
      </text>
    </comment>
    <comment ref="AB177" authorId="1" shapeId="0" xr:uid="{00000000-0006-0000-1600-00000B000000}">
      <text>
        <r>
          <rPr>
            <b/>
            <sz val="9"/>
            <color indexed="81"/>
            <rFont val="Tahoma"/>
            <family val="2"/>
          </rPr>
          <t>Home:</t>
        </r>
        <r>
          <rPr>
            <sz val="9"/>
            <color indexed="81"/>
            <rFont val="Tahoma"/>
            <family val="2"/>
          </rPr>
          <t xml:space="preserve">
</t>
        </r>
        <r>
          <rPr>
            <sz val="9"/>
            <color indexed="81"/>
            <rFont val="돋움"/>
            <family val="3"/>
            <charset val="129"/>
          </rPr>
          <t>Significant increase is due to the fact that tax deduction rate has been increased from 3% of investment in the facilities to 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Frédéric Berger</author>
  </authors>
  <commentList>
    <comment ref="B19" authorId="0" shapeId="0" xr:uid="{00000000-0006-0000-1800-000001000000}">
      <text>
        <r>
          <rPr>
            <b/>
            <sz val="9"/>
            <color indexed="81"/>
            <rFont val="Tahoma"/>
            <family val="2"/>
          </rPr>
          <t>Frédéric Berger:</t>
        </r>
        <r>
          <rPr>
            <sz val="9"/>
            <color indexed="81"/>
            <rFont val="Tahoma"/>
            <family val="2"/>
          </rPr>
          <t xml:space="preserve">
AITR 2007 to 2017 have been revised due to the revision of the ESSPROS CORE module and the ESSPROS NET BENEFITS module from 2007 on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C96" authorId="0" shapeId="0" xr:uid="{00000000-0006-0000-1B00-000001000000}">
      <text>
        <r>
          <rPr>
            <b/>
            <sz val="9"/>
            <color indexed="81"/>
            <rFont val="Tahoma"/>
            <family val="2"/>
          </rPr>
          <t>FRON Pauline:</t>
        </r>
        <r>
          <rPr>
            <sz val="9"/>
            <color indexed="81"/>
            <rFont val="Tahoma"/>
            <family val="2"/>
          </rPr>
          <t xml:space="preserve">
Already in SOCX</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Szewczyk Nikodem</author>
  </authors>
  <commentList>
    <comment ref="AK99" authorId="0" shapeId="0" xr:uid="{563D1E22-4EB0-4E54-92F2-DB1FEB9E83A8}">
      <text>
        <r>
          <rPr>
            <b/>
            <sz val="9"/>
            <color indexed="81"/>
            <rFont val="Tahoma"/>
            <family val="2"/>
            <charset val="238"/>
          </rPr>
          <t>Szewczyk Nikodem:</t>
        </r>
        <r>
          <rPr>
            <sz val="9"/>
            <color indexed="81"/>
            <rFont val="Tahoma"/>
            <family val="2"/>
            <charset val="238"/>
          </rPr>
          <t xml:space="preserve">
For the years 2014-2020 the data comes from Fiscal Analysis Unit's estimations based on micro tax data.</t>
        </r>
      </text>
    </comment>
    <comment ref="AK100" authorId="0" shapeId="0" xr:uid="{613D6245-B672-4BD6-9F31-CCD8991034E5}">
      <text>
        <r>
          <rPr>
            <b/>
            <sz val="9"/>
            <color indexed="81"/>
            <rFont val="Tahoma"/>
            <family val="2"/>
            <charset val="238"/>
          </rPr>
          <t>Szewczyk Nikodem:</t>
        </r>
        <r>
          <rPr>
            <sz val="9"/>
            <color indexed="81"/>
            <rFont val="Tahoma"/>
            <family val="2"/>
            <charset val="238"/>
          </rPr>
          <t xml:space="preserve">
For the years 2014-2018 data comes from Ministry of Finance's official publication about preferential tax treatment. Since from 2019 onward this report is no longer published, for the years 2019-2020 data comes from Ministry of Finance's micro tax data.</t>
        </r>
      </text>
    </comment>
    <comment ref="AN102" authorId="0" shapeId="0" xr:uid="{D0E28717-4868-48F3-8A12-6326E4C30F99}">
      <text>
        <r>
          <rPr>
            <b/>
            <sz val="9"/>
            <color indexed="81"/>
            <rFont val="Tahoma"/>
            <family val="2"/>
            <charset val="238"/>
          </rPr>
          <t>Szewczyk Nikodem:</t>
        </r>
        <r>
          <rPr>
            <sz val="9"/>
            <color indexed="81"/>
            <rFont val="Tahoma"/>
            <family val="2"/>
            <charset val="238"/>
          </rPr>
          <t xml:space="preserve">
All data comes from official information on donations to approved NGOs published each year by Ministry of Finance (https://www.gov.pl/web/finanse/1-procent-podatku-dla-opp)</t>
        </r>
      </text>
    </comment>
    <comment ref="AN103" authorId="0" shapeId="0" xr:uid="{DF083025-5988-4C09-88E2-F48060A9F0CA}">
      <text>
        <r>
          <rPr>
            <b/>
            <sz val="9"/>
            <color indexed="81"/>
            <rFont val="Tahoma"/>
            <family val="2"/>
            <charset val="238"/>
          </rPr>
          <t>Szewczyk Nikodem:</t>
        </r>
        <r>
          <rPr>
            <sz val="9"/>
            <color indexed="81"/>
            <rFont val="Tahoma"/>
            <family val="2"/>
            <charset val="238"/>
          </rPr>
          <t xml:space="preserve">
For the years 2014-2018 data comes from Ministry of Finance's official publication about preferential tax treatment. Since from 2019 onward this report is no longer published, for the years 2019-2020 data comes from Fiscal Analysis Unit's estimations based on micro tax data.</t>
        </r>
      </text>
    </comment>
    <comment ref="AN104" authorId="0" shapeId="0" xr:uid="{38917763-BBF2-42CD-85CE-C923C7139D6C}">
      <text>
        <r>
          <rPr>
            <b/>
            <sz val="9"/>
            <color indexed="81"/>
            <rFont val="Tahoma"/>
            <family val="2"/>
            <charset val="238"/>
          </rPr>
          <t>Szewczyk Nikodem:</t>
        </r>
        <r>
          <rPr>
            <sz val="9"/>
            <color indexed="81"/>
            <rFont val="Tahoma"/>
            <family val="2"/>
            <charset val="238"/>
          </rPr>
          <t xml:space="preserve">
For the years 2014-2018 data comes from Ministry of Finance's official publication about preferential tax treatment. Since from 2019 onward this report is no longer published, for the years 2019-2020 data comes from Fiscal Analysis Unit's estimations based on micro tax data.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jremeta</author>
    <author>FRON Pauline</author>
    <author>ladaique_m</author>
    <author>Alexova Martina</author>
  </authors>
  <commentList>
    <comment ref="AD102" authorId="0" shapeId="0" xr:uid="{00000000-0006-0000-2000-000001000000}">
      <text>
        <r>
          <rPr>
            <b/>
            <sz val="8"/>
            <color indexed="81"/>
            <rFont val="Tahoma"/>
            <family val="2"/>
            <charset val="238"/>
          </rPr>
          <t>jremeta:</t>
        </r>
        <r>
          <rPr>
            <sz val="8"/>
            <color indexed="81"/>
            <rFont val="Tahoma"/>
            <family val="2"/>
            <charset val="238"/>
          </rPr>
          <t xml:space="preserve">
</t>
        </r>
        <r>
          <rPr>
            <sz val="10"/>
            <color indexed="81"/>
            <rFont val="Tahoma"/>
            <family val="2"/>
            <charset val="238"/>
          </rPr>
          <t>As we correctly understood, as of 2006 ESSPROS figures do not include data for non-wastable tax credit (probably due to the problem of assesment of its cash component as this part of tax credit should be taken into account). Due to this fact figures for tax credit should be taken into account for purpose of SOCX as from 2006 as they represent tax break for Social Purpose. Still we are unable to split tax credit</t>
        </r>
        <r>
          <rPr>
            <sz val="8"/>
            <color indexed="81"/>
            <rFont val="Tahoma"/>
            <family val="2"/>
            <charset val="238"/>
          </rPr>
          <t>.</t>
        </r>
      </text>
    </comment>
    <comment ref="AK102" authorId="1" shapeId="0" xr:uid="{00000000-0006-0000-2000-000002000000}">
      <text>
        <r>
          <rPr>
            <b/>
            <sz val="9"/>
            <color indexed="81"/>
            <rFont val="Tahoma"/>
            <family val="2"/>
          </rPr>
          <t>FRON Pauline:</t>
        </r>
        <r>
          <rPr>
            <sz val="9"/>
            <color indexed="81"/>
            <rFont val="Tahoma"/>
            <family val="2"/>
          </rPr>
          <t xml:space="preserve">
Have to be outside of the calculation since Payable tax credit -child tax credit  (Daňový bonus na dieťa) is included in Esspros since 2007</t>
        </r>
      </text>
    </comment>
    <comment ref="AT102" authorId="2" shapeId="0" xr:uid="{00000000-0006-0000-2000-000003000000}">
      <text>
        <r>
          <rPr>
            <b/>
            <sz val="8"/>
            <color indexed="81"/>
            <rFont val="Tahoma"/>
            <family val="2"/>
          </rPr>
          <t>ladaique_m:</t>
        </r>
        <r>
          <rPr>
            <sz val="8"/>
            <color indexed="81"/>
            <rFont val="Tahoma"/>
            <family val="2"/>
          </rPr>
          <t xml:space="preserve">
From: Angel.SIMON@ec.europa.eu [mailto:Angel.SIMON@ec.europa.eu] 
Sent: Monday, 07 July, 2008 14:36
To: LADAIQUE Maxime, ELS/SPD
Cc: HERRBACH Ingrid, ELS/SPD; Teresa.Bento@ec.europa.eu; Antonella.PUGLIA@ec.europa.eu; Maria-Liviana.MATTONETTI@ec.europa.eu
Subject: RE: ESSPROS data - Slovak Rep.
Dear Maxime,
The Slovakia ESSPROS figures (item 1151113) for years 2004 and 2005 include the non-wastable child tax credit that was introduced in year 2004.
According to the new methodology, the same item won't contain the tax credit value for year 2006.
In case you have further questions do not hesitate to contact me again.
Best Resgards,
Angel SIMON
________________________________________
From: Maxime.LADAIQUE@oecd.org [mailto:Maxime.LADAIQUE@oecd.org] 
Sent: Tuesday, June 24, 2008 12:45 PM
To: SIMON DELGADO Angel (ESTAT); Alexandra.PETRASOVA@ec.europa.eu
Cc: Ingrid.HERRBACH@oecd.org; BENTO Teresa (ESTAT); PUGLIA Antonella (ESTAT)
Subject: RE: ESSPROS data - Slovak Rep.
Angel, Alexandra,
Late but sincere thanks for your answer on Portugal.
I would have another question, on family allowances (1151113) in Slovak Republic. They have increased from 8.8 billion in 2003 to 14.7 billion in 2004 and 17.2 billion SK in 2005.
Would these ESSPROS figures include the (non wastable) child tax credit , which would have been created in 2005 (or 2004) – of 5.8 billion SK in 2005 (we received this figure as tax break in our Net Socx exercise).
Your answer would be appreciated.
Thanks
</t>
        </r>
      </text>
    </comment>
    <comment ref="AU102" authorId="0" shapeId="0" xr:uid="{00000000-0006-0000-2000-000004000000}">
      <text>
        <r>
          <rPr>
            <b/>
            <sz val="12"/>
            <color indexed="81"/>
            <rFont val="Tahoma"/>
            <family val="2"/>
          </rPr>
          <t>jremeta:</t>
        </r>
        <r>
          <rPr>
            <sz val="12"/>
            <color indexed="81"/>
            <rFont val="Tahoma"/>
            <family val="2"/>
          </rPr>
          <t xml:space="preserve">
Total amount of non-wastable child tax credit. Due to the way of its administration we are not able to split it into part that offsets tax liability and cash component. The same is applicable for 2005 figure.</t>
        </r>
      </text>
    </comment>
    <comment ref="AD131" authorId="3" shapeId="0" xr:uid="{00000000-0006-0000-2000-000005000000}">
      <text>
        <r>
          <rPr>
            <b/>
            <sz val="8"/>
            <color indexed="81"/>
            <rFont val="Tahoma"/>
            <family val="2"/>
            <charset val="238"/>
          </rPr>
          <t>Alexova Martina:</t>
        </r>
        <r>
          <rPr>
            <sz val="8"/>
            <color indexed="81"/>
            <rFont val="Tahoma"/>
            <family val="2"/>
            <charset val="238"/>
          </rPr>
          <t xml:space="preserve">
Previous figures from 2007 have been updated based on actual information</t>
        </r>
      </text>
    </comment>
    <comment ref="AF131" authorId="0" shapeId="0" xr:uid="{00000000-0006-0000-2000-000006000000}">
      <text>
        <r>
          <rPr>
            <b/>
            <sz val="8"/>
            <color indexed="81"/>
            <rFont val="Tahoma"/>
            <family val="2"/>
          </rPr>
          <t>jremeta:</t>
        </r>
        <r>
          <rPr>
            <sz val="8"/>
            <color indexed="81"/>
            <rFont val="Tahoma"/>
            <family val="2"/>
          </rPr>
          <t xml:space="preserve">
As of 2005 corresponds exatly to supplementary pension insurance, special-purpose savings and life insurance tax relief</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D140" authorId="0" shapeId="0" xr:uid="{00000000-0006-0000-2400-000001000000}">
      <text>
        <r>
          <rPr>
            <b/>
            <sz val="9"/>
            <color indexed="81"/>
            <rFont val="Tahoma"/>
            <family val="2"/>
          </rPr>
          <t>FRON Pauline:</t>
        </r>
        <r>
          <rPr>
            <sz val="9"/>
            <color indexed="81"/>
            <rFont val="Tahoma"/>
            <family val="2"/>
          </rPr>
          <t xml:space="preserve">
the effect on payroll tax receipts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Hong, Qing</author>
  </authors>
  <commentList>
    <comment ref="C133" authorId="0" shapeId="0" xr:uid="{00000000-0006-0000-0300-000001000000}">
      <text>
        <r>
          <rPr>
            <b/>
            <sz val="9"/>
            <color indexed="81"/>
            <rFont val="Tahoma"/>
            <family val="2"/>
          </rPr>
          <t>Hong, Qing:
Canada used to report donations by individuals as the PIT total for this meausre. Starting 2020, the Report on Federal Tax Expenditures presents information on personal income tax expenditures that are available to trusts. Trusts are deemed to be individuals for income tax purposes. 
As suggested by our OECD delegates, we are reporting in the two rows below, respectively, Donations by individuals (excluding donations of cultural property and ecologically sensitive land)(Row129) -- this is what Canada used to report -- and Donations by trusts(Row130). The current row -- Charitable Donation Tax Credit (excluding donations of cultural property and ecologically sensitive land)(Row128) -- is the sum of the aforementioned two.
The formula of the subtotal of this category -- Tax breaks to stimulate private social protection (not incluing pension)(Row125) -- has been changed accordingly.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Fron_P</author>
    <author>FRON Pauline</author>
  </authors>
  <commentList>
    <comment ref="AD12" authorId="0" shapeId="0" xr:uid="{00000000-0006-0000-0400-000001000000}">
      <text>
        <r>
          <rPr>
            <b/>
            <sz val="8"/>
            <color indexed="81"/>
            <rFont val="Tahoma"/>
            <family val="2"/>
          </rPr>
          <t>Fron_P:</t>
        </r>
        <r>
          <rPr>
            <sz val="8"/>
            <color indexed="81"/>
            <rFont val="Tahoma"/>
            <family val="2"/>
          </rPr>
          <t xml:space="preserve">
Estimation</t>
        </r>
      </text>
    </comment>
    <comment ref="AF12" authorId="0" shapeId="0" xr:uid="{00000000-0006-0000-0400-000002000000}">
      <text>
        <r>
          <rPr>
            <b/>
            <sz val="8"/>
            <color indexed="81"/>
            <rFont val="Tahoma"/>
            <family val="2"/>
          </rPr>
          <t>Fron_P:</t>
        </r>
        <r>
          <rPr>
            <sz val="8"/>
            <color indexed="81"/>
            <rFont val="Tahoma"/>
            <family val="2"/>
          </rPr>
          <t xml:space="preserve">
Estimation</t>
        </r>
      </text>
    </comment>
    <comment ref="AD103" authorId="1" shapeId="0" xr:uid="{00000000-0006-0000-0400-000004000000}">
      <text>
        <r>
          <rPr>
            <b/>
            <sz val="9"/>
            <color indexed="81"/>
            <rFont val="Tahoma"/>
            <family val="2"/>
          </rPr>
          <t>FRON Pauline:</t>
        </r>
        <r>
          <rPr>
            <sz val="9"/>
            <color indexed="81"/>
            <rFont val="Tahoma"/>
            <family val="2"/>
          </rPr>
          <t xml:space="preserve">
Esitmation of the cantonal TBSP *3 times hogher than the federal.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Danae Chandía O.</author>
  </authors>
  <commentList>
    <comment ref="C96" authorId="0" shapeId="0" xr:uid="{00000000-0006-0000-0500-000001000000}">
      <text>
        <r>
          <rPr>
            <sz val="9"/>
            <color indexed="81"/>
            <rFont val="Tahoma"/>
            <family val="2"/>
          </rPr>
          <t>For each child under 25 years of age studying in a state-recognised pre-school, elementary, special and/or secondary school institution, both parents are entitled to a tax credit for each child.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D.G.de Tributos</author>
  </authors>
  <commentList>
    <comment ref="AP26" authorId="0" shapeId="0" xr:uid="{00000000-0006-0000-0A00-000001000000}">
      <text>
        <r>
          <rPr>
            <b/>
            <sz val="9"/>
            <color indexed="81"/>
            <rFont val="Tahoma"/>
            <family val="2"/>
          </rPr>
          <t>D.G.de Tributos:</t>
        </r>
        <r>
          <rPr>
            <sz val="9"/>
            <color indexed="81"/>
            <rFont val="Tahoma"/>
            <family val="2"/>
          </rPr>
          <t xml:space="preserve">
Apparently, Temporary disability and Maternity Benefits data are missing so far?. We will be back to you in early September with a final answer. Sorry</t>
        </r>
      </text>
    </comment>
    <comment ref="AQ26" authorId="0" shapeId="0" xr:uid="{00000000-0006-0000-0A00-000002000000}">
      <text>
        <r>
          <rPr>
            <b/>
            <sz val="9"/>
            <color indexed="81"/>
            <rFont val="Tahoma"/>
            <family val="2"/>
          </rPr>
          <t>D.G.de Tributos:</t>
        </r>
        <r>
          <rPr>
            <sz val="9"/>
            <color indexed="81"/>
            <rFont val="Tahoma"/>
            <family val="2"/>
          </rPr>
          <t xml:space="preserve">
Apparently, Temporary disability and Maternity Benefits data are missing so far?. We will be back to you in early September with a final answer. Sorry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AF37" authorId="0" shapeId="0" xr:uid="{00000000-0006-0000-0C00-000001000000}">
      <text>
        <r>
          <rPr>
            <b/>
            <sz val="9"/>
            <color indexed="81"/>
            <rFont val="Tahoma"/>
            <family val="2"/>
          </rPr>
          <t>FRON Pauline:</t>
        </r>
        <r>
          <rPr>
            <sz val="9"/>
            <color indexed="81"/>
            <rFont val="Tahoma"/>
            <family val="2"/>
          </rPr>
          <t xml:space="preserve">
break in series resulting from a change in definition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LEBRUN, Caroline (DREES/SEEE/BACS)</author>
    <author>FRON Pauline</author>
    <author>CORAZZA, Eloïse (DREES/SEEE/BACS)</author>
  </authors>
  <commentList>
    <comment ref="AQ108" authorId="0" shapeId="0" xr:uid="{00000000-0006-0000-0D00-000001000000}">
      <text>
        <r>
          <rPr>
            <b/>
            <sz val="9"/>
            <color indexed="81"/>
            <rFont val="Tahoma"/>
            <family val="2"/>
          </rPr>
          <t>LEBRUN, Caroline (DREES/SEEE/BACS):</t>
        </r>
        <r>
          <rPr>
            <sz val="9"/>
            <color indexed="81"/>
            <rFont val="Tahoma"/>
            <family val="2"/>
          </rPr>
          <t xml:space="preserve">
probablement dernière année car suppression progressive TH</t>
        </r>
      </text>
    </comment>
    <comment ref="AG120" authorId="1" shapeId="0" xr:uid="{00000000-0006-0000-0D00-000002000000}">
      <text>
        <r>
          <rPr>
            <b/>
            <sz val="9"/>
            <color indexed="81"/>
            <rFont val="Tahoma"/>
            <family val="2"/>
          </rPr>
          <t>FRON Pauline:</t>
        </r>
        <r>
          <rPr>
            <sz val="9"/>
            <color indexed="81"/>
            <rFont val="Tahoma"/>
            <family val="2"/>
          </rPr>
          <t xml:space="preserve">
Estimation</t>
        </r>
      </text>
    </comment>
    <comment ref="AJ129" authorId="2" shapeId="0" xr:uid="{00000000-0006-0000-0D00-000003000000}">
      <text>
        <r>
          <rPr>
            <b/>
            <sz val="9"/>
            <color indexed="81"/>
            <rFont val="Tahoma"/>
            <family val="2"/>
          </rPr>
          <t>CORAZZA, Eloïse (DREES/SEEE/BACS):</t>
        </r>
        <r>
          <rPr>
            <sz val="9"/>
            <color indexed="81"/>
            <rFont val="Tahoma"/>
            <family val="2"/>
          </rPr>
          <t xml:space="preserve">
supprimé
</t>
        </r>
      </text>
    </comment>
    <comment ref="X132" authorId="1" shapeId="0" xr:uid="{00000000-0006-0000-0D00-000004000000}">
      <text>
        <r>
          <rPr>
            <b/>
            <sz val="9"/>
            <color indexed="81"/>
            <rFont val="Tahoma"/>
            <family val="2"/>
          </rPr>
          <t>FRON Pauline:</t>
        </r>
        <r>
          <rPr>
            <sz val="9"/>
            <color indexed="81"/>
            <rFont val="Tahoma"/>
            <family val="2"/>
          </rPr>
          <t xml:space="preserve">
from Thibault</t>
        </r>
      </text>
    </comment>
    <comment ref="AM132" authorId="2" shapeId="0" xr:uid="{00000000-0006-0000-0D00-000005000000}">
      <text>
        <r>
          <rPr>
            <b/>
            <sz val="9"/>
            <color indexed="81"/>
            <rFont val="Tahoma"/>
            <family val="2"/>
          </rPr>
          <t>CORAZZA, Eloïse (DREES/SEEE/BACS):</t>
        </r>
        <r>
          <rPr>
            <sz val="9"/>
            <color indexed="81"/>
            <rFont val="Tahoma"/>
            <family val="2"/>
          </rPr>
          <t xml:space="preserve">
supprimée c'est pour cela qu'il y a une telle rupture
</t>
        </r>
      </text>
    </comment>
    <comment ref="AQ142" authorId="0" shapeId="0" xr:uid="{00000000-0006-0000-0D00-000006000000}">
      <text>
        <r>
          <rPr>
            <b/>
            <sz val="9"/>
            <color indexed="81"/>
            <rFont val="Tahoma"/>
            <family val="2"/>
          </rPr>
          <t>LEBRUN, Caroline (DREES/SEEE/BACS):</t>
        </r>
        <r>
          <rPr>
            <sz val="9"/>
            <color indexed="81"/>
            <rFont val="Tahoma"/>
            <family val="2"/>
          </rPr>
          <t xml:space="preserve">
probablement dernière année car suppression progressive TH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FRON Pauline</author>
    <author>Ladaique_M</author>
  </authors>
  <commentList>
    <comment ref="AP6" authorId="0" shapeId="0" xr:uid="{00000000-0006-0000-0E00-000001000000}">
      <text>
        <r>
          <rPr>
            <b/>
            <sz val="9"/>
            <color indexed="81"/>
            <rFont val="Tahoma"/>
            <family val="2"/>
          </rPr>
          <t>FRON Pauline:</t>
        </r>
        <r>
          <rPr>
            <sz val="9"/>
            <color indexed="81"/>
            <rFont val="Tahoma"/>
            <family val="2"/>
          </rPr>
          <t xml:space="preserve">
estimation</t>
        </r>
      </text>
    </comment>
    <comment ref="AP94" authorId="0" shapeId="0" xr:uid="{00000000-0006-0000-0E00-000002000000}">
      <text>
        <r>
          <rPr>
            <b/>
            <sz val="9"/>
            <color indexed="81"/>
            <rFont val="Tahoma"/>
            <family val="2"/>
          </rPr>
          <t>FRON Pauline:</t>
        </r>
        <r>
          <rPr>
            <sz val="9"/>
            <color indexed="81"/>
            <rFont val="Tahoma"/>
            <family val="2"/>
          </rPr>
          <t xml:space="preserve">
Estimation</t>
        </r>
      </text>
    </comment>
    <comment ref="V97" authorId="1" shapeId="0" xr:uid="{00000000-0006-0000-0E00-000003000000}">
      <text>
        <r>
          <rPr>
            <b/>
            <sz val="8"/>
            <color indexed="81"/>
            <rFont val="Tahoma"/>
            <family val="2"/>
          </rPr>
          <t>Ladaique_M:</t>
        </r>
        <r>
          <rPr>
            <sz val="8"/>
            <color indexed="81"/>
            <rFont val="Tahoma"/>
            <family val="2"/>
          </rPr>
          <t xml:space="preserve">
was 1300 before tax/cash split estimation</t>
        </r>
      </text>
    </comment>
    <comment ref="V100" authorId="1" shapeId="0" xr:uid="{00000000-0006-0000-0E00-000004000000}">
      <text>
        <r>
          <rPr>
            <b/>
            <sz val="8"/>
            <color indexed="81"/>
            <rFont val="Tahoma"/>
            <family val="2"/>
          </rPr>
          <t>Ladaique_M:</t>
        </r>
        <r>
          <rPr>
            <sz val="8"/>
            <color indexed="81"/>
            <rFont val="Tahoma"/>
            <family val="2"/>
          </rPr>
          <t xml:space="preserve">
tax ready reckoner &amp; tax releifs, HM treasury nov2000</t>
        </r>
      </text>
    </comment>
    <comment ref="W100" authorId="1" shapeId="0" xr:uid="{00000000-0006-0000-0E00-000005000000}">
      <text>
        <r>
          <rPr>
            <b/>
            <sz val="8"/>
            <color indexed="81"/>
            <rFont val="Tahoma"/>
            <family val="2"/>
          </rPr>
          <t>Ladaique_M:</t>
        </r>
        <r>
          <rPr>
            <sz val="8"/>
            <color indexed="81"/>
            <rFont val="Tahoma"/>
            <family val="2"/>
          </rPr>
          <t xml:space="preserve">
tax ready reckoner &amp; tax releifs, HM treasury nov2000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Avi Lavon</author>
  </authors>
  <commentList>
    <comment ref="AN119" authorId="0" shapeId="0" xr:uid="{00000000-0006-0000-1300-000001000000}">
      <text>
        <r>
          <rPr>
            <b/>
            <sz val="9"/>
            <color indexed="81"/>
            <rFont val="Tahoma"/>
            <family val="2"/>
          </rPr>
          <t>Avi Lavon:</t>
        </r>
        <r>
          <rPr>
            <sz val="9"/>
            <color indexed="81"/>
            <rFont val="Tahoma"/>
            <family val="2"/>
          </rPr>
          <t xml:space="preserve">
The estimate in the TaxExp budget was 21400 because since 2017 we included the tax benefits on the employer's contribution to severance pay. In a mail on 08/02/2018 Willem Adema asked not to include the severance pay tax benefit. The 15000 number includes only the pension tax break.</t>
        </r>
      </text>
    </comment>
  </commentList>
</comments>
</file>

<file path=xl/sharedStrings.xml><?xml version="1.0" encoding="utf-8"?>
<sst xmlns="http://schemas.openxmlformats.org/spreadsheetml/2006/main" count="5615" uniqueCount="1974">
  <si>
    <t>SLOVENIA</t>
  </si>
  <si>
    <t>Millions of Euros</t>
  </si>
  <si>
    <t>total 1</t>
  </si>
  <si>
    <t>1 = similar to cash benefits</t>
  </si>
  <si>
    <t>total 2</t>
  </si>
  <si>
    <t>2 = TBSPs aimed at stim. current private benefits</t>
  </si>
  <si>
    <t>total 1 + 2</t>
  </si>
  <si>
    <t>Tax break for pensions</t>
  </si>
  <si>
    <t>Tax breaks towards family</t>
  </si>
  <si>
    <r>
      <t xml:space="preserve">Table Annex 
Detailed information on the impact of the tax system on social expenditure </t>
    </r>
    <r>
      <rPr>
        <i/>
        <sz val="10"/>
        <rFont val="Times New Roman"/>
        <family val="1"/>
      </rPr>
      <t>(cont.)</t>
    </r>
  </si>
  <si>
    <t>A. Amount of tax  (including soc. sec. cont.) paid (in million national currency)</t>
  </si>
  <si>
    <t>Old-age cash benefits (1 +3)</t>
  </si>
  <si>
    <t xml:space="preserve"> - public pensions </t>
  </si>
  <si>
    <t xml:space="preserve"> - private pensions</t>
  </si>
  <si>
    <t>Incapacity-related benefits</t>
  </si>
  <si>
    <t xml:space="preserve"> - Disability pensions</t>
  </si>
  <si>
    <t xml:space="preserve"> - Occupational Injury benefits</t>
  </si>
  <si>
    <t xml:space="preserve"> - Sickness payments</t>
  </si>
  <si>
    <t xml:space="preserve">Source: </t>
  </si>
  <si>
    <t>Total tax paid (including soc. sec. cont.) over transfer income on</t>
  </si>
  <si>
    <t>Pensions from compulsory disability and pension insurance</t>
  </si>
  <si>
    <t>Compenstions from compulsory disability and pension insurance</t>
  </si>
  <si>
    <t xml:space="preserve">Compenstions and other income from compulsory social insurance </t>
  </si>
  <si>
    <t>Recognition allowances</t>
  </si>
  <si>
    <t>Total</t>
  </si>
  <si>
    <t>Source: Statistical Office of the Republic of Slovenia (SURS); Income tax database</t>
  </si>
  <si>
    <t>B. Average implicit indirect tax rates of consumption out of benefit income</t>
  </si>
  <si>
    <t>Indirect taxes paid out of consumption of cash transfers, in millions of euros</t>
  </si>
  <si>
    <t>(1)</t>
  </si>
  <si>
    <t>Private final consumption expenditure</t>
  </si>
  <si>
    <t>(2)</t>
  </si>
  <si>
    <t>Private consumption plus Government consumption minus Government wages</t>
  </si>
  <si>
    <t>(3)</t>
  </si>
  <si>
    <t>General consumption taxes plus excise duties (5110+5121)</t>
  </si>
  <si>
    <t xml:space="preserve">   5110 General taxes</t>
  </si>
  <si>
    <t xml:space="preserve">   5121 Excises</t>
  </si>
  <si>
    <t>(4)</t>
  </si>
  <si>
    <t xml:space="preserve">Taxes on production sale transfer (5100) </t>
  </si>
  <si>
    <t>(5)</t>
  </si>
  <si>
    <t>Taxes on Goods and Services (5000)</t>
  </si>
  <si>
    <t xml:space="preserve">     Implicit average indirect tax rate on consumption out of benefit income:</t>
  </si>
  <si>
    <t>(6)</t>
  </si>
  <si>
    <t xml:space="preserve">  using general consumption taxes plus excise duties (3)/(2)</t>
  </si>
  <si>
    <t>(7)</t>
  </si>
  <si>
    <t xml:space="preserve">  using a broad concept of the indirect tax base (5)/(2)</t>
  </si>
  <si>
    <t>(8)</t>
  </si>
  <si>
    <t xml:space="preserve">  using a broad concept of the indirect tax base and ignoring government consumpion (5)/(1)</t>
  </si>
  <si>
    <t>Source: OECD on-line National Accounts database (http://stats.oecd.org/Index.aspx?DataSetCode=SNA_TABLE1) for lines 1 and 2; and OECD Revenue Statistics database (http://stats.oecd.org/Index.aspx?DataSetCode=REV) for lines 3, 4, and 5.</t>
  </si>
  <si>
    <t>C. Tax breaks for social purposes (in millions of euros)</t>
  </si>
  <si>
    <t>Tax breaks similar to cash benefits</t>
  </si>
  <si>
    <t>Family:</t>
  </si>
  <si>
    <t>Tax allowance according to Motor Vehicle Tax</t>
  </si>
  <si>
    <t>The use of road motor vehicles for families with three or more children may be exempted from payment of Motor Vehicles Tax.</t>
  </si>
  <si>
    <t>Allowances from the tax base (social insurance contributions are deductible from the tax base)</t>
  </si>
  <si>
    <t xml:space="preserve">Family: </t>
  </si>
  <si>
    <r>
      <t>For information only as already reported in SOCX: Family allowances</t>
    </r>
    <r>
      <rPr>
        <vertAlign val="superscript"/>
        <sz val="10"/>
        <rFont val="Times New Roman"/>
        <family val="1"/>
      </rPr>
      <t>8</t>
    </r>
  </si>
  <si>
    <t>Other areas:</t>
  </si>
  <si>
    <r>
      <t xml:space="preserve">Seniority allowance for the resident older than 65 years of age </t>
    </r>
    <r>
      <rPr>
        <vertAlign val="superscript"/>
        <sz val="10"/>
        <rFont val="Times New Roman"/>
        <family val="1"/>
        <charset val="238"/>
      </rPr>
      <t>12</t>
    </r>
  </si>
  <si>
    <t>Disabled person’s allowance</t>
  </si>
  <si>
    <t>Tax allowance for disabled employees9</t>
  </si>
  <si>
    <t>For information only: these items are not included in the sum of TBSPs as that constitute a double counting with the calculations on Average Direct Tax Rates over benefit income</t>
  </si>
  <si>
    <t>Tax exemptions according to PIT</t>
  </si>
  <si>
    <t>Transfers to the unemployed</t>
  </si>
  <si>
    <r>
      <t>Family benefits and parental compensations</t>
    </r>
    <r>
      <rPr>
        <vertAlign val="superscript"/>
        <sz val="10"/>
        <rFont val="Times New Roman"/>
        <family val="1"/>
      </rPr>
      <t>4</t>
    </r>
  </si>
  <si>
    <r>
      <t>Social security transfers</t>
    </r>
    <r>
      <rPr>
        <vertAlign val="superscript"/>
        <sz val="10"/>
        <rFont val="Times New Roman"/>
        <family val="1"/>
      </rPr>
      <t>5</t>
    </r>
  </si>
  <si>
    <r>
      <t>Transfers made to War disabled, war veterans and war victims</t>
    </r>
    <r>
      <rPr>
        <vertAlign val="superscript"/>
        <sz val="10"/>
        <rFont val="Times New Roman"/>
        <family val="1"/>
      </rPr>
      <t>6</t>
    </r>
  </si>
  <si>
    <r>
      <t>Subsidies pertaining to young families as an incentive for them to find their first home</t>
    </r>
    <r>
      <rPr>
        <vertAlign val="superscript"/>
        <sz val="10"/>
        <rFont val="Times New Roman"/>
        <family val="1"/>
      </rPr>
      <t>7</t>
    </r>
  </si>
  <si>
    <r>
      <t>Assistance and receipts provided by the state and self-governing local communities to those socially at risk</t>
    </r>
    <r>
      <rPr>
        <vertAlign val="superscript"/>
        <sz val="10"/>
        <rFont val="Times New Roman"/>
        <family val="1"/>
      </rPr>
      <t>7</t>
    </r>
  </si>
  <si>
    <r>
      <t>Assistance received by socially or otherwise at-risk persons from humanitarian organisations.</t>
    </r>
    <r>
      <rPr>
        <vertAlign val="superscript"/>
        <sz val="10"/>
        <rFont val="Times New Roman"/>
        <family val="1"/>
      </rPr>
      <t>7</t>
    </r>
  </si>
  <si>
    <r>
      <t>Assistance received by persons in need of assistance from charitable institutions.</t>
    </r>
    <r>
      <rPr>
        <vertAlign val="superscript"/>
        <sz val="10"/>
        <rFont val="Times New Roman"/>
        <family val="1"/>
      </rPr>
      <t>7</t>
    </r>
  </si>
  <si>
    <r>
      <t>Compulsory social security contributions paid by Slovenia or a self-governing local community.</t>
    </r>
    <r>
      <rPr>
        <vertAlign val="superscript"/>
        <sz val="10"/>
        <rFont val="Times New Roman"/>
        <family val="1"/>
      </rPr>
      <t>7</t>
    </r>
  </si>
  <si>
    <t xml:space="preserve"> - Value of non-wastable tax credits for children off-set against tax 
          liabilities (e,g. EITC, WFTC, etc.)</t>
  </si>
  <si>
    <t xml:space="preserve"> - Childcare expense deduction</t>
  </si>
  <si>
    <t xml:space="preserve"> - Healthcare expense deduction</t>
  </si>
  <si>
    <t xml:space="preserve"> - Rebate for taxpayers supporting care-needing relatives</t>
  </si>
  <si>
    <t xml:space="preserve"> - Adoption assistance</t>
  </si>
  <si>
    <t xml:space="preserve"> - Additional personal allowance for one-parent families</t>
  </si>
  <si>
    <r>
      <t xml:space="preserve"> - Value of revenue foregone because of including children in the tax unit </t>
    </r>
    <r>
      <rPr>
        <i/>
        <vertAlign val="superscript"/>
        <sz val="10"/>
        <rFont val="Times New Roman"/>
        <family val="1"/>
      </rPr>
      <t>3</t>
    </r>
  </si>
  <si>
    <t>Tax breaks to stimulate private social protection (not including pensions)</t>
  </si>
  <si>
    <t>Tax allowance according to Corporate Income Tax</t>
  </si>
  <si>
    <r>
      <t xml:space="preserve">Tax allowance for disabled employees </t>
    </r>
    <r>
      <rPr>
        <b/>
        <vertAlign val="superscript"/>
        <sz val="10"/>
        <rFont val="Times New Roman"/>
        <family val="1"/>
        <charset val="238"/>
      </rPr>
      <t>9</t>
    </r>
  </si>
  <si>
    <r>
      <t>Relief for voluntary supplementary pension insurance</t>
    </r>
    <r>
      <rPr>
        <b/>
        <vertAlign val="superscript"/>
        <sz val="10"/>
        <rFont val="Times New Roman"/>
        <family val="1"/>
        <charset val="238"/>
      </rPr>
      <t>10</t>
    </r>
  </si>
  <si>
    <r>
      <t>Additional voluntary pension insurance premiums</t>
    </r>
    <r>
      <rPr>
        <b/>
        <vertAlign val="superscript"/>
        <sz val="10"/>
        <rFont val="Times New Roman"/>
        <family val="1"/>
        <charset val="238"/>
      </rPr>
      <t>11</t>
    </r>
  </si>
  <si>
    <t>Examples</t>
  </si>
  <si>
    <t xml:space="preserve"> - Exclusion of contributions to health and accident insurance</t>
  </si>
  <si>
    <t xml:space="preserve"> - Exclusion of employer-provided health coverage, 
     Occupational accident insurance, Childcare support, survivor benefits, etc.</t>
  </si>
  <si>
    <t xml:space="preserve"> - Donations to (approved) NGOs</t>
  </si>
  <si>
    <t xml:space="preserve"> - Expenses to remove architectural barriers to the handicapped</t>
  </si>
  <si>
    <t xml:space="preserve"> - Low-Income housing investment</t>
  </si>
  <si>
    <t xml:space="preserve"> - Reductions of social security contributions for employers hiring 
    disadvantaged groups (long-term unemployed, disabled)</t>
  </si>
  <si>
    <t>Memorandum Items</t>
  </si>
  <si>
    <t>Tax breaks for pensions</t>
  </si>
  <si>
    <r>
      <t xml:space="preserve">Tax breaks to pensions </t>
    </r>
    <r>
      <rPr>
        <i/>
        <vertAlign val="superscript"/>
        <sz val="10"/>
        <rFont val="Times New Roman"/>
        <family val="1"/>
      </rPr>
      <t>2</t>
    </r>
  </si>
  <si>
    <t xml:space="preserve"> - Deduction of contributions to private pensions (e.g occupational pension plans, individual retirement accounts, RRSPs, Superannuation, etc) </t>
  </si>
  <si>
    <t xml:space="preserve"> - Non-taxation of investment of private pension funds</t>
  </si>
  <si>
    <t xml:space="preserve">2) Taxpayers receiving pensions (and some other benefits) paid by Pension and disability insurance fund of the Republic of  Slovenia are offered a tax credit worth 13.5% of pension received. </t>
  </si>
  <si>
    <t>2) The data for all the informations in this table regarding the tax exemptions and allowances in PIT are based upon the tax assessment for a particular year. Regarding this we should mention that from 2015 all the taxpayer receive tax assessment, because of that the number of taxpayers together with the tax expenditure has increased comparising with previous years.</t>
  </si>
  <si>
    <t>Source: Ministry of Finance, Slovenia</t>
  </si>
  <si>
    <r>
      <t xml:space="preserve">1)  Examples are in </t>
    </r>
    <r>
      <rPr>
        <i/>
        <sz val="9"/>
        <rFont val="Times New Roman"/>
        <family val="1"/>
      </rPr>
      <t>Italics</t>
    </r>
    <r>
      <rPr>
        <sz val="9"/>
        <rFont val="Times New Roman"/>
        <family val="1"/>
      </rPr>
      <t>.</t>
    </r>
  </si>
  <si>
    <t xml:space="preserve">2)  In order to avoid double counting it is essential, that age allowances or other relevant fiscal measures that were accounted for in the calculation of the Average Itemised Tax Rates are not included here again.  </t>
  </si>
  <si>
    <t>3)  National tax systems can benefit married couples and their children by including spouses (and/or partners) and children in the tax unit. As support for children is considered a social purpose, fiscal support to children because their inclusion in the tax unit is considered a TBSP.  However, (fiscal) benefits to married persons are not deemed to be part of the social domain (the presence of dependent children leads to eligibility to cash benefits in social protection systems, whereas a marriage contract does not).  National authorities are asked to indicate the value of revenue foregone of including children in the tax unit.</t>
  </si>
  <si>
    <t>4) Family benefits and parental compensations includes: child allowances, special supplement for child care, special supplement for the big family, aid for equipment of newborn,payments for maternity leave, fathers' compensation, compensation  for child nursing, adoptive parents' compensation.</t>
  </si>
  <si>
    <t>5) Social security transfers includes: social allowance, special supplement for the care of disabled persons, health insurance contributions for disadvantaged persons, health insurance contributions for disabled persons, special supplement for soldier's families, other social care and security allowances.</t>
  </si>
  <si>
    <t>6) Transfers made to War disabled, war veterans and war victims includes: allowances for war invalids, allowances for war veterans,  allowances for war victims, special benefits for war veterans and invalids, allowances for health care of war invalids and spas.</t>
  </si>
  <si>
    <t>7) Data are not available</t>
  </si>
  <si>
    <t>8) Family allowances: granted to residents who are supporting their family members (for the dependent child, for a dependent child who requires special care; for any other dependent family member)</t>
  </si>
  <si>
    <t xml:space="preserve">9) A taxpayer that employs disabled persons under the Act regulating the vocational rehabilitation and employment of disabled persons may claim a reduction in the taxable base in the amount of 50% of the salaries of such persons, but not exceeding the amount of the taxable base, whilst a taxpayer that employs disabled persons with 100% physical disability or deaf persons may claim a reduction in the taxable base in the amount of 70% of the salaries of such persons, but not exceeding the amount of the taxable base. A taxpayer that employs disabled persons above the prescribed quota, their disability not being the consequence of a workplace injury or occupational disease at the same employer, may claim a reduction in the taxable base in the amount of 70% of the salaries of such persons, but not exceeding the amount of the taxable base. </t>
  </si>
  <si>
    <t>12) The seniority allowance for the resident older than 65 years of age was abolished from 1 st of January 2013</t>
  </si>
  <si>
    <t>DENMARK</t>
  </si>
  <si>
    <t>Millions of Danish kroner</t>
  </si>
  <si>
    <t>Tax breaks for pension</t>
  </si>
  <si>
    <t>A. Average Itemised Tax Rates  - AITR %</t>
  </si>
  <si>
    <t>Tax</t>
  </si>
  <si>
    <t>Social security</t>
  </si>
  <si>
    <t>Tax and Social security</t>
  </si>
  <si>
    <t>Social pension</t>
  </si>
  <si>
    <t>- state old age pension</t>
  </si>
  <si>
    <t>26.54</t>
  </si>
  <si>
    <t>26.40</t>
  </si>
  <si>
    <t>('98%')</t>
  </si>
  <si>
    <t>26.52</t>
  </si>
  <si>
    <t>26.27</t>
  </si>
  <si>
    <t>27.00</t>
  </si>
  <si>
    <t>- disability pension</t>
  </si>
  <si>
    <t>27.08</t>
  </si>
  <si>
    <t>27.05</t>
  </si>
  <si>
    <t>('89 %')</t>
  </si>
  <si>
    <t>27.30</t>
  </si>
  <si>
    <t>('90 %')</t>
  </si>
  <si>
    <t>27.21</t>
  </si>
  <si>
    <t>27.89</t>
  </si>
  <si>
    <t>- anticipated old age pension</t>
  </si>
  <si>
    <t>23.06</t>
  </si>
  <si>
    <t>22.78</t>
  </si>
  <si>
    <t>('76%')</t>
  </si>
  <si>
    <t>23.07</t>
  </si>
  <si>
    <t>('76 %')</t>
  </si>
  <si>
    <t>23.99</t>
  </si>
  <si>
    <t>Somewhat higher (new fully taxable scheme included here)</t>
  </si>
  <si>
    <t>Supplementary pensions (ATP)</t>
  </si>
  <si>
    <t>28.95</t>
  </si>
  <si>
    <t>28.57</t>
  </si>
  <si>
    <t>28.45</t>
  </si>
  <si>
    <t>28.13</t>
  </si>
  <si>
    <t>28.71</t>
  </si>
  <si>
    <t>Civil servants pension</t>
  </si>
  <si>
    <t>33.31</t>
  </si>
  <si>
    <t>31.98</t>
  </si>
  <si>
    <t>31.97</t>
  </si>
  <si>
    <t>31.44</t>
  </si>
  <si>
    <t>31.70</t>
  </si>
  <si>
    <t>Early retirement pensions (Delpension)</t>
  </si>
  <si>
    <t>Sickness benefit</t>
  </si>
  <si>
    <t>33.43</t>
  </si>
  <si>
    <t>32.84</t>
  </si>
  <si>
    <t>32.67</t>
  </si>
  <si>
    <t>29.97</t>
  </si>
  <si>
    <t>29.92</t>
  </si>
  <si>
    <t>Parental leave</t>
  </si>
  <si>
    <t>29.78</t>
  </si>
  <si>
    <t>28.32</t>
  </si>
  <si>
    <t>-'</t>
  </si>
  <si>
    <t>Unemployment benefits</t>
  </si>
  <si>
    <t>30.22</t>
  </si>
  <si>
    <t>29.69</t>
  </si>
  <si>
    <t>29.96</t>
  </si>
  <si>
    <t>26.11</t>
  </si>
  <si>
    <t>26.64</t>
  </si>
  <si>
    <t>Early retirement benefits</t>
  </si>
  <si>
    <t>29.59</t>
  </si>
  <si>
    <t>29.7</t>
  </si>
  <si>
    <t>26.95</t>
  </si>
  <si>
    <t>27.68</t>
  </si>
  <si>
    <t>Occupational accidents - except:</t>
  </si>
  <si>
    <t>32.70</t>
  </si>
  <si>
    <t>36.20</t>
  </si>
  <si>
    <t>32.82</t>
  </si>
  <si>
    <t>31.13</t>
  </si>
  <si>
    <t>31.93</t>
  </si>
  <si>
    <t xml:space="preserve">   Occupational accidents and decease (10.3.1.3.1)</t>
  </si>
  <si>
    <t>33.89</t>
  </si>
  <si>
    <t>32.12</t>
  </si>
  <si>
    <t>32.29</t>
  </si>
  <si>
    <t>31.95</t>
  </si>
  <si>
    <t>32.18</t>
  </si>
  <si>
    <t xml:space="preserve">   War victims, accidents, sailors (10.3.1.5.5)</t>
  </si>
  <si>
    <t>31.21</t>
  </si>
  <si>
    <t xml:space="preserve">   Handicapped children and adults (10.3.1.5.4)</t>
  </si>
  <si>
    <t>38.04</t>
  </si>
  <si>
    <t>36.99</t>
  </si>
  <si>
    <t>37.03</t>
  </si>
  <si>
    <t>35.02</t>
  </si>
  <si>
    <t>34.22</t>
  </si>
  <si>
    <t>Survivors</t>
  </si>
  <si>
    <t>Childbirth benefit (barsel)</t>
  </si>
  <si>
    <t>34.35</t>
  </si>
  <si>
    <t>33.94</t>
  </si>
  <si>
    <t>34.09</t>
  </si>
  <si>
    <t>31.57</t>
  </si>
  <si>
    <t>31.25</t>
  </si>
  <si>
    <t>Items under active labour market policy</t>
  </si>
  <si>
    <t xml:space="preserve"> - Measures by regional labour market councils</t>
  </si>
  <si>
    <t>23.75</t>
  </si>
  <si>
    <t>23.24</t>
  </si>
  <si>
    <t>23.70</t>
  </si>
  <si>
    <t>25.05</t>
  </si>
  <si>
    <t>24.21</t>
  </si>
  <si>
    <t>2003 adjusted because of error</t>
  </si>
  <si>
    <t xml:space="preserve"> - Employment measures for disabled</t>
  </si>
  <si>
    <t>28.50</t>
  </si>
  <si>
    <t>29.31</t>
  </si>
  <si>
    <t>29.55</t>
  </si>
  <si>
    <t>28.49</t>
  </si>
  <si>
    <t>Other, war victims</t>
  </si>
  <si>
    <t>32.78</t>
  </si>
  <si>
    <t>31.55</t>
  </si>
  <si>
    <t>('87%')</t>
  </si>
  <si>
    <t>31.41</t>
  </si>
  <si>
    <t>27.20</t>
  </si>
  <si>
    <t>25.39</t>
  </si>
  <si>
    <t>Other, wage earn. Guar. Fond.</t>
  </si>
  <si>
    <t>37.73</t>
  </si>
  <si>
    <t>37.46</t>
  </si>
  <si>
    <t>37.87</t>
  </si>
  <si>
    <t>34.45</t>
  </si>
  <si>
    <t>Cash payments to refugees (10.9.1.2.1)</t>
  </si>
  <si>
    <t xml:space="preserve">4.73 </t>
  </si>
  <si>
    <t>6.12</t>
  </si>
  <si>
    <t>9.31</t>
  </si>
  <si>
    <t>9.2</t>
  </si>
  <si>
    <t>Low income</t>
  </si>
  <si>
    <t>Transfers taxed as wages</t>
  </si>
  <si>
    <t>In parentheses: proportion of spending subject to taxation if not 100%.</t>
  </si>
  <si>
    <t>Indirect taxes paid out of consumption of cash transfers, in millions Danish kroner</t>
  </si>
  <si>
    <t xml:space="preserve"> </t>
  </si>
  <si>
    <t>C. Tax breaks for social purposes (in millions of Danish kroner)</t>
  </si>
  <si>
    <t>Supplement for older people "Engangsbelob" (67+)</t>
  </si>
  <si>
    <t>..</t>
  </si>
  <si>
    <t>Capital tax reduction for older people (67+)</t>
  </si>
  <si>
    <t xml:space="preserve">Housing for older people "Plejehjem" </t>
  </si>
  <si>
    <t>Memorandum item</t>
  </si>
  <si>
    <t>Source: Ministry of Finance, Denmark.</t>
  </si>
  <si>
    <t>AUSTRIA</t>
  </si>
  <si>
    <t>A. Average Itemised Tax Rates  (AITR %)</t>
  </si>
  <si>
    <t xml:space="preserve">Source: Ministry of Finance (Bundesministerium fur Finanzen), Wage Tax Statistics </t>
  </si>
  <si>
    <t>Tax credits for one-parent families ("Alleinerzieherabsetzbetrag")</t>
  </si>
  <si>
    <t xml:space="preserve">Appliances for the disabled (Steuerbefreiung für Kfz für Körperbehinderte) § 2 (1) Z 12 KfzStG und § 4 (3) Z 9 VersStG </t>
  </si>
  <si>
    <t>Special tax relief (Außergewöhnliche Belastungen) § 35</t>
  </si>
  <si>
    <t>Tax measures to stimulate private social protection (including pensions)</t>
  </si>
  <si>
    <t>Contributions to health, accident and pension insurance (Versicherungsbeiträge) § 18 Abs. 1 Z 2</t>
  </si>
  <si>
    <t>n/a</t>
  </si>
  <si>
    <t xml:space="preserve"> - Deduction of contributions to private pension insurances or funds as "special expenses"</t>
  </si>
  <si>
    <t xml:space="preserve"> - Premium (payable tax credit) for contributions to pension funds</t>
  </si>
  <si>
    <t>Source:  Budget Accounts, Foerderungsbericht, Ministry of Finance, Austria.</t>
  </si>
  <si>
    <t>BELGIUM</t>
  </si>
  <si>
    <t>Millions Euros</t>
  </si>
  <si>
    <t>incl. active childcare tax credit</t>
  </si>
  <si>
    <t>active employment</t>
  </si>
  <si>
    <r>
      <t>Table Annex
Detailed information on the impact of the tax system on social expenditure</t>
    </r>
    <r>
      <rPr>
        <i/>
        <sz val="10"/>
        <rFont val="Times New Roman"/>
        <family val="1"/>
      </rPr>
      <t xml:space="preserve"> (cont.)</t>
    </r>
  </si>
  <si>
    <t>A. Amount of direct tax paid on benefit income (in millions of euros)</t>
  </si>
  <si>
    <t>A.Taxes paid on transfer income (A1 minus A2 , then adding local tax rate *)</t>
  </si>
  <si>
    <t>Pensions: PIT</t>
  </si>
  <si>
    <t>Sickness: PIT</t>
  </si>
  <si>
    <t>Early retirement: PIT</t>
  </si>
  <si>
    <t>Unemployment benefits: PIT</t>
  </si>
  <si>
    <t>Total PIT (A1)</t>
  </si>
  <si>
    <t xml:space="preserve"> - Pensions: tax credit</t>
  </si>
  <si>
    <t xml:space="preserve"> - Sickness: tax credit</t>
  </si>
  <si>
    <t xml:space="preserve"> - Early retirement: tax credit</t>
  </si>
  <si>
    <t>-</t>
  </si>
  <si>
    <t xml:space="preserve"> - Unemployment benefits: tax credit</t>
  </si>
  <si>
    <t xml:space="preserve"> - Others </t>
  </si>
  <si>
    <t>Total tax credits (A2)</t>
  </si>
  <si>
    <t>Local tax rate</t>
  </si>
  <si>
    <t>B. Social security contributions</t>
  </si>
  <si>
    <t>Total (A + B)</t>
  </si>
  <si>
    <t xml:space="preserve"> * Local tax rate is applied to income tax, which overestimates local tax amount as local taxes are only paid when the amount of the credit does not exhaust income tax. So for 2011, Taxes paid to on tranfers income refer to Total PIT -  Total tax credits * local tax (A1 minus A2 , then adding local tax rate *) (9114-4103)* (1+0.075)= 5386.8 </t>
  </si>
  <si>
    <t>C. Tax breaks for social purposes (in million of Euros)</t>
  </si>
  <si>
    <t>Tax credit for children</t>
  </si>
  <si>
    <t>n.a</t>
  </si>
  <si>
    <t>Allowance Childcare expenses</t>
  </si>
  <si>
    <t>Compl. Sickness contr.</t>
  </si>
  <si>
    <t>Allowance "ALE"</t>
  </si>
  <si>
    <t>Pension savings (3rd pillar)</t>
  </si>
  <si>
    <t>Pension savings (2d pillar)</t>
  </si>
  <si>
    <t>Source: Ministry of Finance, Belgium, from IPP (Impôt des Personnes Physiques).</t>
  </si>
  <si>
    <t>CANADA</t>
  </si>
  <si>
    <t>Millions of Canadian dollars</t>
  </si>
  <si>
    <t>Old-age Cash Benefits</t>
  </si>
  <si>
    <t>1a</t>
  </si>
  <si>
    <t xml:space="preserve"> - Public Pensions (OAS)</t>
  </si>
  <si>
    <t>1b</t>
  </si>
  <si>
    <t xml:space="preserve"> - Private Pensions</t>
  </si>
  <si>
    <t>Canadian Pension Plan (Retirement)</t>
  </si>
  <si>
    <t>Canadian Pension Plan (Disability)</t>
  </si>
  <si>
    <t>Employment Insurance</t>
  </si>
  <si>
    <t>4a</t>
  </si>
  <si>
    <t xml:space="preserve"> - Regular Employment Insurance</t>
  </si>
  <si>
    <t>4b</t>
  </si>
  <si>
    <t xml:space="preserve"> - Parental Leave Payments</t>
  </si>
  <si>
    <t>n.a.</t>
  </si>
  <si>
    <t>4c</t>
  </si>
  <si>
    <t xml:space="preserve"> - Active Labour Market Programs</t>
  </si>
  <si>
    <t>Worker's Compensation</t>
  </si>
  <si>
    <t>Guaranteed Income Supplement</t>
  </si>
  <si>
    <t>Social Assistance</t>
  </si>
  <si>
    <t>Universal Child Care Benefits (UCCB)</t>
  </si>
  <si>
    <t>Wage Income *</t>
  </si>
  <si>
    <t>Indirect taxes paid out of consumption of cash transfers, in millions of Canadian dollars</t>
  </si>
  <si>
    <r>
      <t>C. Tax breaks for social purposes (in millions of Canadian dollars)</t>
    </r>
    <r>
      <rPr>
        <b/>
        <vertAlign val="superscript"/>
        <sz val="10"/>
        <rFont val="Times New Roman"/>
        <family val="1"/>
      </rPr>
      <t>1</t>
    </r>
  </si>
  <si>
    <r>
      <t>Tax breaks similar to cash benefits</t>
    </r>
    <r>
      <rPr>
        <sz val="10"/>
        <rFont val="Times New Roman"/>
        <family val="1"/>
      </rPr>
      <t xml:space="preserve"> (total without 20-22 below)</t>
    </r>
  </si>
  <si>
    <t>Infirm Dependant Credit/ Caregiver Credit</t>
  </si>
  <si>
    <t>Child care expense deduction</t>
  </si>
  <si>
    <t>Adoption Expense Tax Credit</t>
  </si>
  <si>
    <t>Eligible Dependant Credit</t>
  </si>
  <si>
    <t>Children's Fitness Tax Credit</t>
  </si>
  <si>
    <t>Child Tax Credit</t>
  </si>
  <si>
    <r>
      <t xml:space="preserve">Investment Tax Credit for Child Care Spaces </t>
    </r>
    <r>
      <rPr>
        <vertAlign val="superscript"/>
        <sz val="10"/>
        <rFont val="Times New Roman"/>
        <family val="1"/>
      </rPr>
      <t>2</t>
    </r>
  </si>
  <si>
    <t>s</t>
  </si>
  <si>
    <t>Children's Arts Tax Credit</t>
  </si>
  <si>
    <t>Family Caregiver Tax Credit</t>
  </si>
  <si>
    <t>Family Tax Cut</t>
  </si>
  <si>
    <t>Inclusion of the Universal Child Care Benefit in the income of an eligible dependant</t>
  </si>
  <si>
    <t xml:space="preserve">Canada Caregiver Credit </t>
  </si>
  <si>
    <t>Disability Tax Credit</t>
  </si>
  <si>
    <t xml:space="preserve">Disability supports deduction </t>
  </si>
  <si>
    <t>Medical Expense Tax Credit</t>
  </si>
  <si>
    <t>Goods and Services Tax/Harmonized Sales Tax Credit</t>
  </si>
  <si>
    <t>Tax credits for employee-paid Canada Pension Plan (CPP) and Quebec Pension Plan (QPP) contributions</t>
  </si>
  <si>
    <t>Tax credits for employee-paid EI and Quebec Parental Insurance Plan (QPIP) contributions2</t>
  </si>
  <si>
    <t>Canada Employment Credit</t>
  </si>
  <si>
    <t>For information only: not included in total TBSP</t>
  </si>
  <si>
    <t>Canadian Child Tax Benefit/National Child Benefit  (amount not included in total TBSP, as already accounted in SOCX 124.10.5.1.1.2)</t>
  </si>
  <si>
    <t>Age Credit  (amount not included in total TBSP, as already taken into account when calculating AITRs)</t>
  </si>
  <si>
    <t>Universal Child Care Benefit (amount not included in total TBSP)</t>
  </si>
  <si>
    <t>For information only as refundable credits have been removed from the tax expenditures section as these are now classified as spending measures in public accounts.</t>
  </si>
  <si>
    <t>Refundable Medical Expense Supplement</t>
  </si>
  <si>
    <t>Portion of refundable tax credits that offsets tax liability</t>
  </si>
  <si>
    <t>Working Income Tax Benefit</t>
  </si>
  <si>
    <r>
      <t>Tax breaks to stimulate private social protection (not including pensions)</t>
    </r>
    <r>
      <rPr>
        <b/>
        <vertAlign val="superscript"/>
        <sz val="10"/>
        <rFont val="Times New Roman"/>
        <family val="1"/>
      </rPr>
      <t>1</t>
    </r>
  </si>
  <si>
    <t>Non-taxation of employer paid health and dental benefits</t>
  </si>
  <si>
    <t xml:space="preserve">Deductibility of charitable donations from corporate income tax </t>
  </si>
  <si>
    <t>Charitable Donation Tax Credit (excluding donations of cultural property and ecologically sensitive land)</t>
  </si>
  <si>
    <t>Non-taxation of capital gains on donations of publicly-listed securities (reduced inclusion rate for capital gains)</t>
  </si>
  <si>
    <t>First-Time Donor's Super Credit</t>
  </si>
  <si>
    <t>Non-taxation of non-profit organizations</t>
  </si>
  <si>
    <t>Registered Disability Savings Plan</t>
  </si>
  <si>
    <t xml:space="preserve">For information only: these items are not included in the sum of TBSPs, as that would constitute a double counting </t>
  </si>
  <si>
    <t>with the calculationis on Average Direct Tax Rates over benefit income</t>
  </si>
  <si>
    <t>Exemption for certain supplies made by charities and non-profit organizations</t>
  </si>
  <si>
    <t>Rebate for qualifying non-profit organizations</t>
  </si>
  <si>
    <t>Rebate for registered charities</t>
  </si>
  <si>
    <t>Exemption for child care</t>
  </si>
  <si>
    <t>Exemption for health care services</t>
  </si>
  <si>
    <t>Rebate for specially equipped motor vehicles</t>
  </si>
  <si>
    <t>Zero-rating of medical and assistive devices</t>
  </si>
  <si>
    <t>Zero-rating of prescription drugs</t>
  </si>
  <si>
    <t>Exemption and rebate for legal aid services</t>
  </si>
  <si>
    <t>Tax breaks for pensions (1+2+3+4)</t>
  </si>
  <si>
    <t>Revenue foregone method:</t>
  </si>
  <si>
    <t>Pension Income Credit</t>
  </si>
  <si>
    <t>Registered retirement savings plans (RRSPs)</t>
  </si>
  <si>
    <t xml:space="preserve">  Deduction for contributions</t>
  </si>
  <si>
    <t xml:space="preserve">  Non-taxation of investment income</t>
  </si>
  <si>
    <t xml:space="preserve"> Taxation of withdrawals</t>
  </si>
  <si>
    <t>Net tax expenditure</t>
  </si>
  <si>
    <t>Registered pension plans (RPPs)</t>
  </si>
  <si>
    <t xml:space="preserve">  Taxation of withdrawals</t>
  </si>
  <si>
    <t>Pension Income Splitting</t>
  </si>
  <si>
    <t xml:space="preserve">Supplementary information: </t>
  </si>
  <si>
    <t>Present value of tax assistance for retirement savings plans *</t>
  </si>
  <si>
    <t>* The present-value estimates reflect the lifetime cost of a given year’s contributions. This definition is different from that used for the cash-flow estimates, and thus the two sets of estimates are not directly comparable.</t>
  </si>
  <si>
    <t>1. Since 2001 Tax expenditures are for federal measures only cannot be considered complete, therefore cannot be compared to some other countries’ estimates, given that sub-national expenditures are not included.  The totals may overestimate total expenditure, as interactions between measures are not taken into account.</t>
  </si>
  <si>
    <t>2. Amounts under $500,000 are denoted as "S" .</t>
  </si>
  <si>
    <t>EXCLUDED</t>
  </si>
  <si>
    <t>Family</t>
  </si>
  <si>
    <t>Canadian Child Tax Benefit/National Child Benefit</t>
  </si>
  <si>
    <t>Married Equivalent Credit</t>
  </si>
  <si>
    <t xml:space="preserve">Family </t>
  </si>
  <si>
    <t>Canada Child Benefit</t>
  </si>
  <si>
    <t>Excluded from Tax breaks to stimulate private social protection (not including pensions)1</t>
  </si>
  <si>
    <t>Non-Taxation of employer-paid CPP premiums</t>
  </si>
  <si>
    <t>Non-Taxation of employer-paid EI premiums</t>
  </si>
  <si>
    <t xml:space="preserve">Excluded from Tax breaks similar to cash benefits </t>
  </si>
  <si>
    <t>Provincial Tax Reduction</t>
  </si>
  <si>
    <t>Attendant Care expense</t>
  </si>
  <si>
    <t>Deductibility of charitable donations from corporate income tax</t>
  </si>
  <si>
    <t>?</t>
  </si>
  <si>
    <t>CHILE</t>
  </si>
  <si>
    <t>Millions of Chilean Pesos</t>
  </si>
  <si>
    <t>A. Amount of direct tax paid on benefit income (in millions of Chilean Pesos)</t>
  </si>
  <si>
    <t>Indirect taxes paid out of consumption of cash transfers, in Millions of Chilean Pesos</t>
  </si>
  <si>
    <t>C. Tax breaks for social purposes (in Millions of Chilean Pesos)</t>
  </si>
  <si>
    <t>Other areas</t>
  </si>
  <si>
    <t>Item 1</t>
  </si>
  <si>
    <t>Item 2</t>
  </si>
  <si>
    <t>Item 3</t>
  </si>
  <si>
    <t>Donations for social purposes (Income tax - credit and deduction)</t>
  </si>
  <si>
    <t>Item 4</t>
  </si>
  <si>
    <t>Income from renting DFL 2 housing (Income tax exempt)</t>
  </si>
  <si>
    <t>Item 5</t>
  </si>
  <si>
    <t>Health services (VAT exempt)</t>
  </si>
  <si>
    <t>Item 6</t>
  </si>
  <si>
    <t>Contributions to Private Health System (VAT exempt)</t>
  </si>
  <si>
    <t>Item 7</t>
  </si>
  <si>
    <t>Refund of customs duties when importing equipment for disabled people</t>
  </si>
  <si>
    <t>Item 8</t>
  </si>
  <si>
    <t>Lower customs duties for disabled people that import vehicles with special features</t>
  </si>
  <si>
    <r>
      <t xml:space="preserve">1)  Examples are in </t>
    </r>
    <r>
      <rPr>
        <i/>
        <sz val="8"/>
        <rFont val="Times New Roman"/>
        <family val="1"/>
      </rPr>
      <t>Italics</t>
    </r>
    <r>
      <rPr>
        <sz val="8"/>
        <rFont val="Times New Roman"/>
        <family val="1"/>
      </rPr>
      <t>.</t>
    </r>
  </si>
  <si>
    <t>Total tax paid (including soc. sec. cont.) over transfer income</t>
  </si>
  <si>
    <t>Old-age cash benefits</t>
  </si>
  <si>
    <t>1c</t>
  </si>
  <si>
    <t xml:space="preserve"> - private pensions </t>
  </si>
  <si>
    <t>Survivors' benefits</t>
  </si>
  <si>
    <t>2a</t>
  </si>
  <si>
    <t>3a</t>
  </si>
  <si>
    <t>3b</t>
  </si>
  <si>
    <t>3c</t>
  </si>
  <si>
    <t xml:space="preserve"> - Sickness payments </t>
  </si>
  <si>
    <t xml:space="preserve">Family cash benefits </t>
  </si>
  <si>
    <t xml:space="preserve"> - Family benefits</t>
  </si>
  <si>
    <t xml:space="preserve"> - Maternity and parental leave payments</t>
  </si>
  <si>
    <t>Active labour market policies</t>
  </si>
  <si>
    <t>5a</t>
  </si>
  <si>
    <t xml:space="preserve"> - benefits while on training</t>
  </si>
  <si>
    <t>Unemployment</t>
  </si>
  <si>
    <t>6a</t>
  </si>
  <si>
    <t xml:space="preserve"> - unemployment insurance benefit</t>
  </si>
  <si>
    <t>6b</t>
  </si>
  <si>
    <t xml:space="preserve"> - unemployment assistance benefit</t>
  </si>
  <si>
    <t>hidden row</t>
  </si>
  <si>
    <r>
      <t xml:space="preserve">Table Annex I.A.2.1
Detailed information on the impact of the tax system on social expenditure </t>
    </r>
    <r>
      <rPr>
        <i/>
        <sz val="10"/>
        <rFont val="Times New Roman"/>
        <family val="1"/>
      </rPr>
      <t>(cont.)</t>
    </r>
  </si>
  <si>
    <t>Housing</t>
  </si>
  <si>
    <t>HUNGARY</t>
  </si>
  <si>
    <t>in millions HUF</t>
  </si>
  <si>
    <t>A. Amount of direct tax paid on benefit income (in millions HUF)</t>
  </si>
  <si>
    <t>Total tax paid (including soc. sec. cont.) on transfer income</t>
  </si>
  <si>
    <t xml:space="preserve">Social Security Pension </t>
  </si>
  <si>
    <t>Social Security Disability Benefit</t>
  </si>
  <si>
    <t>Social security Unemployment Benefit</t>
  </si>
  <si>
    <t>Social security Sickness Benefit</t>
  </si>
  <si>
    <t>Social security Child cash benefit</t>
  </si>
  <si>
    <t>Social security benefits while on training</t>
  </si>
  <si>
    <t>Indirect taxes paid out of consumption of cash transfers, in millions HUF)</t>
  </si>
  <si>
    <t>C. Tax breaks for social purposes (in millions HUF)</t>
  </si>
  <si>
    <t>SSC compensation for phasing out In-work tax credit</t>
  </si>
  <si>
    <t>Memorendum item</t>
  </si>
  <si>
    <t>Tax breaks to pensions</t>
  </si>
  <si>
    <t>ICELAND</t>
  </si>
  <si>
    <t>Millions of Kronur</t>
  </si>
  <si>
    <t>TBSPs to families</t>
  </si>
  <si>
    <t>A. Amount of direct tax paid on benefit income (in millions of Islandic krónur)</t>
  </si>
  <si>
    <t>Total tax paid (including soc. sec. cont.) on public transfer income</t>
  </si>
  <si>
    <t>of which:</t>
  </si>
  <si>
    <t xml:space="preserve"> - Income tax</t>
  </si>
  <si>
    <t>Total tax paid (including soc. sec. cont.) on private transfer income</t>
  </si>
  <si>
    <r>
      <rPr>
        <i/>
        <sz val="10"/>
        <rFont val="Times New Roman"/>
        <family val="1"/>
      </rPr>
      <t>Source</t>
    </r>
    <r>
      <rPr>
        <sz val="10"/>
        <rFont val="Times New Roman"/>
        <family val="1"/>
      </rPr>
      <t>: Ministry of Finance and Economic Affairs, Tax Department</t>
    </r>
  </si>
  <si>
    <t>Indirect taxes paid out of consumption of cash transfers, in millions of Islandic krónur</t>
  </si>
  <si>
    <t>C. Tax breaks for social purposes (in millions of Islandic krónur)</t>
  </si>
  <si>
    <t>Family;</t>
  </si>
  <si>
    <t>IRELAND</t>
  </si>
  <si>
    <t>1999-00</t>
  </si>
  <si>
    <t>2000-2001</t>
  </si>
  <si>
    <t>Social Security Pension, Maternity, other</t>
  </si>
  <si>
    <t xml:space="preserve">Note: Figures have been revised retrospectively due to a more reliable method of data collection and formulation. </t>
  </si>
  <si>
    <t>Indirect taxes paid out of consumption of cash transfers, in millions of euros)</t>
  </si>
  <si>
    <t>Additional personal allowance for one parent family</t>
  </si>
  <si>
    <t xml:space="preserve">Additional allowance for incapacitated child </t>
  </si>
  <si>
    <t xml:space="preserve">Employment </t>
  </si>
  <si>
    <t>Other income maintenance benefits</t>
  </si>
  <si>
    <t>Widowed person's allowance (data do not cover non-tax payers)</t>
  </si>
  <si>
    <t>Additional bereavement allowance to widowed parent</t>
  </si>
  <si>
    <t xml:space="preserve">Dependent relative allowance </t>
  </si>
  <si>
    <t>Person taking care of incapacitated taxpayer</t>
  </si>
  <si>
    <t>Other</t>
  </si>
  <si>
    <t>Donations to approved bodies</t>
  </si>
  <si>
    <t>Health</t>
  </si>
  <si>
    <t>Relief in respect of medical insurance premiums</t>
  </si>
  <si>
    <t>Health expenses relief</t>
  </si>
  <si>
    <t>Contributions under permanent health benefit schemes after deduction of tax on benefits received</t>
  </si>
  <si>
    <t>Exemption of income of charities, colleges, hospitals, schools, friendly societies, etc.</t>
  </si>
  <si>
    <t>Employee’s Contributions to Approved Superannuation Schemes:</t>
  </si>
  <si>
    <t>Exemption of Net Income of Approved Superannuation Funds</t>
  </si>
  <si>
    <t>Retirement Annuity Premiums (Individual private pensions)</t>
  </si>
  <si>
    <r>
      <rPr>
        <i/>
        <sz val="10"/>
        <rFont val="Times New Roman"/>
        <family val="1"/>
      </rPr>
      <t>Source</t>
    </r>
    <r>
      <rPr>
        <sz val="10"/>
        <rFont val="Times New Roman"/>
        <family val="1"/>
      </rPr>
      <t>: Office of the Revenue Commissioners, Statistical Reports.</t>
    </r>
  </si>
  <si>
    <t>Office of the Revenue Commissioners, Statistical Report 2004 - table IT6</t>
  </si>
  <si>
    <t>Office of the Revenue Commissioners, Statistical Report 2003 - table IT6</t>
  </si>
  <si>
    <t>Office of the Revenue Commissioners (2002), Statistical report, 2002, Government of ireland, Dublin.</t>
  </si>
  <si>
    <t>SPAIN</t>
  </si>
  <si>
    <t>Total tax paid (including social security contribution) on public transfer income</t>
  </si>
  <si>
    <t xml:space="preserve"> - Income tax *</t>
  </si>
  <si>
    <t xml:space="preserve"> - Social security contributions **</t>
  </si>
  <si>
    <t>Total tax paid (including social security contribution) on private transfer income</t>
  </si>
  <si>
    <t>Total tax paid (including social security contribution) on transfer income</t>
  </si>
  <si>
    <t xml:space="preserve">* Estimates based on PIT statistics. Data are based on income class data based on data-set of individual taxpayers + witholding tax payments of taxpayers non subject to submit a PIT return. The estimation method is based on calculations made on personal income tax payments multiplied by fractions of net taxable income sources (as percentage of the total tax base) at the level of income classes/tax brackets. </t>
  </si>
  <si>
    <t>**  SSC paid by unemployed workers perceiving unemployment + Temporary Disability +Maternity Benefits.</t>
  </si>
  <si>
    <t>Child and maternity tax credits</t>
  </si>
  <si>
    <t>Tax credit for large family or disabled dependent people</t>
  </si>
  <si>
    <t>Personal allowance for one-parent families</t>
  </si>
  <si>
    <t>For informaton only: these items are not included in the sum of TBSPs as that constitute a double counting with the calculations on Average Direct Tax Rates over benefit income:</t>
  </si>
  <si>
    <t>Labour extension &amp; labour mobility (revenue forgone)</t>
  </si>
  <si>
    <t>Tax credit for employed &amp; self employed with low incomes (revenue forgone)</t>
  </si>
  <si>
    <t>Tax allowance for low labour incomes (revenue forgone)</t>
  </si>
  <si>
    <t>Reduction of SSC for employers hiring disadvantaged groups (long-term unemployed, disabled,...)</t>
  </si>
  <si>
    <t>(p): provisional data</t>
  </si>
  <si>
    <t xml:space="preserve"> - Child credits</t>
  </si>
  <si>
    <t xml:space="preserve"> - early retirement benefits</t>
  </si>
  <si>
    <t>2b</t>
  </si>
  <si>
    <t xml:space="preserve"> - Sole parent benefits</t>
  </si>
  <si>
    <t>7a</t>
  </si>
  <si>
    <t xml:space="preserve"> - rent subsidies</t>
  </si>
  <si>
    <t>Other contingencies</t>
  </si>
  <si>
    <t>8a</t>
  </si>
  <si>
    <t xml:space="preserve"> - Low Income benefits</t>
  </si>
  <si>
    <t xml:space="preserve">2)  Public transfer income concerns all cash benefits paid by general government (different levels of government and social security institutions). Other social benefits, e.g. occupational pension payments, are considered private. </t>
  </si>
  <si>
    <t>3)  All pension income (old-age cash benefits) paid by the state or a social security fund.</t>
  </si>
  <si>
    <t>4)  If sickness benefits paid through social insurance funds (please indicate whether or not his covers maternity and parental benefits in your data-set).</t>
  </si>
  <si>
    <t>5)  This category is included for reference purposes, but can be used to estimate tax paid by recipients of continued wage payments in case of absence because of illness.</t>
  </si>
  <si>
    <t>ISRAEL</t>
  </si>
  <si>
    <t>Millions of shekels (NIS).</t>
  </si>
  <si>
    <t>Table Annex 
Detailed information on the impact of the tax system on social expenditure (cont.)</t>
  </si>
  <si>
    <t>Amount of direct tax paid over transfer income (in millions shekels (NIS)</t>
  </si>
  <si>
    <r>
      <t xml:space="preserve">                General disability pension</t>
    </r>
    <r>
      <rPr>
        <sz val="12"/>
        <color indexed="8"/>
        <rFont val="Times New Roman"/>
        <family val="1"/>
      </rPr>
      <t xml:space="preserve"> </t>
    </r>
  </si>
  <si>
    <r>
      <t xml:space="preserve">                Work disability pension – up to retirement age</t>
    </r>
    <r>
      <rPr>
        <sz val="12"/>
        <color indexed="8"/>
        <rFont val="Times New Roman"/>
        <family val="1"/>
      </rPr>
      <t xml:space="preserve"> </t>
    </r>
  </si>
  <si>
    <r>
      <t xml:space="preserve">                Social assistance benefit</t>
    </r>
    <r>
      <rPr>
        <sz val="12"/>
        <color indexed="8"/>
        <rFont val="Times New Roman"/>
        <family val="1"/>
      </rPr>
      <t xml:space="preserve"> </t>
    </r>
  </si>
  <si>
    <r>
      <t xml:space="preserve">                Survivors’ benefit</t>
    </r>
    <r>
      <rPr>
        <sz val="12"/>
        <color indexed="8"/>
        <rFont val="Times New Roman"/>
        <family val="1"/>
      </rPr>
      <t xml:space="preserve"> </t>
    </r>
  </si>
  <si>
    <r>
      <t xml:space="preserve">                Old age benefit</t>
    </r>
    <r>
      <rPr>
        <sz val="12"/>
        <color indexed="8"/>
        <rFont val="Times New Roman"/>
        <family val="1"/>
      </rPr>
      <t xml:space="preserve"> </t>
    </r>
  </si>
  <si>
    <r>
      <rPr>
        <i/>
        <sz val="10"/>
        <rFont val="Times New Roman"/>
        <family val="1"/>
      </rPr>
      <t>Source</t>
    </r>
    <r>
      <rPr>
        <sz val="10"/>
        <rFont val="Times New Roman"/>
        <family val="1"/>
      </rPr>
      <t xml:space="preserve">: National Insurance Institute. These five Social benefits are exempted from Income Tax and Social Security Contributions but pay a minimum Health Insurance Tax. The total HIT raised from these benefits in 2009 amounted to 1.5 billion LIS. There is no detailled data for each social benefits. </t>
    </r>
  </si>
  <si>
    <t>Indirect taxes paid out of consumption of cash transfers, in millions of shekels (NIS).</t>
  </si>
  <si>
    <r>
      <t>C. Tax breaks for social purposes (in millions of shekels (NIS)).</t>
    </r>
    <r>
      <rPr>
        <b/>
        <vertAlign val="superscript"/>
        <sz val="10"/>
        <rFont val="Times New Roman"/>
        <family val="1"/>
      </rPr>
      <t>1</t>
    </r>
  </si>
  <si>
    <r>
      <t xml:space="preserve">Tax breaks similar to cash benefits </t>
    </r>
    <r>
      <rPr>
        <b/>
        <vertAlign val="superscript"/>
        <sz val="10"/>
        <rFont val="Times New Roman"/>
        <family val="1"/>
      </rPr>
      <t>2</t>
    </r>
  </si>
  <si>
    <t xml:space="preserve"> - Value of non-wastable tax credits for children off-set against tax  liabilities (e,g. EITC.)</t>
  </si>
  <si>
    <t xml:space="preserve">Other areas: </t>
  </si>
  <si>
    <t xml:space="preserve"> - Credit for special needs children</t>
  </si>
  <si>
    <t xml:space="preserve"> - Deduction of contributions to private pensions (e.g occupational pension plans) </t>
  </si>
  <si>
    <t>Source:  Tax expenditure budget, Ministry of Finance.</t>
  </si>
  <si>
    <r>
      <t xml:space="preserve">1)  Examples are in </t>
    </r>
    <r>
      <rPr>
        <i/>
        <sz val="10"/>
        <rFont val="Times New Roman"/>
        <family val="1"/>
      </rPr>
      <t>Italics</t>
    </r>
    <r>
      <rPr>
        <sz val="10"/>
        <rFont val="Times New Roman"/>
        <family val="1"/>
      </rPr>
      <t>.</t>
    </r>
  </si>
  <si>
    <t>ITALY</t>
  </si>
  <si>
    <t xml:space="preserve"> - public pensions (mandatory) </t>
  </si>
  <si>
    <t xml:space="preserve"> - private pensions (non mandatory) </t>
  </si>
  <si>
    <t>3b-1</t>
  </si>
  <si>
    <t xml:space="preserve"> - Occupational Injury benefits (mandatory)</t>
  </si>
  <si>
    <t>3b-2</t>
  </si>
  <si>
    <t xml:space="preserve"> - Occupational Injury benefits (non mandatory)</t>
  </si>
  <si>
    <t>Source: Official administrative information from National Institute for Social Security (INPS).</t>
  </si>
  <si>
    <t>Tax credits:</t>
  </si>
  <si>
    <t>Healthcare expenses</t>
  </si>
  <si>
    <t>Healthcare expenses for disabled (1)</t>
  </si>
  <si>
    <t>Other expenses for disabled (vehicles, dogs, …)</t>
  </si>
  <si>
    <t>Education expenses</t>
  </si>
  <si>
    <t xml:space="preserve">Specific tax credit for families with more than 3 children (non- wastable) </t>
  </si>
  <si>
    <t>Family Tax credits (Total)</t>
  </si>
  <si>
    <t xml:space="preserve">Wastable Family Tax credits (amount due) </t>
  </si>
  <si>
    <t xml:space="preserve">Wastable Family Tax credits (amount used): </t>
  </si>
  <si>
    <t>- Spouse (for information only as not part of SOCX scope)</t>
  </si>
  <si>
    <t>- Children</t>
  </si>
  <si>
    <t>- Other relatives</t>
  </si>
  <si>
    <t>Tax deductions:</t>
  </si>
  <si>
    <t>Medical expenses for disabled  (2)</t>
  </si>
  <si>
    <t>Donations to ONLUS (ie. NGOs providing social and or/educational services, scientific research, cultural activities, etc..)</t>
  </si>
  <si>
    <t>Contributions to mutual assistance associations</t>
  </si>
  <si>
    <t>Contributions to health and accident insurance</t>
  </si>
  <si>
    <t xml:space="preserve"> - Deduction of contributions to private pensions</t>
  </si>
  <si>
    <t>Source: Official administrative information</t>
  </si>
  <si>
    <t>JAPAN</t>
  </si>
  <si>
    <t>millions yens</t>
  </si>
  <si>
    <t>A. Amount of direct tax paid on benefit income (in millions of yen)</t>
  </si>
  <si>
    <t xml:space="preserve"> - public old pensions</t>
  </si>
  <si>
    <t xml:space="preserve"> - mandatory private old age pensions</t>
  </si>
  <si>
    <t xml:space="preserve"> - voluntary private old age pensions</t>
  </si>
  <si>
    <t>Indirect taxes paid out of consumption of cash transfers, in millions of yen</t>
  </si>
  <si>
    <t>C. Tax breaks for social purposes (in millions of yen)</t>
  </si>
  <si>
    <t>TBSPs similar to cash benefits</t>
  </si>
  <si>
    <t>Deduction for the elderly *</t>
  </si>
  <si>
    <t>"Deduction for the elderly" was abolished</t>
  </si>
  <si>
    <t>Deduction for medical expenses</t>
  </si>
  <si>
    <t>Deduction for retirement income</t>
  </si>
  <si>
    <t>Tax exemption for social welfare juridical persons</t>
  </si>
  <si>
    <t>* The amount of the "Deduction for the elderly" is not available in 2001. Also, this deduction was repealed in 2004 (2005 for local tax).</t>
  </si>
  <si>
    <t>Source: Information supplied by the Ministry of Finance of Japan.</t>
  </si>
  <si>
    <t>KOREA</t>
  </si>
  <si>
    <t>Million Won</t>
  </si>
  <si>
    <t>A. Amount of direct tax paid on benefit income (in millions wons)</t>
  </si>
  <si>
    <t>Public social expenditure</t>
  </si>
  <si>
    <t>Social contributions</t>
  </si>
  <si>
    <t>Mandatory private social expenditure</t>
  </si>
  <si>
    <t>Voluntary private social expenditure</t>
  </si>
  <si>
    <t>Source: See table C below.</t>
  </si>
  <si>
    <t>Indirect taxes paid out of consumption of cash transfers, in millions of wons</t>
  </si>
  <si>
    <t xml:space="preserve">  using a broad concept of the indirect tax base and ignoring government consumption (5)/(1)</t>
  </si>
  <si>
    <t>C. Tax breaks for social purposes (in millions of wons)</t>
  </si>
  <si>
    <t xml:space="preserve">of which family: </t>
  </si>
  <si>
    <t>Tax abatement for non-profit corporation</t>
  </si>
  <si>
    <t xml:space="preserve">                     for social welfare support institution</t>
  </si>
  <si>
    <t xml:space="preserve">                     for imported goods for the disabled</t>
  </si>
  <si>
    <t xml:space="preserve">                     for the cars used by the disabled</t>
  </si>
  <si>
    <t>Other social policy</t>
  </si>
  <si>
    <t>General Social welfare</t>
  </si>
  <si>
    <t>Supporting for social welfare system</t>
  </si>
  <si>
    <t>Additional Income deduction (tax credit)</t>
  </si>
  <si>
    <t>Basic and additional tax deduction for social purpose</t>
  </si>
  <si>
    <t>of which TBSP towards family</t>
  </si>
  <si>
    <t>Category</t>
  </si>
  <si>
    <t>Area</t>
  </si>
  <si>
    <t>Subarea</t>
  </si>
  <si>
    <t>Details</t>
  </si>
  <si>
    <t>1. old Age</t>
  </si>
  <si>
    <t>Basic old age pension</t>
  </si>
  <si>
    <t xml:space="preserve">The other elderly/youth, etc. </t>
  </si>
  <si>
    <t>Stabilization of living for the elderly</t>
  </si>
  <si>
    <t>VAT exemption for the management service for elderly welfare housing</t>
  </si>
  <si>
    <t xml:space="preserve">Additional deduction for over 65 years old family members </t>
  </si>
  <si>
    <t>Subtotal</t>
  </si>
  <si>
    <t>2. survivors</t>
  </si>
  <si>
    <t>3. incapacity</t>
  </si>
  <si>
    <t>Occupational health and safety insurance(excluding medical care)</t>
  </si>
  <si>
    <t>Industrial accident prevention</t>
  </si>
  <si>
    <t>VAT exemption for the investment in safety facilities</t>
  </si>
  <si>
    <t>Rehabilitation of the disabled</t>
  </si>
  <si>
    <t xml:space="preserve">VAT exemption for assisting devices for the disabled </t>
  </si>
  <si>
    <t>Stabilization of living for the disabled</t>
  </si>
  <si>
    <t>Additional deduction for the disabled</t>
  </si>
  <si>
    <t>Increasing employment for the disabled</t>
  </si>
  <si>
    <t>Corporate tax exemption for disabled standard workplace</t>
  </si>
  <si>
    <t>4. health</t>
  </si>
  <si>
    <t>Health administration</t>
  </si>
  <si>
    <t>Education tax exemption for the private vehicles for the disabled and patients</t>
  </si>
  <si>
    <t xml:space="preserve">VAT exemption for special cigarettes </t>
  </si>
  <si>
    <t xml:space="preserve">Expansion for public health </t>
  </si>
  <si>
    <t>Inclusion in deductible expenses of reserve fund for essential business by nonprofit medical corporation in local area</t>
  </si>
  <si>
    <t>Health service</t>
  </si>
  <si>
    <t>VAT exemption for rare disease</t>
  </si>
  <si>
    <t>　　</t>
  </si>
  <si>
    <t>5. family</t>
  </si>
  <si>
    <t>Child-rearing</t>
  </si>
  <si>
    <t>Support for child-rearing</t>
  </si>
  <si>
    <t>VAT exemption for diaper and formula</t>
  </si>
  <si>
    <t>Family and woman</t>
  </si>
  <si>
    <t>Family support</t>
  </si>
  <si>
    <t>Low fertility and population policy</t>
  </si>
  <si>
    <t>Additional deduction for multi-child family</t>
  </si>
  <si>
    <t>active labor market programmes</t>
  </si>
  <si>
    <t>The other employment policy</t>
  </si>
  <si>
    <t>Employment policy</t>
  </si>
  <si>
    <t>Tax deduction for the investment in job creation</t>
  </si>
  <si>
    <t>Special provision on taxation for small and middle sized companies which keep employees</t>
  </si>
  <si>
    <t>Tax reduction for the companies which return to Korea</t>
  </si>
  <si>
    <t>Corporate tax exemption for social enterprise</t>
  </si>
  <si>
    <t>Working condition and welfare improvement</t>
  </si>
  <si>
    <t>Tax deduction for the investment in facilities for workers’ welfare</t>
  </si>
  <si>
    <t>Tax deduction for employment increase</t>
  </si>
  <si>
    <t xml:space="preserve">Special deduction for housing loan of non-homeowners </t>
  </si>
  <si>
    <t>9. other social policy areas</t>
  </si>
  <si>
    <t>General social welfare</t>
  </si>
  <si>
    <t>Non-taxation for the interest income from subsistence saving  of the elderly, the disabled, etc.</t>
  </si>
  <si>
    <t>Inclusion in deductible expenses of the donation by corporation</t>
  </si>
  <si>
    <t>Special deduction for personal donation</t>
  </si>
  <si>
    <t xml:space="preserve">Subtotal </t>
  </si>
  <si>
    <t>LATVIA</t>
  </si>
  <si>
    <r>
      <t xml:space="preserve">Table Annex 
Detailed information on the impact of the tax system on social expenditure  </t>
    </r>
    <r>
      <rPr>
        <i/>
        <sz val="10"/>
        <rFont val="Times New Roman"/>
        <family val="1"/>
      </rPr>
      <t>(cont.)</t>
    </r>
  </si>
  <si>
    <t>A. Average Itemised Tax Rates (%) or A. Amount of direct tax paid on benefit income (in millions of national currency)</t>
  </si>
  <si>
    <r>
      <t>Source</t>
    </r>
    <r>
      <rPr>
        <sz val="10"/>
        <rFont val="Times New Roman"/>
        <family val="1"/>
      </rPr>
      <t>: Ministry of Finance.</t>
    </r>
  </si>
  <si>
    <t>Cash donations to Charities</t>
  </si>
  <si>
    <t xml:space="preserve">Source Information: </t>
  </si>
  <si>
    <t xml:space="preserve"> - public pension includes amount of tax from :</t>
  </si>
  <si>
    <t xml:space="preserve">          Old age pension (non means tested) :Disability pensions and sickness benefits (Invaliditates pensijas un slimibas pabalsti (IPSP))</t>
  </si>
  <si>
    <t>1. State Social Insurance Agency</t>
  </si>
  <si>
    <t>Administrative data</t>
  </si>
  <si>
    <t>2.  Latvian Insurers Association (starting from year 2014)</t>
  </si>
  <si>
    <t xml:space="preserve">          Old age pension (non means tested) : Support to liquidators of the Chernobyl nuclear accident consequences and their families (Atbalsts CAES seku likvidetajiem un vinu gimenem (ACAESSLG))</t>
  </si>
  <si>
    <t>State Social Insurance Agency</t>
  </si>
  <si>
    <t xml:space="preserve">          Old age pension (non means tested) : Service pension (to those of retirement age) (Izdienas pensija (vecuma pensijas vecumu sasniegušajiem)</t>
  </si>
  <si>
    <t xml:space="preserve">          Old age pension (non means tested) : State pension insurance (Valsts pensiju apdrošinašana (VPA))</t>
  </si>
  <si>
    <t xml:space="preserve">          Anticipated old age pension (non means tested) :  Pensions for public servants (Pensijas valsts parvaldes darbiniekiem (PVPD))</t>
  </si>
  <si>
    <t>1.State Social Insurance Agency</t>
  </si>
  <si>
    <t>2. The Ministry of Defence</t>
  </si>
  <si>
    <t xml:space="preserve"> - public pensions includes amount of  tax from :</t>
  </si>
  <si>
    <t xml:space="preserve">          Survivor's pension (non means tested) : Support to the liquidators of the Chernobyl nuclear accident consequences and their families (from Special state social insurance budget) (Atbalsts CAES seku likvidetajiem un vinu gimenem ((no valsts speciala socialas apdrošinašanas budžeta) (ACAESSLG))</t>
  </si>
  <si>
    <t xml:space="preserve">          Survivor's pension (non means tested) : State pension insurance (Valsts pensiju apdrošinašana (VPA))</t>
  </si>
  <si>
    <t xml:space="preserve"> - Disability pensions includes amount of  tax from :</t>
  </si>
  <si>
    <t xml:space="preserve">          Disability pension (non means tested) : Disability pensions and sickness benefits (Invaliditates pensijas un slimibas pabalsti (IPSP))</t>
  </si>
  <si>
    <t xml:space="preserve">          Disability pension (non means tested) : Support to the liquidators of the Chernobyl nuclear accident consequences and their families (from Special state social insurance budget) (Atbalsts CAES seku likvidetajiem un vinu gimenem ((no valsts speciala socialas apdrošinašanas budžeta) (ACAESSLG))</t>
  </si>
  <si>
    <t xml:space="preserve"> - Occupational Injury benefits includes amount of  tax from :</t>
  </si>
  <si>
    <t xml:space="preserve">          Paid sick leave (non means tested) Sickness benefit in the event of an occupational disease or an accident of work (Slimības pabalsts sakarā ar nelaimes gadījumu darbā vai arodslimību)</t>
  </si>
  <si>
    <t xml:space="preserve">          Paid sick leave (non means tested) Sickness benefit in the general case (from the Social Insurance Special Budget) (Slimības pabalsts vispārējā gadījumā (no Sociālās apdrošināšanas speciālā budžeta)</t>
  </si>
  <si>
    <t xml:space="preserve"> - Occupational Injury benefits amount of  tax from :</t>
  </si>
  <si>
    <t>Survey</t>
  </si>
  <si>
    <t>Other cash lump sum benefits (non means tested) Sick leave payment by the employer (Slimības pabalsts vispārējā gadījumā (no darba devēja līdzekļiem))</t>
  </si>
  <si>
    <t>Central Statistical Bureau</t>
  </si>
  <si>
    <t xml:space="preserve"> - Maternity and parental leave payments includes amount of  tax from :</t>
  </si>
  <si>
    <t xml:space="preserve">          Birth grant (non means tested)  :State social benefits to the families with children (Valsts socialie pabalsti gimenem ar berniem (VSPGB)); Lump-sum benefit in case of three children birth (Vienreizējs pabalsts trīnīšu piedzimšanas gadījumā)</t>
  </si>
  <si>
    <t>Available data from Legislation of the Republic of Latvia</t>
  </si>
  <si>
    <t xml:space="preserve"> - unemployment assistance benefit includes amount of  tax from :</t>
  </si>
  <si>
    <t>Redundancy compensation (non means tested) : Passive employment policy (Pasiva nodarbinatibas politika (PNP)) Severance Pay (Atlaišanas pabalsts)</t>
  </si>
  <si>
    <t xml:space="preserve">          Other cash lump sum benefits (non means tested) : Severance Pay (in all other cases set by the Labour Law) (Atlaišanas pabalsts)( visos citos gadījumos saskaņā ar Darba likumu)</t>
  </si>
  <si>
    <t>Luxembourg</t>
  </si>
  <si>
    <t>millions d'Euros</t>
  </si>
  <si>
    <r>
      <t xml:space="preserve">Table Annex
Detailed information on the impact of the tax system on social expenditure </t>
    </r>
    <r>
      <rPr>
        <i/>
        <sz val="10"/>
        <rFont val="Times New Roman"/>
        <family val="1"/>
      </rPr>
      <t>(cont.)</t>
    </r>
  </si>
  <si>
    <t>ESSPROS scheme(s)</t>
  </si>
  <si>
    <t>ESSPROS category (1)</t>
  </si>
  <si>
    <t xml:space="preserve"> - public pensions (2)</t>
  </si>
  <si>
    <t xml:space="preserve"> - early retirement benefits (public)</t>
  </si>
  <si>
    <t>1c1</t>
  </si>
  <si>
    <t xml:space="preserve"> - private pensions (3)</t>
  </si>
  <si>
    <t>1c2</t>
  </si>
  <si>
    <t xml:space="preserve"> - early retirement benefits (private)</t>
  </si>
  <si>
    <t>Old-age cash benefits (survivor)</t>
  </si>
  <si>
    <t>3a1</t>
  </si>
  <si>
    <t xml:space="preserve"> - Disability pensions (public)</t>
  </si>
  <si>
    <t>3a2</t>
  </si>
  <si>
    <t xml:space="preserve"> - Disability pensions (private)</t>
  </si>
  <si>
    <t xml:space="preserve"> - Sickness payments (4)</t>
  </si>
  <si>
    <t>1151113 + 1151121 + 1151123</t>
  </si>
  <si>
    <t>1151112 + 1151114 + 1151111</t>
  </si>
  <si>
    <t>1151114 + 1182111</t>
  </si>
  <si>
    <t>Wage income (5)</t>
  </si>
  <si>
    <t>Wage income + transferts</t>
  </si>
  <si>
    <r>
      <rPr>
        <i/>
        <sz val="10"/>
        <rFont val="Times New Roman"/>
        <family val="1"/>
      </rPr>
      <t xml:space="preserve"> Note</t>
    </r>
    <r>
      <rPr>
        <sz val="10"/>
        <rFont val="Times New Roman"/>
        <family val="1"/>
      </rPr>
      <t xml:space="preserve">: </t>
    </r>
  </si>
  <si>
    <t>1)  Correspondance of EUROSTAT ESSPROS scheme and category.</t>
  </si>
  <si>
    <t xml:space="preserve">Source: Microsimulation de l'Inspection générale de la sécurité sociale (IGSS) du Luxembourg (www.mss.public.lu).  </t>
  </si>
  <si>
    <t>B. Taux indirect implicite moyen d'imposition sur la consommation</t>
  </si>
  <si>
    <t>Impôts indirects payés sur la consommation des prestations en espèces, en millions de la monnaies nationale</t>
  </si>
  <si>
    <t>Dépense privée de consommation finale des ménages</t>
  </si>
  <si>
    <t xml:space="preserve">Consommation des ménages et des administrations publiques moins les salaires des administrations publiques </t>
  </si>
  <si>
    <t>Impôts sur la consommation plus droits d'accise (5110+5121)</t>
  </si>
  <si>
    <t xml:space="preserve">   5110 Impôts généraux</t>
  </si>
  <si>
    <t xml:space="preserve">   5121 Accises</t>
  </si>
  <si>
    <t xml:space="preserve">Impôts sur production, vente, transfert (5100) </t>
  </si>
  <si>
    <t>Impôts sur les biens et services (5000)</t>
  </si>
  <si>
    <t>Taux indirect implicite moyen d'imposition sur la consommation :</t>
  </si>
  <si>
    <t>par les impôts sur la consommation et les droits d'accise (3)/(2)</t>
  </si>
  <si>
    <t>par un concept plus large de base d'imposition (5)/(2)</t>
  </si>
  <si>
    <t>par un concept plus large de base d'imposition et en ignorant la consommation des administrations publiques (5)/(1)</t>
  </si>
  <si>
    <t>C. Avantages fiscaux à finalité sociale (en millions d'euros)</t>
  </si>
  <si>
    <t>Child tax credit till 2008</t>
  </si>
  <si>
    <t>Source:  Microsimulation model using administrative data of the Inspection générale de la sécurité sociale (IGSS) du Luxembourg (http://www.mss.public.lu/)</t>
  </si>
  <si>
    <t>MEXICO</t>
  </si>
  <si>
    <t>assumed = 2002</t>
  </si>
  <si>
    <t>Amount 
(in millions national currency)</t>
  </si>
  <si>
    <r>
      <t xml:space="preserve">A. Average Itemized Tax Rates (AITR, %) </t>
    </r>
    <r>
      <rPr>
        <b/>
        <vertAlign val="superscript"/>
        <sz val="10"/>
        <rFont val="Times New Roman"/>
        <family val="1"/>
      </rPr>
      <t>a/</t>
    </r>
  </si>
  <si>
    <t xml:space="preserve">Almost all the income of individuals from social programs is tax exempted, as stated in article 93 of the Income Tax Law. There are no revenue statistics of the fraction of these transfer benefits that is taxed. </t>
  </si>
  <si>
    <r>
      <t xml:space="preserve">Old-age cash benefits </t>
    </r>
    <r>
      <rPr>
        <vertAlign val="superscript"/>
        <sz val="10"/>
        <rFont val="Times New Roman"/>
        <family val="1"/>
      </rPr>
      <t>b/</t>
    </r>
  </si>
  <si>
    <r>
      <t>1c</t>
    </r>
    <r>
      <rPr>
        <vertAlign val="superscript"/>
        <sz val="10"/>
        <rFont val="Times New Roman"/>
        <family val="1"/>
      </rPr>
      <t xml:space="preserve"> </t>
    </r>
  </si>
  <si>
    <r>
      <t xml:space="preserve"> - Disability pensions </t>
    </r>
    <r>
      <rPr>
        <b/>
        <vertAlign val="superscript"/>
        <sz val="10"/>
        <rFont val="Times New Roman"/>
        <family val="1"/>
      </rPr>
      <t>b/</t>
    </r>
  </si>
  <si>
    <t xml:space="preserve"> - unemployment insurance/assistance benefit</t>
  </si>
  <si>
    <r>
      <t xml:space="preserve"> - rent subsidies </t>
    </r>
    <r>
      <rPr>
        <vertAlign val="superscript"/>
        <sz val="10"/>
        <rFont val="Times New Roman"/>
        <family val="1"/>
      </rPr>
      <t>b/</t>
    </r>
  </si>
  <si>
    <r>
      <t xml:space="preserve">Wage income </t>
    </r>
    <r>
      <rPr>
        <i/>
        <vertAlign val="superscript"/>
        <sz val="10"/>
        <rFont val="Times New Roman"/>
        <family val="1"/>
      </rPr>
      <t xml:space="preserve"> c/</t>
    </r>
  </si>
  <si>
    <r>
      <rPr>
        <vertAlign val="superscript"/>
        <sz val="10"/>
        <rFont val="Times New Roman"/>
        <family val="1"/>
      </rPr>
      <t>c/</t>
    </r>
    <r>
      <rPr>
        <sz val="10"/>
        <rFont val="Times New Roman"/>
        <family val="1"/>
      </rPr>
      <t xml:space="preserve"> Includes benefits related to wage income. </t>
    </r>
  </si>
  <si>
    <t>Source: Ministry of Finance.</t>
  </si>
  <si>
    <t>Indirect taxes paid out of consumption of cash transfers, in millions of pesos)</t>
  </si>
  <si>
    <t>C. Tax breaks for social purposes (in millions of Mexican pesos)</t>
  </si>
  <si>
    <r>
      <t>2001</t>
    </r>
    <r>
      <rPr>
        <vertAlign val="superscript"/>
        <sz val="10"/>
        <rFont val="Times New Roman"/>
        <family val="1"/>
      </rPr>
      <t>1/</t>
    </r>
  </si>
  <si>
    <t>Tax breaks Similar to cash benefits.</t>
  </si>
  <si>
    <r>
      <t xml:space="preserve"> - Fiscal subsidy (Art. 80-A of 2001 ITL, Articles 114 and 178 of ITL from 2003 to 2007)</t>
    </r>
    <r>
      <rPr>
        <vertAlign val="superscript"/>
        <sz val="10"/>
        <rFont val="Times New Roman"/>
        <family val="1"/>
      </rPr>
      <t>2/</t>
    </r>
    <r>
      <rPr>
        <sz val="10"/>
        <rFont val="Times New Roman"/>
        <family val="1"/>
      </rPr>
      <t xml:space="preserve"> 
(wastable tax credit eliminating the existing inequity in the employees' income tax by reducing the tax burden of those workers that receive a minor proportion of exempt fringe benefits, consequently reducing the difference with those who earn the same level of income and obtain a significant percentage of exempt fringe benefits)</t>
    </r>
  </si>
  <si>
    <t xml:space="preserve"> - Social welfare provisions (includes subsidy for disability, scholarships, day-care, cultural and sports activities, and other benefits given in accordance with labor contracts).</t>
  </si>
  <si>
    <t xml:space="preserve"> -  Employment subsidy.</t>
  </si>
  <si>
    <t>Tax breaks to stimulate private social protection (not including pensions).</t>
  </si>
  <si>
    <t xml:space="preserve"> - Income from saving funds.</t>
  </si>
  <si>
    <t xml:space="preserve"> - Reimbursement of medical, dental and funeral expenses.</t>
  </si>
  <si>
    <t xml:space="preserve"> - Donations to approved institutions. </t>
  </si>
  <si>
    <t>Tax breaks to pensions.</t>
  </si>
  <si>
    <t xml:space="preserve"> - Retirement and pensions.</t>
  </si>
  <si>
    <t xml:space="preserve"> - Deduction of employers contributions to retirement and pension funds (voluntary contributions). </t>
  </si>
  <si>
    <t>ESTONIA</t>
  </si>
  <si>
    <t>Millions of Estonian kroon (EEK).</t>
  </si>
  <si>
    <t>(Gross exp - Net exp)/Gross exp</t>
  </si>
  <si>
    <t xml:space="preserve"> - pensions</t>
  </si>
  <si>
    <t>average</t>
  </si>
  <si>
    <t xml:space="preserve">           old age pensions</t>
  </si>
  <si>
    <t>average of scheme 02 and 07</t>
  </si>
  <si>
    <t xml:space="preserve">           disability pension</t>
  </si>
  <si>
    <t xml:space="preserve">           survivor's pension</t>
  </si>
  <si>
    <t xml:space="preserve"> - benefits for temporary incapacity for work</t>
  </si>
  <si>
    <t>average of scheme 01: paid sick leave 21,0 and other cash periodic benefits 11,2</t>
  </si>
  <si>
    <t xml:space="preserve"> - unemployment benefits</t>
  </si>
  <si>
    <t xml:space="preserve">      income tax:</t>
  </si>
  <si>
    <t xml:space="preserve">           unemployment insurance benefit</t>
  </si>
  <si>
    <t>full employment benefit</t>
  </si>
  <si>
    <t xml:space="preserve">           insurance benefit upon lay-off</t>
  </si>
  <si>
    <t>redundancy compensation</t>
  </si>
  <si>
    <t xml:space="preserve">           benefit upon insolvency of employer</t>
  </si>
  <si>
    <t>other cash lump sum benefits</t>
  </si>
  <si>
    <t xml:space="preserve">      social security contributions:</t>
  </si>
  <si>
    <t xml:space="preserve"> - family benefits</t>
  </si>
  <si>
    <t xml:space="preserve">           maternity benefit</t>
  </si>
  <si>
    <t>average of scheme 01 and 02</t>
  </si>
  <si>
    <t xml:space="preserve">           parental benefit</t>
  </si>
  <si>
    <t>Indirect taxes paid out of consumption of cash transfers, in Millions of Estonian kroon (EEK).</t>
  </si>
  <si>
    <t>C. Tax breaks for social purposes (in Millions of EUR).</t>
  </si>
  <si>
    <t>Increased basic exemption upon provision of maintenance to child Additional allowance for 2nd+ children, accrual</t>
  </si>
  <si>
    <t>Deduction from tax base: educational expenses, accrual</t>
  </si>
  <si>
    <t>Deduction from tax base: education loan interests, accrual</t>
  </si>
  <si>
    <t>Not included in the total</t>
  </si>
  <si>
    <t>Additional allowance for couple, accrual</t>
  </si>
  <si>
    <t>Deduction from tax base: mortgage interest payments, accrual</t>
  </si>
  <si>
    <t>Deduction from tax base: contributions to voluntary pension funds, accrual</t>
  </si>
  <si>
    <t>Additional allowance for pensioners, this is not cash benefit but tax expenditure</t>
  </si>
  <si>
    <t>Source:  Estonian Tax and Customs Board</t>
  </si>
  <si>
    <t>FINLAND</t>
  </si>
  <si>
    <t>A. Average Itemised Tax Rates (%)</t>
  </si>
  <si>
    <t>Source: Ministry of Finance, Finland.</t>
  </si>
  <si>
    <t>Ministry of Finance (2001), Hallituksen kertomus Valtiovarain Hoidosta Ja Tilasta Vuonna 2000, helsinki</t>
  </si>
  <si>
    <t>France</t>
  </si>
  <si>
    <t>FRANCE</t>
  </si>
  <si>
    <t>Total (income tax + social security contributions)</t>
  </si>
  <si>
    <t>1-2-3a</t>
  </si>
  <si>
    <t>Old-age, survivors' benefits, disability pensions</t>
  </si>
  <si>
    <t xml:space="preserve"> Occupational Injury benefits</t>
  </si>
  <si>
    <t>Sickness payments</t>
  </si>
  <si>
    <t>4a-4c</t>
  </si>
  <si>
    <t xml:space="preserve">Family and sole parent cash benefits </t>
  </si>
  <si>
    <t xml:space="preserve"> Maternity and parental leave payments</t>
  </si>
  <si>
    <t xml:space="preserve">Social exclusion </t>
  </si>
  <si>
    <r>
      <t xml:space="preserve">Sources 2010: DREES, based on estimates from INES model (DREES/INSEE) and the </t>
    </r>
    <r>
      <rPr>
        <i/>
        <sz val="10"/>
        <rFont val="Times New Roman"/>
        <family val="1"/>
      </rPr>
      <t>Comptes de la protection sociale</t>
    </r>
    <r>
      <rPr>
        <sz val="10"/>
        <rFont val="Times New Roman"/>
        <family val="1"/>
      </rPr>
      <t xml:space="preserve"> (DREES). </t>
    </r>
  </si>
  <si>
    <r>
      <t xml:space="preserve">Sources 2001-2007: DREES/INSEE, based on estimates from ACOSS and the </t>
    </r>
    <r>
      <rPr>
        <i/>
        <sz val="10"/>
        <rFont val="Times New Roman"/>
        <family val="1"/>
      </rPr>
      <t>Comptes de la protection sociale</t>
    </r>
    <r>
      <rPr>
        <sz val="10"/>
        <rFont val="Times New Roman"/>
        <family val="1"/>
      </rPr>
      <t xml:space="preserve"> (DREES).</t>
    </r>
  </si>
  <si>
    <t>Tax breaks Similar to cash benefits</t>
  </si>
  <si>
    <t>Vieillesse</t>
  </si>
  <si>
    <t>Foncier bâti : Dégrèvement d’office en faveur des personnes de condition modeste 65-75 ans</t>
  </si>
  <si>
    <t>Foncier bâti :Exonération en faveur des personnes âgées ou de condition modeste</t>
  </si>
  <si>
    <t>Impôt sur le revenu : déductions pour frais d’accueil de personnes de plus de 75 ans dans le besoin</t>
  </si>
  <si>
    <t>Impôt sur le revenu : abattement pour durée de détention applicable aux cessions de titres ou droits par les dirigeants de PME partant à la retraite</t>
  </si>
  <si>
    <t>Vieillesse - invalidité</t>
  </si>
  <si>
    <t>Impôt sur le revenu : réduction au titre des frais de dépendance et d'hébergement pour les personnes dépendantes accueillies en établissement spécialisé</t>
  </si>
  <si>
    <t>Impôt sur le revenu : exonération des plus-values de cession réalisées par les titulaires de pensions de vieillesse ou de la carte d’invalidité dont les revenus n’excèdent pas certaines limites</t>
  </si>
  <si>
    <t>Impôt sur le revenu : crédit d'impôt en faveur des dépenses d'équipements de l'habitation principale en faveur de l'aide aux personnes</t>
  </si>
  <si>
    <t>Impôt sur le revenu : exonération de la prise en charge directe à titre de pensions alimentaires des dépenses d’hospitalisation ou d’hébergement en établissement</t>
  </si>
  <si>
    <t>Vieillesse - invalidité-survie</t>
  </si>
  <si>
    <t>Taxe d'habitation : Exonération en faveur des personnes âgées, handicapées ou de condition modeste</t>
  </si>
  <si>
    <t xml:space="preserve"> Impôt sur le revenu : réduction pour dépenses d'accueil dans un établissement pour personnes âgées dépendantes (long séjour)</t>
  </si>
  <si>
    <t xml:space="preserve"> Impôt sur le revenu : abattement en faveur des personnes âgées ou invalides</t>
  </si>
  <si>
    <t>Invalidité - survie</t>
  </si>
  <si>
    <t>Mutations à titre gratuit : abattement effectué sur l’actif taxable aux droits de mutation revenant à tout héritier, légataire ou donataire handicapé physique ou mental</t>
  </si>
  <si>
    <t>Famille - survie</t>
  </si>
  <si>
    <t>Impôt sur le revenu : mantien du quotien conjugal des veufs pour enfants à charge</t>
  </si>
  <si>
    <t>Famille-invalidité</t>
  </si>
  <si>
    <t>Impôt sur le revenu : quotient familial</t>
  </si>
  <si>
    <t>Taxe d'habitation : abattement pour charge de famille</t>
  </si>
  <si>
    <t>Taxe d'habitation : effet du quotient familial sur les dégrèvements partiels</t>
  </si>
  <si>
    <t>Famille</t>
  </si>
  <si>
    <t>Impôt sur le revenu: déduction des pensions pour enfants majeurs étudiants (et mineurs et ascendants à partir de 2009)</t>
  </si>
  <si>
    <t>Impôt sur le revenu : réduction d'impôt pour enfants scolarisés</t>
  </si>
  <si>
    <t>Impôt sur le revenu : crédit/réduction d'impôt pour frais de garde d'enfants de moins de 7 ans</t>
  </si>
  <si>
    <t>Impôt sur le revenu : abattement en faveur des contribuables ayant des enfants mariés à charge</t>
  </si>
  <si>
    <t>Impôt sur le revenu : régime spécial d'imposition des assistantes maternelles</t>
  </si>
  <si>
    <t>Impôt de solidarité sur la fortune : réduction d'impôt en raison du nombre d'enfants</t>
  </si>
  <si>
    <t>Autres domaines de politique sociale</t>
  </si>
  <si>
    <t>Impôt sur le revenu : Prime Pour l'Emploi</t>
  </si>
  <si>
    <t>Impôt sur le revenu : crédit d'impôt exceptionnel aux contribuables modestes</t>
  </si>
  <si>
    <t>Taxe d'habitation : dégrèvement total pour les titulaires du RMI</t>
  </si>
  <si>
    <t>Impôt sur le revenu : réduction pour dons aux personnes en difficulté</t>
  </si>
  <si>
    <t>Politiques actives du marché du travail</t>
  </si>
  <si>
    <t>Impôt sur le revenu : crédit d'impôt en cas de déménagement pour reprise d'une activité salariée</t>
  </si>
  <si>
    <t>Crédit d’impôt en faveur des jeunes de moins de vingt-six ans s’orientant vers un emploi qui connaît des difficultés de recrutement</t>
  </si>
  <si>
    <t>Logement</t>
  </si>
  <si>
    <t>Foncier bâti : exonération des immeubles à caractère social</t>
  </si>
  <si>
    <t>Taxe d'habitation : dégrèvement en faveur des personnes de condition modeste relogées dans le cadre du programme ANRU</t>
  </si>
  <si>
    <t>Impôt sur le revenu : réduction au titre des primes des contrats de rente survie et contrats d'épargne handicap</t>
  </si>
  <si>
    <t>Santé</t>
  </si>
  <si>
    <t>Taxe sur les conventions d'assurance : exonération en faveur de certains contrats d'assurance maladie complémentaire</t>
  </si>
  <si>
    <t>Memorendum items</t>
  </si>
  <si>
    <t>Impôt sur le revenu : déduction des cotisations versées au titre de l'épargne individuelle et facultative</t>
  </si>
  <si>
    <t xml:space="preserve">Impôt sur le revenu : déduction du revenu imposable des cotisations de retraite ou de prévoyance complémentaire versées à titre facultatif </t>
  </si>
  <si>
    <t xml:space="preserve">par les non-salariés et leurs conjoints collaborateurs </t>
  </si>
  <si>
    <t>Impôt sur le revenu: déduction des versements effectués en vue de la retraite mutualiste du combattant</t>
  </si>
  <si>
    <t>*2007 estimates</t>
  </si>
  <si>
    <t>Sources 2001-2007: Direction Générale des Impôts, INES model (DREES/INSEE).</t>
  </si>
  <si>
    <t>SLOVAK REPUBLIC</t>
  </si>
  <si>
    <t>Millions</t>
  </si>
  <si>
    <t>A. Average Itemised Tax Rates / Amount of direct tax paid on benefit income (in millions of euro)</t>
  </si>
  <si>
    <t>Cash benefits paid by general government in the Slovak Republic are not subject to income tax nor to social security contributions.</t>
  </si>
  <si>
    <t>Indirect taxes paid out of consumption of cash transfers, in millions of euro</t>
  </si>
  <si>
    <t>C. Tax breaks for social purposes (in millions of euro)</t>
  </si>
  <si>
    <t xml:space="preserve">Child tax allowance* </t>
  </si>
  <si>
    <t>* Child tax allowance and tax allowances for disabled people were deductible from tax base. Cancelled in 2004.</t>
  </si>
  <si>
    <t>Child tax credit (non wastable)</t>
  </si>
  <si>
    <t>x</t>
  </si>
  <si>
    <t>in 2005 - already in ESSPROS</t>
  </si>
  <si>
    <t xml:space="preserve">of which cash part: </t>
  </si>
  <si>
    <t>Tax allowance for partially disabled people*</t>
  </si>
  <si>
    <t>Tax allowance for disabled people*</t>
  </si>
  <si>
    <t>Assignments to non-profit sector for selected purposes*:</t>
  </si>
  <si>
    <t xml:space="preserve">   - assignments given by individuals</t>
  </si>
  <si>
    <t xml:space="preserve">   - assignments given by legal entities - social and health purposes</t>
  </si>
  <si>
    <t xml:space="preserve"> *  Each taxpayer can assign 2% from his tax liability (1% in 2003), limits for assignments: taxpayer - individual  - minimum EUR 3.32, taxpayer - legal entity - minimum EUR 8.30 </t>
  </si>
  <si>
    <t xml:space="preserve"> As of 2011 legal entities can assign 1.5 % of their tax liability to non-profit organisations. They can increase the assignment to 2%  provided they donated another 0.5% of their tax liability (donations are not tax deductible).</t>
  </si>
  <si>
    <t>As from 2014, individual can assign 3% of his tax liability, if he did volunteer work at least 40 hours per year, otherwise can assign only 2%. Minimim value to assign is 3 eur for individual and 8 eur for legal entities.</t>
  </si>
  <si>
    <t>Donations to municipatlities and legal entities for selected purposes**:</t>
  </si>
  <si>
    <t xml:space="preserve">   - donations given by individuals</t>
  </si>
  <si>
    <t xml:space="preserve">   - donations given by legal entities - social and health purposes</t>
  </si>
  <si>
    <t>** Tax deductibility limits for donations: taxpayer - individual - minimum EUR 16.60 and the value of donation can not exceed 10% of tax base, taxpayer - legal entity - minimum EUR 66.40 and the value of donation can not exceed 2 % of tax base. Cancelled in 2004.</t>
  </si>
  <si>
    <t>Reduction of tax for employers hiring disabled people***:</t>
  </si>
  <si>
    <t xml:space="preserve">    - taxpayers who filed tax return for personal income tax purposes</t>
  </si>
  <si>
    <t xml:space="preserve">   - taxpayers who filed tax return for corporate income tax purposes</t>
  </si>
  <si>
    <t>*** Reduction of tax (tax relief) for employers hiring disabled people: EUR 331.94 per employee or EUR 796.65 per employee per year according to the level of disability. Cancelled in 2004.</t>
  </si>
  <si>
    <t xml:space="preserve"> - Deduction of contributions to private pensions (e.g occupational pension plans, individual retirement accounts, RRSPs, Superannuation, etc) ****</t>
  </si>
  <si>
    <t xml:space="preserve"> - </t>
  </si>
  <si>
    <t>**** In 2005 a mandatory fully funded pillar (privately managed) of the pension system has been introduced. Part of social security contributions (9 percentage points) is accumulated in private pension funds and these amounts are non-taxable. As of September 2012 social security contributionis in private pension funds decreased from 9% to 4%. As all mandatory social security contributions are non taxable there are not considered as tax breaks. 
As from January 1, 2005, premiums paid to the supplementary pension insurance, payments for special-purpose savings paid to a bank and life insurances paid to an insurance company are tax-deductible up to the maximum limit of  EUR 398.33 per year. As from January 2011 they have been abolished.                            As of 2014 allowance for supplementary pension insurance has been reintroduced. Supplementary pension contributions are tax-deductible up to the maximum limit of EUR 180 per year.</t>
  </si>
  <si>
    <t xml:space="preserve"> -  Deduction of voluntary contributions to the privately managed fully funded pillar *****</t>
  </si>
  <si>
    <t>***** As of 2013 voluntary contributions to the privately managed fully funded pillar up to 2% of gross earnings net of employee social security contributions are tax-deductible. Maximum yearly limit for this tax relief is calculated as: 2% x 60 x AW(t-2), where AW(t-2) average wage two years ago.  It is legislated that this relief will be automatically abolished as of 2017.</t>
  </si>
  <si>
    <r>
      <rPr>
        <i/>
        <sz val="10"/>
        <rFont val="Times New Roman"/>
        <family val="1"/>
      </rPr>
      <t>Source</t>
    </r>
    <r>
      <rPr>
        <sz val="10"/>
        <rFont val="Times New Roman"/>
        <family val="1"/>
      </rPr>
      <t>: Data provided by Ministry of Labour, Social Affairs and Family of the Slovak Republic - aggregate data from filed tax returns (personal income tax and corporate income tax) in 2001, 2003  and by Ministry of Finance of the Slovak Republic in 2005 - 2016.</t>
    </r>
  </si>
  <si>
    <t>EXLCUDED</t>
  </si>
  <si>
    <t>Tax breaks similar to cash benefits 2</t>
  </si>
  <si>
    <t>I don't hink we should included this.</t>
  </si>
  <si>
    <t>SWEDEN</t>
  </si>
  <si>
    <t>1. Old-age cash benefits</t>
  </si>
  <si>
    <t>a - public pensions</t>
  </si>
  <si>
    <t>b - early retirement pensions</t>
  </si>
  <si>
    <t>c - private pensions</t>
  </si>
  <si>
    <t>2. Survivors benefits</t>
  </si>
  <si>
    <t>b - private pensions</t>
  </si>
  <si>
    <t/>
  </si>
  <si>
    <t>3. Incapacity-related benefits</t>
  </si>
  <si>
    <t>a - disability pensions</t>
  </si>
  <si>
    <t>b - occupational injury benefits</t>
  </si>
  <si>
    <t>c - sickness payments</t>
  </si>
  <si>
    <t>4. Family cash benefits</t>
  </si>
  <si>
    <t>a - family benefits</t>
  </si>
  <si>
    <t>b - maternity and parental leave payments</t>
  </si>
  <si>
    <t>c - sole parent benefits</t>
  </si>
  <si>
    <t>5. Active labor market policies</t>
  </si>
  <si>
    <t>a - benefits while in training</t>
  </si>
  <si>
    <t>6. Unemployment</t>
  </si>
  <si>
    <t>a - unemployment insurance benefit</t>
  </si>
  <si>
    <r>
      <t>Source</t>
    </r>
    <r>
      <rPr>
        <sz val="10"/>
        <rFont val="Times New Roman"/>
        <family val="1"/>
      </rPr>
      <t>: Statistics Sweden - Social Protection Expenditure and Receipts in Sweden and Europe. 2011 estimated as the average rates for 2010-2012</t>
    </r>
  </si>
  <si>
    <t>Indirect taxes paid out of consumption of cash transfers, in millions of Swedish kronor</t>
  </si>
  <si>
    <t>C. Tax breaks for social purposes (in millions of Swedish kronor)</t>
  </si>
  <si>
    <t>Information on TBSPs that were not accounted in the direct tax calculations is not available.</t>
  </si>
  <si>
    <t>UNITED STATES</t>
  </si>
  <si>
    <t>Millions of US dollars</t>
  </si>
  <si>
    <t>total 1 and 2</t>
  </si>
  <si>
    <t>Social Security Benefits</t>
  </si>
  <si>
    <t>Unemployment compensation</t>
  </si>
  <si>
    <t>Pension and IRA distributions</t>
  </si>
  <si>
    <t>Indirect taxes paid out of consumption of cash transfers, in millions US dollars</t>
  </si>
  <si>
    <t>C. Tax breaks for social purposes (in millions of US dollars)</t>
  </si>
  <si>
    <t>Credit for child and dependent care expenses &amp; exclusion for employer provided child care</t>
  </si>
  <si>
    <t xml:space="preserve">     Employer provided child care exclusion</t>
  </si>
  <si>
    <t xml:space="preserve">     Employer-provided child care credit</t>
  </si>
  <si>
    <t xml:space="preserve">     Credit for child and dependent care expenses</t>
  </si>
  <si>
    <t>Exclusion. of certain foster care payments</t>
  </si>
  <si>
    <t>Adoption assistance (adoption credit and exclusion)</t>
  </si>
  <si>
    <t>Assistance for adopted foster children</t>
  </si>
  <si>
    <t>Child credit (from 1998 onwards)</t>
  </si>
  <si>
    <t>Personal allowance for dependants (largely for children) **</t>
  </si>
  <si>
    <t>Refundable amounts:</t>
  </si>
  <si>
    <t>No longer available</t>
  </si>
  <si>
    <t>Deductibility of medical expenses</t>
  </si>
  <si>
    <t>Medical savings accounts</t>
  </si>
  <si>
    <t>Additional deduction for the blind</t>
  </si>
  <si>
    <t>Employment</t>
  </si>
  <si>
    <t>Earned income credit</t>
  </si>
  <si>
    <t>Tax part, cash part in SOCX</t>
  </si>
  <si>
    <t>Making work pay credit</t>
  </si>
  <si>
    <t>Exclusion. of employer contributions for medical insurance premiums and medical care</t>
  </si>
  <si>
    <t xml:space="preserve">Self-employed medical insurance premiums </t>
  </si>
  <si>
    <t>Tax credit for health insurance purchased by certain displaced and retired individuals (2002)</t>
  </si>
  <si>
    <t>Credit for employee health insurance expenses of small businesses (2010)</t>
  </si>
  <si>
    <t>Exclusion. of interest on State and local debt for private non-profit health facilities (excl. interest hospital construction bonds)</t>
  </si>
  <si>
    <t>Deductibility of charitable contributions (health)</t>
  </si>
  <si>
    <t>Special Blue Cross/Blue Shield deduction</t>
  </si>
  <si>
    <t>Tax credit for orphan drug research</t>
  </si>
  <si>
    <t>Credit for disabled access expenditures</t>
  </si>
  <si>
    <t>Deductibility of charitable contributions, other  than education or health</t>
  </si>
  <si>
    <t>Empowerment zones, enterprise communities, renewal communities</t>
  </si>
  <si>
    <t xml:space="preserve">New markets tax credit </t>
  </si>
  <si>
    <t>Exclusion of interest on hospital construction bonds</t>
  </si>
  <si>
    <t>Payroll tax effect</t>
  </si>
  <si>
    <t>Credit for employee health insurance expenses of small businesses</t>
  </si>
  <si>
    <t>Tax credit for health insurance purchased by certain displaced and retired individuals</t>
  </si>
  <si>
    <t>Tax breaks for pension *</t>
  </si>
  <si>
    <t>Net exclusion of pension contributions:</t>
  </si>
  <si>
    <t>Employer plans</t>
  </si>
  <si>
    <t>401(K) plans</t>
  </si>
  <si>
    <t>Individual retirement accounts</t>
  </si>
  <si>
    <t>Low and moderate income savers credit</t>
  </si>
  <si>
    <t>hidden rows</t>
  </si>
  <si>
    <t>Keogh plans</t>
  </si>
  <si>
    <t>Small business retirment credit</t>
  </si>
  <si>
    <t>* Estimates for later years reflect a change in the baseline.  Lower tax rates on dividends and capital gains on corporate equity are not considered tax preferences.</t>
  </si>
  <si>
    <t>ACA refundable premium assistance tax credit **</t>
  </si>
  <si>
    <t>Premium assistance tax credit</t>
  </si>
  <si>
    <t>Refundable amounts of the premium assistance tax credit</t>
  </si>
  <si>
    <t>** The Tax Code provides a premium assistance credit to any eligible taxpayers for any qualified health insurance purchased through a Health Insurance Exchange.  In general, an eligible taxpayer is a taxpayer with an annual household income between 100% and 400% of the federal poverty level for a family of the taxpayer's size and that does not have access to affordable minimum essential health care coverage primarily from his or her employer.  The amount of the credit equals the lesser of (1) the actual premiums paid by the taxpayer for such coverage or (2) the difference between the cost of a statutorily-identified benchmark plan offered on the Exchange and a required payment by the taxpayer that increases with income.</t>
  </si>
  <si>
    <r>
      <t xml:space="preserve">OFFICE of MANAGEMENT and BUDGET (2001), </t>
    </r>
    <r>
      <rPr>
        <i/>
        <sz val="10"/>
        <rFont val="Times New Roman"/>
        <family val="1"/>
      </rPr>
      <t>Analytical Perspectives, Budget of the United States Government</t>
    </r>
    <r>
      <rPr>
        <sz val="10"/>
        <rFont val="Times New Roman"/>
        <family val="1"/>
      </rPr>
      <t>, Washington DC</t>
    </r>
  </si>
  <si>
    <t>Credit for low-income housing investment</t>
  </si>
  <si>
    <t>Additional deduction for the elderly</t>
  </si>
  <si>
    <t xml:space="preserve">don't inl;ude must eb in AITR </t>
  </si>
  <si>
    <t>NEW</t>
  </si>
  <si>
    <t>Tax credit for the elderly &amp; the disabled</t>
  </si>
  <si>
    <t>Exclusion premiums on group life insurance (1)</t>
  </si>
  <si>
    <t>Take out of past series, as it is life insurance</t>
  </si>
  <si>
    <t>Exclusion of interest on mortgage housing bonds (first-time low/medium income buyers)</t>
  </si>
  <si>
    <t>don't include (if we had infor)</t>
  </si>
  <si>
    <t>WOTC - Work opportunity tax credit</t>
  </si>
  <si>
    <t xml:space="preserve">Take out/subtract  of ALPM </t>
  </si>
  <si>
    <t>Welfare to work tax credit</t>
  </si>
  <si>
    <t>Employer provided benefits (EPB)</t>
  </si>
  <si>
    <t xml:space="preserve">Exclusion of employer provided death benefits     </t>
  </si>
  <si>
    <t>Exclusion of premiums on accident and disability insurance</t>
  </si>
  <si>
    <t>Exclusion. of income of trusts to finance supplementary unemployment benefits</t>
  </si>
  <si>
    <t>Exclusion. of employer provided child care</t>
  </si>
  <si>
    <t>Employer-provided chldcare credit</t>
  </si>
  <si>
    <t>Miscellaneous</t>
  </si>
  <si>
    <t>Exclusion of interest on state and local debt for veterans housing</t>
  </si>
  <si>
    <t>out on 25/10/2007 when updating housing SOCX section</t>
  </si>
  <si>
    <t>Exclusion of interest on rental housing bonds (targeted at low-income families)</t>
  </si>
  <si>
    <t>Expensing of costs of removing architectural  barriers to the handicapped</t>
  </si>
  <si>
    <t>UNITED KINGDOM</t>
  </si>
  <si>
    <t>UK million Pound Sterling</t>
  </si>
  <si>
    <t>1999-2000</t>
  </si>
  <si>
    <t>2001-</t>
  </si>
  <si>
    <t>*</t>
  </si>
  <si>
    <t xml:space="preserve">      - Widows Pension</t>
  </si>
  <si>
    <t xml:space="preserve">      - War Widows Pension</t>
  </si>
  <si>
    <t xml:space="preserve">       - Statutory sick pay</t>
  </si>
  <si>
    <t>3d</t>
  </si>
  <si>
    <t xml:space="preserve"> - Disability Allowances</t>
  </si>
  <si>
    <t xml:space="preserve">      - Maternity Allowance </t>
  </si>
  <si>
    <t xml:space="preserve">      - Statutory Maternity Allowance</t>
  </si>
  <si>
    <t xml:space="preserve"> - Sole parent benefits </t>
  </si>
  <si>
    <t>4d</t>
  </si>
  <si>
    <t xml:space="preserve"> - Child Benefit </t>
  </si>
  <si>
    <t>Wage income</t>
  </si>
  <si>
    <t>Source:  IGOTM Tax Benefit Model based on the (2001-02, 2003-04, 2005-06 and 2007-08) Family Resource Survey.</t>
  </si>
  <si>
    <t>C. Tax breaks for social purposes (in millions of pounds sterling)</t>
  </si>
  <si>
    <t>Working families'Tax Credit (negative tax)</t>
  </si>
  <si>
    <t>email maurice/willem 22/5</t>
  </si>
  <si>
    <t>tax</t>
  </si>
  <si>
    <t>cash</t>
  </si>
  <si>
    <t>total</t>
  </si>
  <si>
    <t>Working Tax Credit ( negative tax )</t>
  </si>
  <si>
    <t>Child Tax Credit  ( negative tax )</t>
  </si>
  <si>
    <t>Additional personal allowance for one parent families</t>
  </si>
  <si>
    <t>Other Income Maintenance</t>
  </si>
  <si>
    <t>Exemption of the first 30 000 pounds of severance payments</t>
  </si>
  <si>
    <t>Charitable donations under the payroll giving scheme</t>
  </si>
  <si>
    <t>Outplacement counselling for redundant employees</t>
  </si>
  <si>
    <t>Insurance premiums and medical care (abolished in 1999)</t>
  </si>
  <si>
    <t xml:space="preserve">Other </t>
  </si>
  <si>
    <t>Total reliefs</t>
  </si>
  <si>
    <t xml:space="preserve">     Deduction of contributions to private pensions by employees and self-employed</t>
  </si>
  <si>
    <t xml:space="preserve">     Deduction of contributions to private pensions by employers</t>
  </si>
  <si>
    <t xml:space="preserve">     Non-taxation of investment of private pension funds</t>
  </si>
  <si>
    <t xml:space="preserve">    Relief on lump sum payments from unfunded  schemes</t>
  </si>
  <si>
    <t>Estimates no longer produced</t>
  </si>
  <si>
    <t>- taxation of current pensions in payment</t>
  </si>
  <si>
    <r>
      <rPr>
        <i/>
        <sz val="10"/>
        <rFont val="Times New Roman"/>
        <family val="1"/>
      </rPr>
      <t>Sources</t>
    </r>
    <r>
      <rPr>
        <sz val="10"/>
        <rFont val="Times New Roman"/>
        <family val="1"/>
      </rPr>
      <t>:  Estimates based on administrative data and information compiled from a variety of sources by the Office for National Statistics, for HM Revenue and Customs.</t>
    </r>
  </si>
  <si>
    <t>OUT</t>
  </si>
  <si>
    <t>£10 Xmas bonus for pensioners</t>
  </si>
  <si>
    <t>Inheritance tax: Exemption of transfers for surviving spouses</t>
  </si>
  <si>
    <t>total 3</t>
  </si>
  <si>
    <t>3 = TBSPs aimed at stimulating pensions</t>
  </si>
  <si>
    <t>Relief for occupational pensions</t>
  </si>
  <si>
    <t>Relief for contributions to personal pension plans</t>
  </si>
  <si>
    <t>a</t>
  </si>
  <si>
    <t>Incentive for personal pensions and new</t>
  </si>
  <si>
    <t>contracted-out occupational progarmmes (NI contributions)</t>
  </si>
  <si>
    <t xml:space="preserve">Contracted-out rebate for occupational plans and </t>
  </si>
  <si>
    <t>personal pension plans (NI contributions)</t>
  </si>
  <si>
    <t>occupational plans</t>
  </si>
  <si>
    <t>personal plans</t>
  </si>
  <si>
    <t>Comps</t>
  </si>
  <si>
    <t xml:space="preserve">retirment relief capital gains tax </t>
  </si>
  <si>
    <t>GERMANY</t>
  </si>
  <si>
    <t>Table Annex I.A.2.1
Detailed information on the impact of the tax system on social expenditure (cont.)</t>
  </si>
  <si>
    <t>Direct taxes and social contributions paid on public cash benefits</t>
  </si>
  <si>
    <t>Social contributions paid by recipients of benefits (unemployment , disability, etc.)</t>
  </si>
  <si>
    <t>BMAS</t>
  </si>
  <si>
    <t>Income tax on pensions</t>
  </si>
  <si>
    <t>BMF</t>
  </si>
  <si>
    <t>Social security contributions</t>
  </si>
  <si>
    <t>- Soc. Sec. Cont. on old-age security for farmers</t>
  </si>
  <si>
    <t>- Soc Sec Cont on pension schemes of liberal professions</t>
  </si>
  <si>
    <t>- Supplementary Pensions by public employers</t>
  </si>
  <si>
    <t>Progression proviso (Progressionsvorbehalt)</t>
  </si>
  <si>
    <t xml:space="preserve">Tax and social contributions on family allowances for public servants </t>
  </si>
  <si>
    <t>Direct taxes and social contributions paid on mandatory private cash benefits</t>
  </si>
  <si>
    <t>Continued wage payments in case of sickness (Entgeltfortzahlung)</t>
  </si>
  <si>
    <t>Continued Wage Payments: Maternity and parental leave</t>
  </si>
  <si>
    <t>Direct taxes and social contributions paid on voluntary private cash benefits</t>
  </si>
  <si>
    <t>Tax over BAV (company pension)</t>
  </si>
  <si>
    <t>Soc. Sec. cont over BAV (company pension)</t>
  </si>
  <si>
    <t xml:space="preserve">Tax and soc.sec. cont over other benefits by employers </t>
  </si>
  <si>
    <t>Special expenses for owner-occupied homes</t>
  </si>
  <si>
    <t>Child component in conjunction with sec.10 e EStG (sec. 34 f EStG)</t>
  </si>
  <si>
    <t>Owner-occupied Homes Premium Law, total</t>
  </si>
  <si>
    <t>Employee savings premiums for productive investment (sec. 19 a EStG/sec. 3 no. 39 EStG)</t>
  </si>
  <si>
    <t>Deduction of occupational training expenses (sec. 10 para.1 no.7 EStG)</t>
  </si>
  <si>
    <t>Motor vehicle tax exemption for physically disabled persons (sec. 3a KraftStG)</t>
  </si>
  <si>
    <t>Household allowance (sec. 24b EStG)</t>
  </si>
  <si>
    <t>Deduction for extraordinary financial burdens (sec. 33 EStG)</t>
  </si>
  <si>
    <t>Deduction for extraordinary financial burdens in special instances (sec. 33a EStG)</t>
  </si>
  <si>
    <t>Lump sum allowances for the physically disabled and others (sec. 33b para. 3 EStG, sec. 33b para. 4 EStG)</t>
  </si>
  <si>
    <t>Lump sum care allowance (sec. 33b para. 6 EStG)</t>
  </si>
  <si>
    <t>Childcare expenses (Kinderbetreuungskosten) (sec. 10 para. 1 no. 5 EStG)</t>
  </si>
  <si>
    <t>Family benefits (child tax credit and child allowance)</t>
  </si>
  <si>
    <t xml:space="preserve">   For information: Family benefits total (Familienlastenausgleich: tax credit + cash benefits)</t>
  </si>
  <si>
    <t>(32 021)</t>
  </si>
  <si>
    <t>(36 080)</t>
  </si>
  <si>
    <t>(36 600)</t>
  </si>
  <si>
    <t>(36 240)</t>
  </si>
  <si>
    <t>(38 570)</t>
  </si>
  <si>
    <t>(41 200)</t>
  </si>
  <si>
    <t>(40 950)</t>
  </si>
  <si>
    <t>(41.200)</t>
  </si>
  <si>
    <t>(41.180)</t>
  </si>
  <si>
    <t>Exclusion of contributions to health and accident insurance</t>
  </si>
  <si>
    <t>Donations to (approved) NGOs and political parties</t>
  </si>
  <si>
    <t xml:space="preserve">Deduction of contributions to public pensions </t>
  </si>
  <si>
    <t>Deduction of private life insurances</t>
  </si>
  <si>
    <t xml:space="preserve">Lump sump taxation of contributions to occupational pension plans  </t>
  </si>
  <si>
    <r>
      <t>Sources</t>
    </r>
    <r>
      <rPr>
        <sz val="10"/>
        <rFont val="Times New Roman"/>
        <family val="1"/>
      </rPr>
      <t xml:space="preserve">: </t>
    </r>
    <r>
      <rPr>
        <b/>
        <sz val="10"/>
        <rFont val="Times New Roman"/>
        <family val="1"/>
      </rPr>
      <t>B</t>
    </r>
    <r>
      <rPr>
        <sz val="10"/>
        <rFont val="Times New Roman"/>
        <family val="1"/>
      </rPr>
      <t>undes</t>
    </r>
    <r>
      <rPr>
        <b/>
        <sz val="10"/>
        <rFont val="Times New Roman"/>
        <family val="1"/>
      </rPr>
      <t>m</t>
    </r>
    <r>
      <rPr>
        <sz val="10"/>
        <rFont val="Times New Roman"/>
        <family val="1"/>
      </rPr>
      <t xml:space="preserve">inisterium fur </t>
    </r>
    <r>
      <rPr>
        <b/>
        <sz val="10"/>
        <rFont val="Times New Roman"/>
        <family val="1"/>
      </rPr>
      <t>A</t>
    </r>
    <r>
      <rPr>
        <sz val="10"/>
        <rFont val="Times New Roman"/>
        <family val="1"/>
      </rPr>
      <t>rbeit und</t>
    </r>
    <r>
      <rPr>
        <b/>
        <sz val="10"/>
        <rFont val="Times New Roman"/>
        <family val="1"/>
      </rPr>
      <t xml:space="preserve"> S</t>
    </r>
    <r>
      <rPr>
        <sz val="10"/>
        <rFont val="Times New Roman"/>
        <family val="1"/>
      </rPr>
      <t>oziales (BMAS)</t>
    </r>
  </si>
  <si>
    <t xml:space="preserve">=  Federal Ministry of Labour and Social Affairs, Germany  </t>
  </si>
  <si>
    <r>
      <t xml:space="preserve">                </t>
    </r>
    <r>
      <rPr>
        <b/>
        <sz val="10"/>
        <rFont val="Times New Roman"/>
        <family val="1"/>
      </rPr>
      <t xml:space="preserve"> B</t>
    </r>
    <r>
      <rPr>
        <sz val="10"/>
        <rFont val="Times New Roman"/>
        <family val="1"/>
      </rPr>
      <t>undes</t>
    </r>
    <r>
      <rPr>
        <b/>
        <sz val="10"/>
        <rFont val="Times New Roman"/>
        <family val="1"/>
      </rPr>
      <t>m</t>
    </r>
    <r>
      <rPr>
        <sz val="10"/>
        <rFont val="Times New Roman"/>
        <family val="1"/>
      </rPr>
      <t xml:space="preserve">inisterium der </t>
    </r>
    <r>
      <rPr>
        <b/>
        <sz val="10"/>
        <rFont val="Times New Roman"/>
        <family val="1"/>
      </rPr>
      <t>F</t>
    </r>
    <r>
      <rPr>
        <sz val="10"/>
        <rFont val="Times New Roman"/>
        <family val="1"/>
      </rPr>
      <t>inanzen (BMF)</t>
    </r>
  </si>
  <si>
    <t xml:space="preserve">=  Federal Ministry of Finance, Germany  </t>
  </si>
  <si>
    <t>GREECE</t>
  </si>
  <si>
    <t>in millions of Euro</t>
  </si>
  <si>
    <t>A. Amount of direct tax paid on benefit income (in millions of Euro)</t>
  </si>
  <si>
    <t>AITR (%)</t>
  </si>
  <si>
    <t>Indirect taxes paid out of consumption of cash transfers, in millions of Euro)</t>
  </si>
  <si>
    <t>C. Tax breaks for social purposes (in millions of Euro)</t>
  </si>
  <si>
    <r>
      <rPr>
        <i/>
        <sz val="8"/>
        <rFont val="Times New Roman"/>
        <family val="1"/>
      </rPr>
      <t>Source</t>
    </r>
    <r>
      <rPr>
        <sz val="8"/>
        <rFont val="Times New Roman"/>
        <family val="1"/>
      </rPr>
      <t>: International Economic Relations Directorate, Tax Affairs Section.</t>
    </r>
  </si>
  <si>
    <t>ELSTAT - EU SILC Annual Survey</t>
  </si>
  <si>
    <t>Norway</t>
  </si>
  <si>
    <t>NORWAY</t>
  </si>
  <si>
    <t>Indirect taxes paid out of consumption of cash transfers, in millions Norwegian kroner</t>
  </si>
  <si>
    <t xml:space="preserve">  </t>
  </si>
  <si>
    <t>C. Tax breaks for social purposes (in millions of Norwegian kroner)</t>
  </si>
  <si>
    <t>Childcare expense deduction</t>
  </si>
  <si>
    <t>Additional personal allowance for one-parent families</t>
  </si>
  <si>
    <t>Healthcare expense deduction</t>
  </si>
  <si>
    <t>Occupational pension schemes</t>
  </si>
  <si>
    <t>Individual pension schemes1</t>
  </si>
  <si>
    <t xml:space="preserve">Source: Ministry of Finance </t>
  </si>
  <si>
    <t>1) The allowance granted for payments to Individual pension schemes (IPS) is a tax expenditure. However, withdrawals are taxed as pension income. In the long run this cacels out the initial tax expenditure.</t>
  </si>
  <si>
    <t>old 2001 ques</t>
  </si>
  <si>
    <t>POLAND</t>
  </si>
  <si>
    <t>Millions (national currency) CZK</t>
  </si>
  <si>
    <t>2010 *</t>
  </si>
  <si>
    <t>2011 *</t>
  </si>
  <si>
    <t>2012 *</t>
  </si>
  <si>
    <t>2013 *</t>
  </si>
  <si>
    <t>Total tax paid on transfer income (effective tax rate + effective rate of contribution)</t>
  </si>
  <si>
    <t xml:space="preserve">               old-age and disability pensions    </t>
  </si>
  <si>
    <t>13.53% * = 5.90% (tax) + 7.63% (SSC)</t>
  </si>
  <si>
    <t>14.28% * = 6.65% (tax) + 7.63% (SSC)</t>
  </si>
  <si>
    <t>13.80% * = 6.12% (tax) + 7.68% (SSC)</t>
  </si>
  <si>
    <t>14.02% * = 6.32% (tax) + 7.7% (SSC)</t>
  </si>
  <si>
    <t>14.23% * = 6.53% (tax) + 7.7% (SSC)</t>
  </si>
  <si>
    <t>14.47% * = 6.75% (tax) + 7.72% (SSC)</t>
  </si>
  <si>
    <t>14.68% * = 6.97% (tax) + 7.71% (SSC)</t>
  </si>
  <si>
    <t>15.98% *** = 7.20% (tax) + 8.79% (SSC)</t>
  </si>
  <si>
    <t xml:space="preserve">               unemployment benefits</t>
  </si>
  <si>
    <t>36.91% *** = 3.97% (tax) + 32.94% (SSC)</t>
  </si>
  <si>
    <t xml:space="preserve">               sickness benefits</t>
  </si>
  <si>
    <t>16.83% ** (= 9.40% (tax) + 7.43% (SSC))</t>
  </si>
  <si>
    <t>16.33% ** (= 8.90% (tax) + 7.43% (SSC)</t>
  </si>
  <si>
    <t>13.73% ** (= 6.16% (tax) + 7.57% (SSC)</t>
  </si>
  <si>
    <t>13.88% ** (= 6.35% (tax) + 7.53% (SSC)</t>
  </si>
  <si>
    <t>14.09% ** (= 6.55% (tax) + 7.54% (SSC)</t>
  </si>
  <si>
    <t>14.18% ** (= 6.65% (tax) + 7.53% (SSC)</t>
  </si>
  <si>
    <t>14.36% ** (= 6.85% (tax) + 7.51% (SSC)</t>
  </si>
  <si>
    <t xml:space="preserve">8.04% = 8.04% (tax) </t>
  </si>
  <si>
    <t xml:space="preserve">               wage income</t>
  </si>
  <si>
    <t>16.83% = 9.40% (tax) + 7.43% (SSC)</t>
  </si>
  <si>
    <t>16.33% =8,90%(tax)+7,43%(SSC)</t>
  </si>
  <si>
    <t>37.27%*** = 6.37% (tax) + 28.79% (SSC) + 2.11% (payroll taxes)</t>
  </si>
  <si>
    <t xml:space="preserve">              nursing benefit</t>
  </si>
  <si>
    <t>19,30% = 19,30% (SSC)</t>
  </si>
  <si>
    <t xml:space="preserve">              special attendance allowance</t>
  </si>
  <si>
    <t>22,45% = 22,45% (SSC)</t>
  </si>
  <si>
    <t xml:space="preserve">              maternity leave payments****</t>
  </si>
  <si>
    <t>35.95% *** = 8.98% (tax) + 26.97% (SSC)</t>
  </si>
  <si>
    <t>* Rate can be lower.</t>
  </si>
  <si>
    <t>*** The sum may not add up due to roundings</t>
  </si>
  <si>
    <t>** On 40% of benefits only.</t>
  </si>
  <si>
    <t>Source: Ministry of Finance, Poland.</t>
  </si>
  <si>
    <t>Indirect taxes paid out of consumption of cash transfers, in millions of Polish Zloty</t>
  </si>
  <si>
    <t>C. Tax breaks for social purposes (in millions of Polish Zloty)</t>
  </si>
  <si>
    <t>2005
(annual tax returns for 2004)</t>
  </si>
  <si>
    <t>2007
(annual tax returns for 2006)</t>
  </si>
  <si>
    <t>2009
(annual tax returns for 2008)</t>
  </si>
  <si>
    <t>2010 
(annual tax returns for 2009)</t>
  </si>
  <si>
    <t>2011
(annual tax returns for 2010)</t>
  </si>
  <si>
    <t>2012
(annual tax returns for 2011)</t>
  </si>
  <si>
    <t>2013
(annual tax returns for 2012)</t>
  </si>
  <si>
    <t>2014 (annual tax returns for 2013)</t>
  </si>
  <si>
    <t>2015 (annual tax returns 2014)</t>
  </si>
  <si>
    <t>2016 (annual tax returns 2015)</t>
  </si>
  <si>
    <t xml:space="preserve"> - Value of revenue foregone because of including children in the tax unit (in case of lonly parent)</t>
  </si>
  <si>
    <t xml:space="preserve"> - Children allowance</t>
  </si>
  <si>
    <t xml:space="preserve"> -</t>
  </si>
  <si>
    <t xml:space="preserve"> - Donations to (approved) NGOs </t>
  </si>
  <si>
    <t xml:space="preserve"> - Donations</t>
  </si>
  <si>
    <t>-  Expences for rehabilitation purposes</t>
  </si>
  <si>
    <t>2014 *</t>
  </si>
  <si>
    <t>2015 *</t>
  </si>
  <si>
    <t>2016 *</t>
  </si>
  <si>
    <t>Portugal</t>
  </si>
  <si>
    <t>Million Euros</t>
  </si>
  <si>
    <t>PORTUGAL</t>
  </si>
  <si>
    <t>Total income tax paid on public and private transfer income</t>
  </si>
  <si>
    <t>Source: estimate by the Ministry of Finance based on Personal Income Tax Returns data.</t>
  </si>
  <si>
    <t>- Child tax credits</t>
  </si>
  <si>
    <t>- Health care tax credits</t>
  </si>
  <si>
    <t>- Housing tax credits</t>
  </si>
  <si>
    <t xml:space="preserve"> - Tax credits for education expenses and for payments to homes for the elderly on behalf of taxpayers,</t>
  </si>
  <si>
    <t xml:space="preserve">     their relatives in the ascending line and other close relatives whose incomes do not exceed the minimum wage;</t>
  </si>
  <si>
    <t>- Tax credit for supporting relatives in the ascending line whose income does not exceed the minimum pension</t>
  </si>
  <si>
    <t>- Tax benefits for disabled people</t>
  </si>
  <si>
    <t>- Tax credits for contributions to personal accident and life insurance</t>
  </si>
  <si>
    <t>- Tax credits for contributions to health insurance</t>
  </si>
  <si>
    <t xml:space="preserve"> - Donations to (approved) NGOs, churches, museums, libraries, schools, research institutes and associations, </t>
  </si>
  <si>
    <t xml:space="preserve">      and other bodies (including government bodies)</t>
  </si>
  <si>
    <t>- Tax credits for individual retirement accounts (PPR)</t>
  </si>
  <si>
    <t>- Non-taxation of investment of private pension funds</t>
  </si>
  <si>
    <t>..  2001 figures are not available.</t>
  </si>
  <si>
    <t>Source: Portuguese Ministry of Finance, 2012 State Budget Report ; and Portuguese Ministry of Finance, Personal Income Tax Returns data.</t>
  </si>
  <si>
    <t>SWITZERLAND</t>
  </si>
  <si>
    <t>Millions Swiss francs</t>
  </si>
  <si>
    <t>about 740 000 000 in 2008 (cf page 11 of the report)</t>
  </si>
  <si>
    <t>http://www.estv.admin.ch/dokumentation/00075/00803/index.html?lang=fr&amp;download=NHzLpZeg7t,lnp6I0NTU042l2Z6ln1ae2IZn4Z2qZpnO2Yuq2Z6gpJCDdYJ,hGym162epYbg2c_JjKbNoKSn6A--</t>
  </si>
  <si>
    <t>Kt/Gde</t>
  </si>
  <si>
    <t>all amounts in CHF</t>
  </si>
  <si>
    <t>Child deduction</t>
  </si>
  <si>
    <t>item 2</t>
  </si>
  <si>
    <t>Deduction for supporting care-needing relatives</t>
  </si>
  <si>
    <t>NOTE: the above estimate predates the one listed in the table. The estimates are based on different samples, which explains the differences. See:</t>
  </si>
  <si>
    <t xml:space="preserve">http://www.estv.admin.ch/index.html?lang=dt&amp;webcode=d_1787_de </t>
  </si>
  <si>
    <t>Deduction for Insurance premiums (child)</t>
  </si>
  <si>
    <t>Sorry, links no longer active, unfortunately. :-(</t>
  </si>
  <si>
    <t>External child care</t>
  </si>
  <si>
    <t xml:space="preserve">These estimates for 2012 stem from our microsimulation model, as discussed in our email from July 2015. </t>
  </si>
  <si>
    <t>Parental tax rate schedule (wasteable tax credit)*</t>
  </si>
  <si>
    <t>These results are not directly comparable with previous values.</t>
  </si>
  <si>
    <t xml:space="preserve">All  items (cantonal and communal part) </t>
  </si>
  <si>
    <t xml:space="preserve">Replication for previous years with the same model was unfortunately judged to be disproportionately complex. </t>
  </si>
  <si>
    <t>Therefore, we have used the development of previous years' estimates to extrapolate backwards.</t>
  </si>
  <si>
    <t>Values for 2013 are all extrapolations; microsimulation results are not yet available.</t>
  </si>
  <si>
    <t>All values regarding personal income tax are given for tax years (annual accounts on the other hand reflect cash revenue from different tax years)</t>
  </si>
  <si>
    <t xml:space="preserve">The three-times rule of thumb for cantonal and communal tax breaks is very rough. </t>
  </si>
  <si>
    <t>Oftentimes, maximum deductions will be for different amounts, tax rate schedules are different, etc.</t>
  </si>
  <si>
    <t>Deduction of contributions for unemployment &amp;  mandatory accident insurance</t>
  </si>
  <si>
    <t>n.a,</t>
  </si>
  <si>
    <t>Moreover, it makes a difference whether lower or higher incomes make more use of a deduction.</t>
  </si>
  <si>
    <t>Deduction for health care and accident expenses</t>
  </si>
  <si>
    <t>*Parental tax rate schedule does not exist in this form at the cantonal/communal level, hence no multiplier.</t>
  </si>
  <si>
    <t>Deduction for donations to NGOs</t>
  </si>
  <si>
    <t>item 1</t>
  </si>
  <si>
    <t>Deduction of contributions to occupational pension plans (second pillar)</t>
  </si>
  <si>
    <t>Non taxation of interest revenues from occupational pension plans</t>
  </si>
  <si>
    <t>item 3</t>
  </si>
  <si>
    <t>Deduction of contributions to certain private pension plans (third pillar)</t>
  </si>
  <si>
    <t>item 4</t>
  </si>
  <si>
    <t>Non taxation of interest revenues from private pension plans</t>
  </si>
  <si>
    <t>item 5</t>
  </si>
  <si>
    <t>Deduction of contributions to life insurance, health insurance and accident insurance and interest on savings</t>
  </si>
  <si>
    <r>
      <rPr>
        <i/>
        <sz val="10"/>
        <rFont val="Times New Roman"/>
        <family val="1"/>
      </rPr>
      <t>Source</t>
    </r>
    <r>
      <rPr>
        <sz val="10"/>
        <rFont val="Times New Roman"/>
        <family val="1"/>
      </rPr>
      <t xml:space="preserve">:  Federal Department of Finance FDF, Federal Tax Administration FTA
</t>
    </r>
  </si>
  <si>
    <t>TURKEY</t>
  </si>
  <si>
    <t>A. Amount of direct tax paid on benefit income (in millions of of New Turkish liras (TRY) )</t>
  </si>
  <si>
    <t>Social benefits are not subject to taxation according to the Article 25 of the Law Number 193 (which is PIT Law).</t>
  </si>
  <si>
    <t>C. Tax breaks for social purposes (in millions of of New Turkish liras (TRY))</t>
  </si>
  <si>
    <t>Aids granted to employees on account of marriage and birth .</t>
  </si>
  <si>
    <t xml:space="preserve">Aids granted to employees on account of marriage and birth </t>
  </si>
  <si>
    <t>Aids granted by relief funds in accordance with their regulations to their members for such reasons as death, disablement, illness, birth, marriage.</t>
  </si>
  <si>
    <t>Disability Deduction</t>
  </si>
  <si>
    <t>Minimum Living Allowance</t>
  </si>
  <si>
    <t>Education and health expenditures made related to the taxpayer, his/her spouse and underage children, provided that they do not exceed 10% of the declared income and that they are made in Turkey and substantiated with documents to be received from real or legal persons subject to personal income tax or corporate tax.</t>
  </si>
  <si>
    <t>Annual deduction calculated for the declared income of the disabled who are engaged in self employement or who are taxed according to the simple procedure.</t>
  </si>
  <si>
    <t xml:space="preserve">Aids and donations granted with a receipt, to public administrations with general and special budgets, special provincial administrations, municipalities, villages, to associations working for benefit of the public and to foundations which are exempted from tax by the Council of Ministers, provided that they do not exceed 5% of the annual income to be declared (10% for districts having priority in development). </t>
  </si>
  <si>
    <t>Expenses made for the construction of schools, health facilities and dormitories with a bed capacity of at least a hundred ( fifty for districts having priority in development), nursery schools, orphanages, rest homes, care and rehabilitation centres and places of worship to be built under permit and supervision from local authorities and facilities that provide religious education under the supervision of the Directorate of Religious Affairs and youth centers and youth and scouting camps belonging to the Ministry of Youth and Sports which are donated to public administrations with general and special budgets, special provincial administrations, municipalities and villages; or aids and donations made to these institutions for the construction of these facilities and all of the donations and aids in cash or in kind made for the sustainability of the activities of the present facilities.</t>
  </si>
  <si>
    <t>All the production cost of foodstuff, hygiene, heating materials and clothes donated within the framework of procedures and principles specified by the Ministry of Finance to associations and foundations engaged in food banking/providing activities with an aim to helping the poor</t>
  </si>
  <si>
    <t>All the in-kind and in-cash donations made in return for receipt, to the aid campaigns initiated by the Prime Ministry or the Council of Ministers</t>
  </si>
  <si>
    <t>Except for their commercial enterprises, all cash donations and aids made in return for receipt, to Turkey Green Crescent Society and Turkey Red Crescent Society.</t>
  </si>
  <si>
    <t>Sheltered workplace discount: 100% of the annual gross wage payments made to mentally handicapped employees who are difficult to be recruited into the labor market</t>
  </si>
  <si>
    <t>The retirement, widowed, orphaned and marriage premiums or compensations paid to widows and orphans, paid by retirement funds and funds mentioned in Temporary Article 20 of the Social Insurance Law</t>
  </si>
  <si>
    <t>50% of the premiums paid to life insurances belonging to the taxpayer, his/her wife and his/her young children and personal insurance premiums such as death, accident, sickness, health, disability, maternity, birth and education, provided that they do not exceed 15% of the declared income and the annual amount of the minimum wage.</t>
  </si>
  <si>
    <t>New Zealand</t>
  </si>
  <si>
    <t>Million of New Zealand Dollars</t>
  </si>
  <si>
    <r>
      <t xml:space="preserve">Table Annex 
Detailed information on the impact of the tax system on social expenditure </t>
    </r>
    <r>
      <rPr>
        <i/>
        <sz val="14"/>
        <rFont val="Times New Roman"/>
        <family val="1"/>
      </rPr>
      <t>(cont.)</t>
    </r>
  </si>
  <si>
    <t>NEW ZEALAND</t>
  </si>
  <si>
    <t>Earners account (ACC)</t>
  </si>
  <si>
    <t>na</t>
  </si>
  <si>
    <t xml:space="preserve">Motor vehicle account (ACC) </t>
  </si>
  <si>
    <t>Non earners account (ACC)</t>
  </si>
  <si>
    <t>Treatment Injury account (ACC) (formerly medical misadventure account)</t>
  </si>
  <si>
    <t>Occupational injury: residual claims account (ACC)  (Discontinued. Now part of work account)</t>
  </si>
  <si>
    <t>Occupational injury: self-employed account (ACC) (Discontinued. Now part of work account)</t>
  </si>
  <si>
    <t>Occupational injury: employers account (ACC) (Discontinued. Now part of work account)</t>
  </si>
  <si>
    <t>Training Benefit (Combined with Unemployment Benefits in appropriations reporting)</t>
  </si>
  <si>
    <t xml:space="preserve">New Zealand Superannuation </t>
  </si>
  <si>
    <t>Student Allowances</t>
  </si>
  <si>
    <t>Indirect taxes paid out of consumption of cash transfers, in millions of New Zealand dollars</t>
  </si>
  <si>
    <t>C. Tax breaks for social purposes (in millions of New Zealand dollars)</t>
  </si>
  <si>
    <t>Child rebate</t>
  </si>
  <si>
    <t>Child Care</t>
  </si>
  <si>
    <t>Redundancy rebate</t>
  </si>
  <si>
    <t>Charitable Donations</t>
  </si>
  <si>
    <t xml:space="preserve">KiwiSaver tax credits (employer exemption from Employer Superannuation Contribution Tax funds) on employer contributions to employee's KiwiSaver </t>
  </si>
  <si>
    <t>Source: New Zealand Treasury to 2007; 2009 onward Ministry of Social Development.</t>
  </si>
  <si>
    <t>a = assistance or tax rebate not available</t>
  </si>
  <si>
    <t>na=information not available</t>
  </si>
  <si>
    <r>
      <rPr>
        <i/>
        <sz val="10"/>
        <rFont val="Times New Roman"/>
        <family val="1"/>
      </rPr>
      <t>Source</t>
    </r>
    <r>
      <rPr>
        <sz val="10"/>
        <rFont val="Times New Roman"/>
        <family val="1"/>
      </rPr>
      <t xml:space="preserve">: Ministry of Finance.  </t>
    </r>
  </si>
  <si>
    <t>Planned operations and dentistry expenses</t>
  </si>
  <si>
    <t xml:space="preserve">Tax allowance for disabled persons                                     </t>
  </si>
  <si>
    <t>Tax credit for corporations and associations of the disabled (if transfered amounts are greater than the estimated amount of the tax)</t>
  </si>
  <si>
    <t>Tax allowance for politically repressed persons and National resistance movement players</t>
  </si>
  <si>
    <t>Deductible expenses for education and health services  (in the limited amount)</t>
  </si>
  <si>
    <t>Deductible expenses (in the full amount) for individual medical and medical services</t>
  </si>
  <si>
    <t xml:space="preserve">For the most deprived person or family – 90% of the calculated tax amount </t>
  </si>
  <si>
    <t>For the low-income person or family – up to 90% of the calculated tax amount</t>
  </si>
  <si>
    <t>For politically repressed persons (regarding land and residential property which is that person ownership or possession at least five years) – 50% of the calculated tax amount</t>
  </si>
  <si>
    <t>Donations or gifts to associations, foundations and religious organizations</t>
  </si>
  <si>
    <t>Deductable expenses for provision made in private pension funds, insurance companies and investment funds</t>
  </si>
  <si>
    <t>Income from contributions to private pension funds</t>
  </si>
  <si>
    <t xml:space="preserve">Note: Statistics Norway has noted a mistake in the initial estimation, they will thus revise the entire time series which form the basis for table A. When the time series is revised the discrepancy between AITR in 6 and 6a will be more or less constant. The revision will be done this fall. </t>
  </si>
  <si>
    <t>AUSTRALIA</t>
  </si>
  <si>
    <t>previous dataset</t>
  </si>
  <si>
    <t>Amounts (Millions of Australian Dollars)</t>
  </si>
  <si>
    <t>Table Annex
Detailed information on the impact of the tax system on social expenditure</t>
  </si>
  <si>
    <r>
      <t>2001</t>
    </r>
    <r>
      <rPr>
        <vertAlign val="superscript"/>
        <sz val="10"/>
        <rFont val="Times New Roman"/>
        <family val="1"/>
      </rPr>
      <t>(a)</t>
    </r>
  </si>
  <si>
    <r>
      <t>2003</t>
    </r>
    <r>
      <rPr>
        <vertAlign val="superscript"/>
        <sz val="10"/>
        <rFont val="Times New Roman"/>
        <family val="1"/>
      </rPr>
      <t>(a)</t>
    </r>
  </si>
  <si>
    <r>
      <t>2005</t>
    </r>
    <r>
      <rPr>
        <vertAlign val="superscript"/>
        <sz val="10"/>
        <rFont val="Times New Roman"/>
        <family val="1"/>
      </rPr>
      <t>(b)</t>
    </r>
  </si>
  <si>
    <r>
      <t>2007</t>
    </r>
    <r>
      <rPr>
        <vertAlign val="superscript"/>
        <sz val="10"/>
        <rFont val="Times New Roman"/>
        <family val="1"/>
      </rPr>
      <t>(b)</t>
    </r>
  </si>
  <si>
    <r>
      <t>2009</t>
    </r>
    <r>
      <rPr>
        <vertAlign val="superscript"/>
        <sz val="10"/>
        <rFont val="Times New Roman"/>
        <family val="1"/>
      </rPr>
      <t>(b)</t>
    </r>
  </si>
  <si>
    <t>Age Pension</t>
  </si>
  <si>
    <t>Wife's Pension (i)</t>
  </si>
  <si>
    <t>Widow's B Pension (i)</t>
  </si>
  <si>
    <t>Superannuation pension</t>
  </si>
  <si>
    <t>Superannuation Lump Sums</t>
  </si>
  <si>
    <t>Veteran's Service Pensions</t>
  </si>
  <si>
    <t>Disability Support Pension</t>
  </si>
  <si>
    <t>Partner Allowance</t>
  </si>
  <si>
    <t>Carer's Payment</t>
  </si>
  <si>
    <t>Sole Parent</t>
  </si>
  <si>
    <t xml:space="preserve">         Widow Allowance</t>
  </si>
  <si>
    <t xml:space="preserve">         Unemployment Benefits </t>
  </si>
  <si>
    <t>(a) The AITRs were obtained by calculating the amount of tax paid in aggregate with and without the income streams.  The difference between the taxes paid was then divided by the value of the income stream to reveal the value of the AITR.</t>
  </si>
  <si>
    <t>(b) Tax paid on an income stream was calculated by dividing income from stream by total tax liability and then multiplying it by total tax paid. This amount was then divided by the total income from stream to calculate the AITR. This methodology has been adopted to align with the instructions provided by the OECD.</t>
  </si>
  <si>
    <t>(c) Figure is derived from a small sample of observations and caution should be taken with interpretation.</t>
  </si>
  <si>
    <t>Sources: CAPITA distributional model and PoEM microsimulation model. Revenue Group of The Treasury, Australian Government.</t>
  </si>
  <si>
    <t>Indirect taxes paid out of consumption of cash transfers, in millions of Australian dollars</t>
  </si>
  <si>
    <t>C. Tax breaks for social purposes (in millions of Australian dollars)</t>
  </si>
  <si>
    <t xml:space="preserve">Tax offsets for taxpayers with dependants </t>
  </si>
  <si>
    <t>Tax offset for housekeeper who cares for a prescribed dependant</t>
  </si>
  <si>
    <t>Tax offset for dependant spouse, child-housekeeper and housekeeper who cares for prescribed dependent (d)</t>
  </si>
  <si>
    <t>Tax offsets for taxpayers supporting a parent, parent-in-law, or invalid relative</t>
  </si>
  <si>
    <t>Exemption of certain income support benefits, pensions or allowances</t>
  </si>
  <si>
    <t>Exemption of payments made under the First Home Owners Grant Scheme</t>
  </si>
  <si>
    <t>Income averaging for authors, inventors, performing artists, production associates and sportspersons</t>
  </si>
  <si>
    <t>Exemption of post-judgment injury awards in personal injury compensation cases</t>
  </si>
  <si>
    <t>Exemption for National Disability Insurance Scheme amounts</t>
  </si>
  <si>
    <t>Exemption of the Schoolkids Bonus</t>
  </si>
  <si>
    <t>Beneficiary Tax Offset</t>
  </si>
  <si>
    <t xml:space="preserve">Capped taxation rates for lump sum payments for unused recreation and long service leave </t>
  </si>
  <si>
    <t xml:space="preserve">Concessional treatment of non-superannuation termination benefits </t>
  </si>
  <si>
    <t xml:space="preserve">Taxation of five per cent of unused long service leave accumulated by 15 August 1978 </t>
  </si>
  <si>
    <t xml:space="preserve">Capital gains tax exemption on the sale of a small business at retirement  </t>
  </si>
  <si>
    <t xml:space="preserve">Small business capital gains tax exemption for assets held for more than 15 years </t>
  </si>
  <si>
    <t>Exemption of rent subsidy payments under the Commonwealth/State mortgage and rent relief schemes</t>
  </si>
  <si>
    <t>Tax offset for low income earners</t>
  </si>
  <si>
    <t>For informaton only: these items are not included in the sum of TBSPs as that constitute a double counting with the calculations on Average Direct Tax Rates over benefit income</t>
  </si>
  <si>
    <t>Tax offset for child care (Revenue foregone)</t>
  </si>
  <si>
    <t>Exemption of Family Tax Benefit, Parts A and B (Revenue foregone)</t>
  </si>
  <si>
    <t>Exemption of certain veterans' pensions, allowances or benefits, compensations, and particular WWII-related payments for persecutions (Revenue foregone)</t>
  </si>
  <si>
    <t>A range of dependency tax offsets, including the dependent spouse tax offset and the invalid relative, parent, parent-in-law, housekeeper, housekeeper (with child), child--housekeeper and child-housekeeper (with child) tax offsets, were abolished from 1 July 2014.</t>
  </si>
  <si>
    <t>From 20 September 2009, the Utilities and Seniors' Concession Allowance was incorporated into Pension Supplement.</t>
  </si>
  <si>
    <t>(i)</t>
  </si>
  <si>
    <t>Reporting Modification.  This tax expenditure modifies 'Exemption of the Child Care Rebate' (A26 in 2014 TES) and incorporates 'Exemption of Child Care Benefit' (A37 in the 2014 TES). From 2017-18 this tax expenditure incorporates the Child Care Subsidy, subject to passage of legislation.</t>
  </si>
  <si>
    <t>(j)</t>
  </si>
  <si>
    <t>(k)</t>
  </si>
  <si>
    <t>The Baby Bonus was discontinued from 1 March 2014 and replaced by changes to Family Tax Benefit Part A.  This change from 2014-15 onwards is reflected in A35.  Source: 2013 TES.</t>
  </si>
  <si>
    <t>(l)</t>
  </si>
  <si>
    <t>The first child tax offset expired on 30 June 2009.</t>
  </si>
  <si>
    <t>GST exemption for education supplies (e.g. education sources, student accommodation)</t>
  </si>
  <si>
    <t>GST exemption for drugs and medicinal preparations</t>
  </si>
  <si>
    <t>GST exemption for medical aids and applicances</t>
  </si>
  <si>
    <t>GST exemption for medical and health services</t>
  </si>
  <si>
    <t>GST exemption for private health insurance</t>
  </si>
  <si>
    <t>GST exemption for residential care, community care and other care services (e.g. publicly funded aged care, disability care)</t>
  </si>
  <si>
    <t>GST exemption for child care services</t>
  </si>
  <si>
    <t>(m)</t>
  </si>
  <si>
    <t>The GST is an indirect, broad based consumption tax charged at a rate of 10 per cent. Several goods and services that fall within the OECD's definition of a social product are exempt from this tax. The value of these exemptions are listed above. If this type of tax expenditure in included in the calculation of net social expenditure for other countries, it may be appropriate to similarly incorporate this information in the calculation of net social expenditure in Australia. Estimates of tax expenditure on these concessions is not available for 2003 or 2001. Note that tax expenditures relating to GST exemptions was introduced into the Tax Expenditures Statement in 2008. For this reason, tax breaks relating to GST exemptions are not available for prior years.</t>
  </si>
  <si>
    <t>Tax offset for expenditure on private health insurance (m)</t>
  </si>
  <si>
    <t>Deduction for gifts to deductible gift recipients</t>
  </si>
  <si>
    <t>Deduction for gifts to approved donees</t>
  </si>
  <si>
    <t>Deduction for contributions with an associated minor benefit</t>
  </si>
  <si>
    <t>Partial rebate for certain non-profit, non-government bodies</t>
  </si>
  <si>
    <t>Capped exemption for public benevolent institutions (excluding public hospitals)</t>
  </si>
  <si>
    <t>Deduction for donations to prescribed private funds</t>
  </si>
  <si>
    <t>Tax exemption for the National Rental Affordability Scheme incentives</t>
  </si>
  <si>
    <t>(n)</t>
  </si>
  <si>
    <t>The rebate for private health insurance has been moved from the category 'Tax breaks similar to cash benefits' to 'Tax breaks to stimulate private social protection' to be consistent with other countries.</t>
  </si>
  <si>
    <t>Superannuation - capital gains tax discount for funds</t>
  </si>
  <si>
    <t>Concessional taxation of employer contributions</t>
  </si>
  <si>
    <t>Concessional taxation of superannuation entity earnings</t>
  </si>
  <si>
    <t>Concessional taxation of funded superannuation</t>
  </si>
  <si>
    <t>Concessional taxation of unfunded superannuation lump sums</t>
  </si>
  <si>
    <t>Superannuation - deduction and concessional taxation of certain personal contributions</t>
  </si>
  <si>
    <t>Superannuation - measures for low-income earners</t>
  </si>
  <si>
    <t>Superannuation - spouse contribution offset</t>
  </si>
  <si>
    <t>Superannuation - tax on funded lump sums relating to post-June 1983 service</t>
  </si>
  <si>
    <t>Table Annex: Detailed information on the impact of the tax system on social expenditure</t>
  </si>
  <si>
    <t>C. Tax breaks for social purposes</t>
  </si>
  <si>
    <t>Missing values are presented as follows:</t>
  </si>
  <si>
    <t xml:space="preserve">     m data not available;</t>
  </si>
  <si>
    <t xml:space="preserve">     a data do not exist;</t>
  </si>
  <si>
    <t xml:space="preserve">     x data included in another category.</t>
  </si>
  <si>
    <t>SOCX Manual/Methodology</t>
  </si>
  <si>
    <t>www.oecd.org/social/expenditure.htm</t>
  </si>
  <si>
    <t>Pension Contribution (Retirement Annuity and PRSA)</t>
  </si>
  <si>
    <t>Netherlands</t>
  </si>
  <si>
    <t>NETHERLANDS</t>
  </si>
  <si>
    <t>pm</t>
  </si>
  <si>
    <t>* 2007 tax rates in italics are Secretariat estimes.</t>
  </si>
  <si>
    <t>Source: Ministry of Finance, The Netherlands.</t>
  </si>
  <si>
    <t>2007 *</t>
  </si>
  <si>
    <t>Child credits</t>
  </si>
  <si>
    <t>aboshed in 2008 and transformed into a child benefit</t>
  </si>
  <si>
    <t>Child benefit (for information only as already included in SOCX)</t>
  </si>
  <si>
    <t xml:space="preserve">income dependent child benefit is introduced in 2008 and depends om number of children in 2009 and in later years/ for info as already in SOCX </t>
  </si>
  <si>
    <t>Income dependent combination credit (combination of work and care for children)</t>
  </si>
  <si>
    <t>Additional combination credit was introduced in 2004 and ended in 2009. In 2009 the income dependent combination credit is introduced.</t>
  </si>
  <si>
    <t>Single parent credit and additional single parent credit</t>
  </si>
  <si>
    <t>Cumulative single parent credit</t>
  </si>
  <si>
    <t>Special benefit invalidity and chronical illness</t>
  </si>
  <si>
    <t>Special benefit invalidity and chronical illness is introduced in 2009</t>
  </si>
  <si>
    <t>Deduction for medical expenses, disability, chronically ill or handicapped expenses, child adoption</t>
  </si>
  <si>
    <t>Deduction for medical expenses changed in 2009 and turned partly into a special benefit</t>
  </si>
  <si>
    <t>Deduction for support expenses for children</t>
  </si>
  <si>
    <t>assume zero</t>
  </si>
  <si>
    <t>Deduction for child care contributions</t>
  </si>
  <si>
    <t>Abolished per 2002; since 2002 we've introduced a credit for entering the labour force from unemployment (2003: € 8 mln), but this credit should be taken into account with the 2003 AITR calculations, which - unfortunately - we couldn't provide you with. This credit has been abolished per 2005.</t>
  </si>
  <si>
    <t>Child care benefit (i.e. daycare and nursery) (for information only as already included in SOCX)</t>
  </si>
  <si>
    <t>estimated using 2003/2001 change</t>
  </si>
  <si>
    <t xml:space="preserve">Reduced wage tax for low wage employees </t>
  </si>
  <si>
    <t>Abolished per 2006</t>
  </si>
  <si>
    <t>was 871 in 2001gross socx -- but is now as TBSP to stimulate private social protection (reduced age tax for low wage employees</t>
  </si>
  <si>
    <t>cam from LMP</t>
  </si>
  <si>
    <t xml:space="preserve">Reduced wage tax for long-term unemployed  </t>
  </si>
  <si>
    <t>was 207 in 2001 gross socx -- but is now as TBSP to stimulate private social protection (reduced wage tax for LTUs) 528.10.6.0.4.6 Reduction of employer's tax for low wage workers</t>
  </si>
  <si>
    <t>came from LMP</t>
  </si>
  <si>
    <t>Reduced wage tax for child care</t>
  </si>
  <si>
    <t xml:space="preserve">Abolished per 2005 because of introduction new regulation (levensloopregeling) </t>
  </si>
  <si>
    <t>Reduced wage tax for paid parental leave</t>
  </si>
  <si>
    <t xml:space="preserve">Abolished per 2006 because of introduction new regulation (levensloopregeling) </t>
  </si>
  <si>
    <t>http://rijksbegroting2005.minfin.nl/defaultf2d4.html</t>
  </si>
  <si>
    <t>Deduction of charitable and other donations</t>
  </si>
  <si>
    <t xml:space="preserve">Reduced succession duty for donations to institutions with a public interest </t>
  </si>
  <si>
    <t>Temporary additional tax credit for home help</t>
  </si>
  <si>
    <t>Abolished per 2005</t>
  </si>
  <si>
    <t>Tax deduction for costs of study</t>
  </si>
  <si>
    <t xml:space="preserve">Tax deduction towards employment/training of workforce </t>
  </si>
  <si>
    <t>was in SOCX 528.10.6.0.2.22 Fiscal facilities for job related training  528.10.6.0.2.22 Fiscal facilities for job related training</t>
  </si>
  <si>
    <t>Reduced wage tax for schooling (non profit)</t>
  </si>
  <si>
    <t>Abolished per 2004</t>
  </si>
  <si>
    <t>Deduction for schooling (employer)</t>
  </si>
  <si>
    <t>box 3</t>
  </si>
  <si>
    <t>* 2007 data in italics are Secretariat estimates. - means that the measures have been abolished.</t>
  </si>
  <si>
    <t>MINISTERIE van FINANCIEN (2002), Miljoenenennota 2002, Bijlage 5 Belastinguitgaven (tax expenditures), The Hague ; and additional calculations by the Ministry of Finance.</t>
  </si>
  <si>
    <t>Ministerie van Financien (2000), Miljoenennota, Bijlage 4, 's-Gravenhage .</t>
  </si>
  <si>
    <t>out</t>
  </si>
  <si>
    <t>Reduced wage tax for schooling</t>
  </si>
  <si>
    <t>Reduced wage tax for schooling (non-profit)</t>
  </si>
  <si>
    <t xml:space="preserve">The work credit (€ 5.366 million) has been left out of the calculations. This work credit is partly a 'making-work-pay' instrument. However, unlike most EITC credits, the dutch work credits does not fade out at higher income levels. The work credit has also replaced the deductibility of expenses for work. These expenses are no longer tax deductible. Our conclusion is that the work credit does not qualify as a TBSP. </t>
  </si>
  <si>
    <t>CZECH REPUBLIC</t>
  </si>
  <si>
    <t>A. Amount of direct tax paid on benefit income (in millions of Czech koruny)</t>
  </si>
  <si>
    <t>Total tax paid on transfer income</t>
  </si>
  <si>
    <t xml:space="preserve">               old-age pensions    </t>
  </si>
  <si>
    <t>Source: Ministry of Finance, Tax Policy Unit; Czech Social Security Administation.</t>
  </si>
  <si>
    <t>Indirect taxes paid out of consumption of cash transfers, in millions of Czech koruny</t>
  </si>
  <si>
    <t>C. Tax breaks for social purposes (in millions of Czech koruny)</t>
  </si>
  <si>
    <t>1. Tax breaks similar to cash benefits</t>
  </si>
  <si>
    <t>1.1 Tax exemptions (Personal Income Tax):</t>
  </si>
  <si>
    <t>* non-monetary benefits covered from the fund for cultural and social needs or profit after tax provided by an employer to his employee in form of recreational, health care, educational facilities, etc.</t>
  </si>
  <si>
    <t>1.2 Allowances from the tax base (Personal Income Tax; social insurance contributions are deductible from the tax base):</t>
  </si>
  <si>
    <t>* per each dependent child living with the taxpayer in one household</t>
  </si>
  <si>
    <t>* per each handicapped dependent child requiring an escort</t>
  </si>
  <si>
    <t>* per handicapped spouse requiring an escort living with taxpayer in one household unless the spouse's own income exceeds low income limit</t>
  </si>
  <si>
    <t>* per handicapped taxpayer requiring an escort</t>
  </si>
  <si>
    <t>* gifts donated to municipalities or to legal entities for financing science, education, culture, schools, police, youth welfare, animal protection, environment, humanitarian projects etc.</t>
  </si>
  <si>
    <t>2.1 Corporate Income Tax</t>
  </si>
  <si>
    <t>* tax credits for disabled employees</t>
  </si>
  <si>
    <t>2.2 Personal Income Tax</t>
  </si>
  <si>
    <t>* tax credits for disabled employee</t>
  </si>
  <si>
    <t>1. Deduction of contributions to private pensions - income tax exemptions and allowances from the tax base</t>
  </si>
  <si>
    <t xml:space="preserve">* exemption of contributions of employers on behalf of their employees on pension insurance with state contribution from personal income tax up to a ceiling of 5 per cent of employer's gross wage.  Until 2009 maximum exemption is 24 000 CZK for one employee </t>
  </si>
  <si>
    <t xml:space="preserve">* deduction of contributions of employers on behalf of their employees on pension insurance with state contribution from employer's tax base up to a ceiling of 3 per cent of gross wage of the employee.  Until 2009 maximum exemption is 24 000 CZK for one employee </t>
  </si>
  <si>
    <t>*  contributions of employees on their pension insurance with state contribution</t>
  </si>
  <si>
    <t>* deduction on behalf on pension insurance with state contribution from personal income tax up to a ceiling</t>
  </si>
  <si>
    <t>2. Non-taxation of investment of private pension funds</t>
  </si>
  <si>
    <t>* there is income tax of 15 % from the returns of private pension funds - standard tax rate is 28 %</t>
  </si>
  <si>
    <t>* reduced 15 % withholding tax on benefits/returns paid by the pension funds to the contributors</t>
  </si>
  <si>
    <t>* reduced 15 % withholding tax on benefits/returns paid by the life insurance to the contributors</t>
  </si>
  <si>
    <t>Sources: Tax Statistics, Czech Ministry of Finance; and the Association of Pension Funds of the Czech Republic.</t>
  </si>
  <si>
    <t>Non-monetary benefits covered from the fund for cultural and social needs or profit after tax provided by an employer to his employee in form of recreational, health care, educational facilities, etc.were estimated based on the previous trend for 2005,2007,2009.</t>
  </si>
  <si>
    <t>EXCLuDED</t>
  </si>
  <si>
    <t>There is no information on TBSPs towards current private benefits or similar to cash benefits that have not been accounted for in the AITR claculations on the Labour Market policy dbase</t>
  </si>
  <si>
    <t>There is tax exemption of the state pension insurance benefits (amount of the state pension benefits was 209 510 mil. CZK in 2001).</t>
  </si>
  <si>
    <t>The data about tax expenditures for social insurance contributions are not available.</t>
  </si>
  <si>
    <t>* rewards paid by the health care authorities to donors of blood and other human biological materials</t>
  </si>
  <si>
    <t>Take out  health spednign is not taxed</t>
  </si>
  <si>
    <t>* scholarships</t>
  </si>
  <si>
    <t>education</t>
  </si>
  <si>
    <t>* benefits from state sickness insurance</t>
  </si>
  <si>
    <t>direct tax rate is 0, so we don't count this again.</t>
  </si>
  <si>
    <t>* benefits from state unemployment insurance</t>
  </si>
  <si>
    <t>* benefits from state social support</t>
  </si>
  <si>
    <t>* other benefits from state social insurance</t>
  </si>
  <si>
    <t>* in kind state social benefits</t>
  </si>
  <si>
    <t>* per spouse living with taxpayer in one household unless the spouse's own income exceeds low income limit</t>
  </si>
  <si>
    <t>Mrriage is not a social policy objective</t>
  </si>
  <si>
    <t>* per taxpayer that is in receipt of a partial disability pension</t>
  </si>
  <si>
    <t>direct tax rate on diability pension is 0 and this will contribute to that</t>
  </si>
  <si>
    <t>* per taxpayer that is in receipt of a full disability pension</t>
  </si>
  <si>
    <t>* per taxpayer that takes part in a systematic educational or training programme</t>
  </si>
  <si>
    <t>either eduaction or in ALMP dbase, take out here</t>
  </si>
  <si>
    <t>* interests from building savings and from mortgages</t>
  </si>
  <si>
    <t>we don't include mortgage relief</t>
  </si>
  <si>
    <t>Table Q5. The value of Tax breaks for pensions, 2001</t>
  </si>
  <si>
    <t>Amount (in national currency) millions CZK</t>
  </si>
  <si>
    <t>* exemption of contributions of employers on behalf of their employees on private life insurance from personal income tax up to a ceiling of 12 000 CZK</t>
  </si>
  <si>
    <t>we do not include insurance saving</t>
  </si>
  <si>
    <t>* deduction of contributions of employers on behalf of their employees on private life insurance from employer's tax base up to a ceiling of 8 000 CZK</t>
  </si>
  <si>
    <t>*  contributions of employees on their private life insurance</t>
  </si>
  <si>
    <t>In-work tax credit</t>
  </si>
  <si>
    <t>Tax credit for mortgage payment</t>
  </si>
  <si>
    <t>Famliy tax allowance (child tax credit)</t>
  </si>
  <si>
    <t>Famliy SSC allowance</t>
  </si>
  <si>
    <t>Deduction for serious disablilities</t>
  </si>
  <si>
    <t>Allowance for job creation by micro-enterprises</t>
  </si>
  <si>
    <t>Tax credit for private health fund contributions</t>
  </si>
  <si>
    <t>Wage of disabled employees deductible from CIT</t>
  </si>
  <si>
    <t>SSC reduction on employment of certain categories of employees (young career-starters, previously unemployed, mothers with small children)</t>
  </si>
  <si>
    <t>Deduction from PIT for voluntary pension fund contributions or retirement savings</t>
  </si>
  <si>
    <t xml:space="preserve"> early retirement benefit for labour market reasons</t>
  </si>
  <si>
    <t>Child deduction (estimation of the cantonal part) - subsumed under Item 7</t>
  </si>
  <si>
    <t xml:space="preserve">red: no new data available yet. </t>
  </si>
  <si>
    <t>The AITRs are calculated using CPBs micro-simulation model MIMOSI. This micro-simulation model is based on annual tax data from a representative sample of taxpayers (220 000 individuals, of whom 150 000 have income, or 1.5% of the taxpaying population). These tax data mainly comprise information from income and wage tax returns and assessments. It normally takes three years before sufficient tax data are available and the simulation model is adjusted, and  before reliable up-to-date estimates can be made for current and future years. While calculating the AITRs tax on household savings (box 3) and on substantial shareholding (box 2) has not been taken into account.</t>
  </si>
  <si>
    <t>see SOCX</t>
  </si>
  <si>
    <t>part of Child benefit (kindgebonden budget)</t>
  </si>
  <si>
    <t>abolished</t>
  </si>
  <si>
    <t>Tax credit for the elderly (ouderenkorting)</t>
  </si>
  <si>
    <t>Tax credit for single elderly (alleenstaande ouderenkorting)</t>
  </si>
  <si>
    <t>Source: Ministry of Finance, and Ministry of Social Affairs and Employment, The Netherlands.</t>
  </si>
  <si>
    <t>Donations by individuals (excluding donations of cultural property and ecologically sensitive land)</t>
  </si>
  <si>
    <t>Donations by trusts</t>
  </si>
  <si>
    <t>Source:   Ireland Revenue, Income Tax Returns for 2017 (SAS)</t>
  </si>
  <si>
    <r>
      <t xml:space="preserve">Sources 2009-2017: DREES, based on estimates from INES model (DREES-INSEE), the </t>
    </r>
    <r>
      <rPr>
        <i/>
        <sz val="10"/>
        <rFont val="Times New Roman"/>
        <family val="1"/>
      </rPr>
      <t>Projets de loi des finances</t>
    </r>
    <r>
      <rPr>
        <sz val="10"/>
        <rFont val="Times New Roman"/>
        <family val="1"/>
      </rPr>
      <t xml:space="preserve"> (Direction Générale des Impôts) and the </t>
    </r>
    <r>
      <rPr>
        <i/>
        <sz val="10"/>
        <rFont val="Times New Roman"/>
        <family val="1"/>
      </rPr>
      <t>Comptes de la protection sociale</t>
    </r>
    <r>
      <rPr>
        <sz val="10"/>
        <rFont val="Times New Roman"/>
        <family val="1"/>
      </rPr>
      <t xml:space="preserve"> (DREES).</t>
    </r>
  </si>
  <si>
    <r>
      <t>2012</t>
    </r>
    <r>
      <rPr>
        <vertAlign val="superscript"/>
        <sz val="9"/>
        <rFont val="Times New Roman"/>
        <family val="1"/>
      </rPr>
      <t xml:space="preserve">(d) </t>
    </r>
  </si>
  <si>
    <r>
      <t>2015</t>
    </r>
    <r>
      <rPr>
        <vertAlign val="superscript"/>
        <sz val="9"/>
        <rFont val="Times New Roman"/>
        <family val="1"/>
      </rPr>
      <t>(f)</t>
    </r>
  </si>
  <si>
    <r>
      <t>2016</t>
    </r>
    <r>
      <rPr>
        <vertAlign val="superscript"/>
        <sz val="9"/>
        <rFont val="Times New Roman"/>
        <family val="1"/>
      </rPr>
      <t>(f)</t>
    </r>
  </si>
  <si>
    <t xml:space="preserve"> - private pensions (e)</t>
  </si>
  <si>
    <t>Sickness Allowance (c) (g)</t>
  </si>
  <si>
    <t xml:space="preserve">The AITRs for superannuation pensions and superannuation lump sums were calculated using a sample file of Australian tax returns.  All other AITRs were calculated using the static microsimulation models CAPITA or PoEM. </t>
  </si>
  <si>
    <t xml:space="preserve"> Data is reported for the financial year commencing on 1 July of the year indicated and finishing on 30 June of the following year i.e 2017 would indicate the year starting 1 July 2017 and ending 30 June 2018.</t>
  </si>
  <si>
    <t>(d) Data is unavailable for 2012 as the current micro-simulation model does not provide information for 2012-13.</t>
  </si>
  <si>
    <t>(e) Calculations are based on tax data (2015 - 16 fiscal year) and have been revised back to 2007.  Calculations for years before 2007 were calculated based on a sample file of Australian tax returns in 2001.</t>
  </si>
  <si>
    <t>(f) Calculations are based on a microsimulation model using administration data (2015-16 fiscal year). This represents a break in the series from 2015.</t>
  </si>
  <si>
    <t>(g) Australia no longer provides an analysis of the taxes on widows pension, wives pension and sickness allowance because there are too few recipients. These payments still exist and are taxable but no modelling of the taxes has been undertaken because we cannot reliably estimate these figures.</t>
  </si>
  <si>
    <t xml:space="preserve">Tax breaks similar to cash benefits </t>
  </si>
  <si>
    <t>Exemption of Utilities Allowance and Seniors’ Concession Allowance (h)</t>
  </si>
  <si>
    <t>Exemption of the Child Care Assistance Payments  (Revenue foregone) (i)</t>
  </si>
  <si>
    <t>Exemption of Child Care Benefit (Revenue foregone) (j)</t>
  </si>
  <si>
    <t>Exemption of the Baby Bonus (Revenue foregone) (k)</t>
  </si>
  <si>
    <t>Exemption of the first child tax offset (Baby Bonus) (Revenue foregone) (l)</t>
  </si>
  <si>
    <r>
      <t xml:space="preserve">This tax expenditure is now incorporated into A27 - </t>
    </r>
    <r>
      <rPr>
        <i/>
        <sz val="10"/>
        <rFont val="Times New Roman"/>
        <family val="1"/>
      </rPr>
      <t>Exemption of Child Care Assistance payments</t>
    </r>
  </si>
  <si>
    <t>For information only : Exemptions from Goods and Services Tax for social products and services (excluded from total) (m)</t>
  </si>
  <si>
    <t xml:space="preserve"> - public pensions (mandatory)  </t>
  </si>
  <si>
    <t>Healthcare expenses for specific  pathologies</t>
  </si>
  <si>
    <t>Caregivers expenses</t>
  </si>
  <si>
    <t>University students home rental expenses</t>
  </si>
  <si>
    <t>Nursery school expenses</t>
  </si>
  <si>
    <t>Expenditure on sports activities for children (5 - 18 years)</t>
  </si>
  <si>
    <t>Tax credits for no. of children&gt;3 (non-wastable) (for info as already included in SOCX)</t>
  </si>
  <si>
    <t>Contributions, donations to recognized non-governmental authorities (NGOs), which are relevant in the field of cooperation with developing countries</t>
  </si>
  <si>
    <t xml:space="preserve">Liberal donations in cash or in kind to non-profit organizations of social utility, social promotion associations and some recognized foundations and associations </t>
  </si>
  <si>
    <t>Cash donations to university research institutes, public and supervised, as well as to entities of regional and national parks</t>
  </si>
  <si>
    <t>Deduction of contributions to private pensions (3)</t>
  </si>
  <si>
    <t xml:space="preserve"> Non-taxation of investment of private pension funds  (4)</t>
  </si>
  <si>
    <t xml:space="preserve">1) Healthcare expenses include healthcare expenses for disabled if these costs are not entered.   </t>
  </si>
  <si>
    <t>2) Since 2009 the estimate is based on the amount of the deduction calculated with the average marginal tax rate</t>
  </si>
  <si>
    <t xml:space="preserve"> 3) Since 2016, the estimate is based on amounts that also include amounts already deducted by the employer. The average marginal rate applies to these amounts.</t>
  </si>
  <si>
    <t>4) Until 2014 Tax breaks are a 1.5 percentage points reduction in the rate. The estimate is based on administrative data for tax revenue from pension fund revenue. Tax revenue without tax breaks is estimated by applying the ordinary tax rate of 12.5% to the taxable income. The loss of earnings is then calculated as the difference between this estimated tax revenue and the actual tax revenue.                                                 Since 2015 Tax breaks are a 6 percentage points rate reduction. The estimate is based on administrative data for tax revenue from pension fund revenue. Tax revenue without tax breaks is estimated by applying the ordinary 26% tax rate to taxable income. The loss of earnings is then calculated as the difference between this estimated tax revenue and the actual tax revenue.</t>
  </si>
  <si>
    <t xml:space="preserve">        income tax</t>
  </si>
  <si>
    <t>Basic and additional Income deduction (tax credit) see calculation</t>
  </si>
  <si>
    <t>지방세특례제한법에 의한 감면</t>
  </si>
  <si>
    <t>지방조례에 의한 감면</t>
  </si>
  <si>
    <t>지방세특례제한법에 의한 감면_장애인자동차감면액기준  국세자료환산액</t>
  </si>
  <si>
    <t>Remarks</t>
  </si>
  <si>
    <t>Non-taxation for personal pension saving</t>
  </si>
  <si>
    <t>Tax deduction  for personal pension saving</t>
  </si>
  <si>
    <t>Basic Income deduction for dependents (tax credit) (see sheet basic income deduction)</t>
  </si>
  <si>
    <t>Tax rep</t>
  </si>
  <si>
    <t>VAT</t>
  </si>
  <si>
    <t>SDLT</t>
  </si>
  <si>
    <t>Income of charities (1)</t>
  </si>
  <si>
    <t>Exemption to charities on death (2)</t>
  </si>
  <si>
    <t>* These figures are unavailable until the end of June</t>
  </si>
  <si>
    <t>..  Estimates no longer produced</t>
  </si>
  <si>
    <t>LITHUANIA</t>
  </si>
  <si>
    <t xml:space="preserve"> -  Long-term employment insurance fund benefits</t>
  </si>
  <si>
    <t>Source: State tax inspectorate and State social insurance fund board estimates based on administrative data</t>
  </si>
  <si>
    <t xml:space="preserve"> - Tax allowance for parents raising children                                </t>
  </si>
  <si>
    <t xml:space="preserve"> - Tax allowance for disabled persons                                     </t>
  </si>
  <si>
    <t xml:space="preserve"> - Deductible expenses for mortgage payments</t>
  </si>
  <si>
    <t xml:space="preserve"> - Non-taxation of contributions for additional (voluntary) health insurance  paid by the employer on behalf of the employee</t>
  </si>
  <si>
    <t xml:space="preserve"> - Non-taxation of of pension contributions to the pension account in a pension fund and life insurance premiums paid by the employer on behalf of the employee</t>
  </si>
  <si>
    <t xml:space="preserve"> - Deduction of pension contributions to the pension fund</t>
  </si>
  <si>
    <t xml:space="preserve"> - Non-taxation of  pension benefit and pension annuities received from a pension fund</t>
  </si>
  <si>
    <t>Source Information: State tax inspectorate estimates based on Personal Income tax returns</t>
  </si>
  <si>
    <t xml:space="preserve">Tax allowance for parents raising children" - these were replaced with universal child benefits as of 2018, therefore, there will be no data for 2018; </t>
  </si>
  <si>
    <t>DDS</t>
  </si>
  <si>
    <t>A</t>
  </si>
  <si>
    <t>B</t>
  </si>
  <si>
    <t>Hlas</t>
  </si>
  <si>
    <t>SDS</t>
  </si>
  <si>
    <t xml:space="preserve">NOTE: There is a break in the series between 2014 and 2015 for the calculation of AITRs and amount of tax paid on benefits.  For 2015 onwards these figures have been modelled using a microsimulation model based on administration data whereas in previous years this information has been estimated using a microsimulation model based on survey data.
Australia continues to have low AITRs for taxable benefits despite the methodology change, however, growth rates should not be calculated using responses from previous years.
The AITRs for superannuation pensions and superannuation lump sums were calculated using a sample file of Australian tax returns.  All other AITRs were calculated using the static microsimulation models CAPITA or PoEM. </t>
  </si>
  <si>
    <t xml:space="preserve"> - Social security contributions</t>
  </si>
  <si>
    <t>Sources: Ministry of Finance and Ministry of Inclusion, Social Security and Migrations, Spain.</t>
  </si>
  <si>
    <t>Exemption on maternity public benefits</t>
  </si>
  <si>
    <t>Tax allowance for disability of active workers</t>
  </si>
  <si>
    <t>Transitional Retirement Benefit (Discontinued) 4</t>
  </si>
  <si>
    <t>War Veteran's Allowances/Veteran's Pensions 5</t>
  </si>
  <si>
    <t>Widow's Benefit 6</t>
  </si>
  <si>
    <t>Invalid's Benefit 7</t>
  </si>
  <si>
    <t>Sickness benefit 8</t>
  </si>
  <si>
    <t>Occupational injury: work account (ACC) 9</t>
  </si>
  <si>
    <t>Domestic Purposes Benefit for lone parents 10</t>
  </si>
  <si>
    <t>Unemployment Benefit and Emergency Unemployment Benefit 11</t>
  </si>
  <si>
    <t>Independent Youth Benefit 12</t>
  </si>
  <si>
    <t>Jobseeker Support and Emergency Benefit 13</t>
  </si>
  <si>
    <t>Sole Parent Support 14</t>
  </si>
  <si>
    <t>Supported Living Payment 15</t>
  </si>
  <si>
    <t>Youth Payment and Young Parent Payment 16</t>
  </si>
  <si>
    <r>
      <t xml:space="preserve"> - public pensions </t>
    </r>
    <r>
      <rPr>
        <i/>
        <vertAlign val="superscript"/>
        <sz val="10"/>
        <rFont val="Times New Roman"/>
        <family val="1"/>
      </rPr>
      <t>2</t>
    </r>
  </si>
  <si>
    <r>
      <t xml:space="preserve"> - private pensions </t>
    </r>
    <r>
      <rPr>
        <i/>
        <vertAlign val="superscript"/>
        <sz val="10"/>
        <rFont val="Times New Roman"/>
        <family val="1"/>
      </rPr>
      <t>3</t>
    </r>
  </si>
  <si>
    <r>
      <t xml:space="preserve"> - Sickness payments </t>
    </r>
    <r>
      <rPr>
        <i/>
        <vertAlign val="superscript"/>
        <sz val="10"/>
        <rFont val="Times New Roman"/>
        <family val="1"/>
      </rPr>
      <t>4</t>
    </r>
  </si>
  <si>
    <t xml:space="preserve">Source: OECD on-line National Accounts database (http://stats.oecd.org/Index.aspx?DataSetCode=SNA_TABLE1) for lines 1 and 2; and OECD Revenue Statistics database (http://stats.oecd.org/Index.aspx?DataSetCode=REV) for lines 3, 4, and 5. 
na=data not available 
5) War Veteran's Allowances were renamed Veteran's Pensions in 1990.
6) Widow's Benefit was discontinued from July 2013; superseded by Jobseeker Support for clients who had no dependent children or whose youngest dependent child was aged 14 years or over, and by 
 Sole Parent Support for clients who have younger dependent children.
7) Invalid's Benefit was discontinued from July 2013; superseded by Supported Living Payment.
8) Sickness Benefit was discontinued from July 2013; superseded by Jobseeker Support - Health and Disability Conditions. Clients receiving this benefit retained a temporary exemption from requirements 
 to seek paid work.
9) Work account information released by ACC includes compensation payments made by employers who operate their own injury management scheme, but excludes tax at source paid by these employers. 
 This means that accurate information on tax at source on these payments is not available.
10) Domestic Purposes Benefit was discontinued from July 2013; superseded by Jobseeker Support - Work Ready (if caring for dependent children aged 14 years or over), by Sole Parent Support if caring
  for one or more dependent children aged under 14 years, and by Supported Living Payment if caring for a person who is dependent on full-tome care as a result of a health or medical condition.
11) Unemployment Benefits and Emergency Unemployment Benefits was discontinued from July 2013; superseded by Jobseeker Support - Work Ready.
12) Independent Youth Benefit was discontinued from August 2012; superseded by Young Parent Payments (for sole parents aged 19 years or under) and Youth Payment (for other young people).
13) Jobseeker Support and Emergency Benefit available from July 2013.
14) Sole Parent Support available from July 2013.
15) Supported Living Payment available from July 2013.
16) Youth Payment and Young Parent Payment available from August 2012.
</t>
  </si>
  <si>
    <t>2009 - 2014, actual expenditure on tax breaks published in Tax Expenditure Statements released by New Zealand Treasury following annual Government Budget 2019.</t>
  </si>
  <si>
    <t>Māori Authorities Donations</t>
  </si>
  <si>
    <t>Amount of "Planned operations and dentistry expenses" was estimated for 2018 as in 2017.</t>
  </si>
  <si>
    <t>Source: Eurostat, ESSPROS, Net Social Protection Benefits.</t>
  </si>
  <si>
    <t>Disability</t>
  </si>
  <si>
    <t>Old age</t>
  </si>
  <si>
    <t>Family/Children</t>
  </si>
  <si>
    <t>Social exclusion n.e.c.</t>
  </si>
  <si>
    <t>A. Effective combined taxation and social contribution rates on all social protection benefits (%)</t>
  </si>
  <si>
    <t>2017 *</t>
  </si>
  <si>
    <t xml:space="preserve">     Child tax credit line includes the credit for other dependents</t>
  </si>
  <si>
    <t>New from NetSocx2020</t>
  </si>
  <si>
    <t>Austria</t>
  </si>
  <si>
    <t>AUT</t>
  </si>
  <si>
    <t>Belgium</t>
  </si>
  <si>
    <t>BEL</t>
  </si>
  <si>
    <t>Germany</t>
  </si>
  <si>
    <t>DEU</t>
  </si>
  <si>
    <t>(41.490)</t>
  </si>
  <si>
    <t>(42.550)</t>
  </si>
  <si>
    <t>(43.465)</t>
  </si>
  <si>
    <t>(44.370)</t>
  </si>
  <si>
    <t>(45.365)</t>
  </si>
  <si>
    <t>(46.205)</t>
  </si>
  <si>
    <t>Revised data</t>
  </si>
  <si>
    <t>Denmark</t>
  </si>
  <si>
    <t>DNK</t>
  </si>
  <si>
    <t>Estonia</t>
  </si>
  <si>
    <t>EST</t>
  </si>
  <si>
    <t>Deduction from tax base: donations, gifts, accrual</t>
  </si>
  <si>
    <t>Hungary</t>
  </si>
  <si>
    <t>HUN</t>
  </si>
  <si>
    <t>Tax allowance of mothers who have raised 4 or more children (PIT)</t>
  </si>
  <si>
    <t>SSC exemption of retired persons</t>
  </si>
  <si>
    <t>COVID-19 related measures</t>
  </si>
  <si>
    <t>-SSC exemption in certain sectors COVID-19 related</t>
  </si>
  <si>
    <t xml:space="preserve"> -KATA exemption in certain sectors COVID-19 related</t>
  </si>
  <si>
    <t>Job protection Act and New Entrants' SCT tax allowance</t>
  </si>
  <si>
    <t>SCT exemption of retired persons</t>
  </si>
  <si>
    <r>
      <rPr>
        <i/>
        <sz val="10"/>
        <rFont val="Times New Roman"/>
        <family val="1"/>
      </rPr>
      <t>Source</t>
    </r>
    <r>
      <rPr>
        <sz val="10"/>
        <rFont val="Times New Roman"/>
        <family val="1"/>
      </rPr>
      <t>: Based on calculations using data from final budgetary accounts and tax return data by the hungarian tax authority (NTCA) for 2010-2020.</t>
    </r>
  </si>
  <si>
    <t>Lithuania</t>
  </si>
  <si>
    <t>LTU</t>
  </si>
  <si>
    <t>3: General pension scheme + 6: Statutory pension scheme</t>
  </si>
  <si>
    <t>4: Occupational  injury scheme</t>
  </si>
  <si>
    <t>4: Occupational  injury scheme+ 2: Health care and paid sick leave scheme</t>
  </si>
  <si>
    <t>1: Family allowances scheme</t>
  </si>
  <si>
    <t>1: Family allowances scheme + 2: Health care and paid sick leave scheme</t>
  </si>
  <si>
    <t>5: Employment measures scheme</t>
  </si>
  <si>
    <t>10: national solidarity scheme</t>
  </si>
  <si>
    <t>26: Continued wage payments scheme</t>
  </si>
  <si>
    <t>LUX</t>
  </si>
  <si>
    <t>Latvia</t>
  </si>
  <si>
    <t>LVA</t>
  </si>
  <si>
    <t>For large families (three or more children under 18 years) – 50%  of the calculated tax amount, but not more than 500 euro (since 3 May 2017 500 euro before 427 euro) and in the binding regulations of local governments - reliefs for families with children</t>
  </si>
  <si>
    <t>Since 2018 different deductible expenses - Deductible expenses for education and health services  (in the limited amount), Donations or gifts to associations, foundations and religious organizations, Deductible expenses (in the full amount) for individual medical and medical services and Planned operations and dentistry expenses)</t>
  </si>
  <si>
    <r>
      <rPr>
        <i/>
        <sz val="10"/>
        <rFont val="Times New Roman"/>
        <family val="1"/>
      </rPr>
      <t>Note</t>
    </r>
    <r>
      <rPr>
        <sz val="10"/>
        <rFont val="Times New Roman"/>
        <family val="1"/>
      </rPr>
      <t>: Break in the time series in 2011, due to different methods of calculating the AITR's have been used for the periods 2001 to 2010, and 2011 onwards.</t>
    </r>
  </si>
  <si>
    <t>NOR</t>
  </si>
  <si>
    <t>PRT</t>
  </si>
  <si>
    <t>Slovenia</t>
  </si>
  <si>
    <t>SVN</t>
  </si>
  <si>
    <t>10) Relief for voluntary supplementary pension insurance up to 24% of the compulsory contributions for pension and disability insurance for an insured employee, but no more than EUR 2,604.54 for 2009, EUR 2,646.46 for 2010, EUR 2,683.26 for the year 2011, EUR 2,755.71 for the year 2012 and EUR 2,819.09 for the years from 2013 to 2021 annually per employee, may apply under certain conditions.</t>
  </si>
  <si>
    <t xml:space="preserve">11) Special allowance for voluntary additional pension insurance payments: deduction for premiums paid by a resident to the provider of a pension plan based in Slovenia or in an EU Member State according to a pension plan that is approved and entered into a special register but limited to a sum equal to 24 % of the compulsory contribution for compulsory pension and disability insurance for the taxpayer, or 5,844 % of the taxpayer’s pension, and no more than EUR 2,604.54 for 2009, EUR 2,646.46 for 2010, EUR 2,683.26 for the year 2011, EUR 2,755.71 for the year 2012 and EUR 2,819.09 for the years from 2013 to 2021. </t>
  </si>
  <si>
    <t xml:space="preserve">Source(s): Starting from 2017, the sample used for the microdataset simulation is a 10% random sample of the personal income tax filer population. Estimates of 2020 and 2021 are based on 2019 data. The administrative data are provided by Canada Revenue Agency. </t>
  </si>
  <si>
    <t>Canada</t>
  </si>
  <si>
    <t>CAN</t>
  </si>
  <si>
    <t>Data supplied by Finance Canada, from Department of Finance Canada (2022, 2019, 2018, 2017, 2016, 2015, 2014, 2012, 2010, 2009, 2007, 2005, 2003, 2001), Report on Federal Tax Expenditures (called Tax Expenditures and Evaluations before 2016), Ottawa.</t>
  </si>
  <si>
    <t>Source(s): Starting from 2017, the sample used for the microdataset simulation is a 10% random sample of the personal income tax filer population. Estimates of 2020 and 2021 are based on 2019 data. The administrative data are provided by Canada Revenue Agency.</t>
  </si>
  <si>
    <t>Israel</t>
  </si>
  <si>
    <t>ISR</t>
  </si>
  <si>
    <t>NLD</t>
  </si>
  <si>
    <t>0</t>
  </si>
  <si>
    <t>box 1 and box 3 (box 1: "niet belaste premie" minus "belaste uitkering", box 3: see below)</t>
  </si>
  <si>
    <t>Korea</t>
  </si>
  <si>
    <t>KOR</t>
  </si>
  <si>
    <t>2019 onwards, national tax abatement(items 13 &amp; 23 in Q4) is reported here</t>
    <phoneticPr fontId="63" type="noConversion"/>
  </si>
  <si>
    <t>Source : Ministry of the Interior and Safety, Statistical Year Book of Local Tax, 2017-2021.</t>
    <phoneticPr fontId="63" type="noConversion"/>
  </si>
  <si>
    <t>-</t>
    <phoneticPr fontId="63" type="noConversion"/>
  </si>
  <si>
    <t>2019 onwards, this local tax benefit is reported under Q4.  items 37 &amp; 38</t>
    <phoneticPr fontId="63" type="noConversion"/>
  </si>
  <si>
    <t>n.a.</t>
    <phoneticPr fontId="63" type="noConversion"/>
  </si>
  <si>
    <t>Figures for 2019 &amp; 2020 are not reported</t>
    <phoneticPr fontId="63" type="noConversion"/>
  </si>
  <si>
    <r>
      <t xml:space="preserve">Source : </t>
    </r>
    <r>
      <rPr>
        <sz val="10"/>
        <rFont val="바탕"/>
        <family val="1"/>
        <charset val="129"/>
      </rPr>
      <t>한국무역통계진흥원</t>
    </r>
    <r>
      <rPr>
        <sz val="10"/>
        <rFont val="Times New Roman"/>
        <family val="1"/>
      </rPr>
      <t xml:space="preserve"> Korea Trade Statistics Promotion Institute, </t>
    </r>
    <r>
      <rPr>
        <sz val="10"/>
        <rFont val="바탕"/>
        <family val="1"/>
        <charset val="129"/>
      </rPr>
      <t>내부자료</t>
    </r>
    <r>
      <rPr>
        <sz val="10"/>
        <rFont val="Times New Roman"/>
        <family val="1"/>
      </rPr>
      <t xml:space="preserve"> unpublished data ;not available for FY 2019 and onwards.</t>
    </r>
  </si>
  <si>
    <t xml:space="preserve"> </t>
    <phoneticPr fontId="63" type="noConversion"/>
  </si>
  <si>
    <t>Non-taxation and other tax treatments on goods and services for the disabled, low-income families, etc.</t>
    <phoneticPr fontId="63" type="noConversion"/>
  </si>
  <si>
    <t>2019 onwards, all local tax benefits is recorded here</t>
  </si>
  <si>
    <t>Tax abatement and special tax treatments on business for the welfare and safety of elderly people, disabled, youth or any other vulnerable group</t>
    <phoneticPr fontId="63" type="noConversion"/>
  </si>
  <si>
    <t>Source : MOEF, Tax Expenditure budget, 2018-2022(settlements for FY2016-2020)</t>
    <phoneticPr fontId="63" type="noConversion"/>
  </si>
  <si>
    <t>Terminated in 2000 and transitional rules effective</t>
    <phoneticPr fontId="63" type="noConversion"/>
  </si>
  <si>
    <t>Income tax deduction for pension contribution(employee)</t>
    <phoneticPr fontId="63" type="noConversion"/>
  </si>
  <si>
    <t>National pension credit(for the period of unemployment or parental leave)</t>
    <phoneticPr fontId="63" type="noConversion"/>
  </si>
  <si>
    <t xml:space="preserve">Source : Basic Income  Deduction for Dependents(Tax credit) </t>
    <phoneticPr fontId="63" type="noConversion"/>
  </si>
  <si>
    <t>Source : MOEF, Tax Expenditure budget, 2018-2022(settlements for FY2016-2020);  MOEF, dBrain ; Ministry of the Interior and Safety, Statistical Year Book of Local Tax, 2017-2021.</t>
    <phoneticPr fontId="63" type="noConversion"/>
  </si>
  <si>
    <t>Amount</t>
    <phoneticPr fontId="15" type="noConversion"/>
  </si>
  <si>
    <t>Remarks</t>
    <phoneticPr fontId="15" type="noConversion"/>
  </si>
  <si>
    <t>-</t>
    <phoneticPr fontId="44" type="noConversion"/>
  </si>
  <si>
    <t>Can’t estimate, introduced in 2010</t>
  </si>
  <si>
    <t>Non-taxation on interest income from long-term savings insurance account(for elderlies, etc.)</t>
  </si>
  <si>
    <t>Reporting  of figures starts 2016</t>
    <phoneticPr fontId="63" type="noConversion"/>
  </si>
  <si>
    <t>etc.</t>
    <phoneticPr fontId="63" type="noConversion"/>
  </si>
  <si>
    <t>Tax breaks to pension</t>
    <phoneticPr fontId="63" type="noConversion"/>
  </si>
  <si>
    <t>Vulnerable Social group(disability pension, disability allowance, etc.)</t>
  </si>
  <si>
    <t>Introduced in 2011</t>
    <phoneticPr fontId="63" type="noConversion"/>
  </si>
  <si>
    <t>Ended in 2012</t>
    <phoneticPr fontId="63" type="noConversion"/>
  </si>
  <si>
    <t>Can't estimate</t>
  </si>
  <si>
    <t>Can't estimate introduced in 2009</t>
  </si>
  <si>
    <t>Introduced in 2008</t>
    <phoneticPr fontId="15" type="noConversion"/>
  </si>
  <si>
    <t>Additional deduction for single-parent family</t>
    <phoneticPr fontId="44" type="noConversion"/>
  </si>
  <si>
    <t>Introduced in 2007</t>
    <phoneticPr fontId="15" type="noConversion"/>
  </si>
  <si>
    <t>Veterans(welfare, etc.)</t>
  </si>
  <si>
    <t>Employment insurance, etc.</t>
    <phoneticPr fontId="63" type="noConversion"/>
  </si>
  <si>
    <t>Social insurance premium deduction and Special tax credit for social insurance premium(for employees)</t>
  </si>
  <si>
    <t>Introduced in 2009</t>
    <phoneticPr fontId="15" type="noConversion"/>
  </si>
  <si>
    <t>Introduced in 2004, terminated in 2017</t>
    <phoneticPr fontId="63" type="noConversion"/>
  </si>
  <si>
    <t>Income tax credits for increasing jobs for youth</t>
    <phoneticPr fontId="63" type="noConversion"/>
  </si>
  <si>
    <t>8.Housing</t>
    <phoneticPr fontId="63" type="noConversion"/>
  </si>
  <si>
    <t>Housing</t>
    <phoneticPr fontId="63" type="noConversion"/>
  </si>
  <si>
    <t>Housing cost</t>
    <phoneticPr fontId="63" type="noConversion"/>
  </si>
  <si>
    <t>Income tax credit for monthly rents</t>
    <phoneticPr fontId="63" type="noConversion"/>
  </si>
  <si>
    <t>Introduced in 2014</t>
  </si>
  <si>
    <t>Subtotal</t>
    <phoneticPr fontId="63" type="noConversion"/>
  </si>
  <si>
    <t>Support for low income families</t>
    <phoneticPr fontId="63" type="noConversion"/>
  </si>
  <si>
    <t>Special taxation for tax-favored comprehensive savings(for elderly, disabled, youth, etc.; account opened not later than Dec.31.2014)</t>
  </si>
  <si>
    <t>Reporting  of figures starts 2016, transitional rules effective</t>
    <phoneticPr fontId="63" type="noConversion"/>
  </si>
  <si>
    <t xml:space="preserve">Income tax deductions for collective savings accounts for housing subscription(non-homeowners, income-test) </t>
  </si>
  <si>
    <t>Non-taxation on long-term housing savings, etc.(for non-homeowners or means-test, account opened not later than Dec.31.2012)</t>
    <phoneticPr fontId="63" type="noConversion"/>
  </si>
  <si>
    <t>Social welfare- related local tax deduction and tax credit under the Restriction Of Special Local Taxation Act</t>
    <phoneticPr fontId="63" type="noConversion"/>
  </si>
  <si>
    <t>Tax reduction and exemption for social welfare under local ordinances</t>
    <phoneticPr fontId="63" type="noConversion"/>
  </si>
  <si>
    <t>Greece</t>
  </si>
  <si>
    <t>GRC</t>
  </si>
  <si>
    <r>
      <rPr>
        <i/>
        <sz val="8"/>
        <rFont val="Times New Roman"/>
        <family val="1"/>
      </rPr>
      <t>Note</t>
    </r>
    <r>
      <rPr>
        <sz val="8"/>
        <rFont val="Times New Roman"/>
        <family val="1"/>
      </rPr>
      <t>:  AITRs and amounts of taxes (including Social Security Contributions) paid by recipients, is based on the annual EU SILC survey conducted by ELSTAT for the relevant years.
The survey’s average sample size is about 18,669 beneficiaries for the year  2018 and 15,279 beneficiaries for the year 2019.
The weights of the survey’s cases that have been used are associated with the number of individual’s that took advantage of a benefit, not with the amount of the benefit itself. 
Also estimations for the taxes imposed to the individual’s benefit income have been evaluated according to his/her yearly overall gross income, employing properly escalating tax coefficients in valid for the related year.
Finally please consider the data as provisional, as it is designing an ad hoc survey for the provision of relevant data from administrative sources.
NB The descriptions of benefits in Table Q3 have been amended by ELSTAT as these were originally not accurate in item n</t>
    </r>
    <r>
      <rPr>
        <vertAlign val="superscript"/>
        <sz val="8"/>
        <rFont val="Times New Roman"/>
        <family val="1"/>
      </rPr>
      <t>o</t>
    </r>
    <r>
      <rPr>
        <sz val="8"/>
        <rFont val="Times New Roman"/>
        <family val="1"/>
      </rPr>
      <t xml:space="preserve"> 2, 4 and 4a.</t>
    </r>
  </si>
  <si>
    <t>n.a.y.</t>
  </si>
  <si>
    <t>Chile</t>
  </si>
  <si>
    <t>CHL</t>
  </si>
  <si>
    <t>Tax credit for Educational Expenses</t>
  </si>
  <si>
    <r>
      <t xml:space="preserve">Health insurance (Income tax - deduction) </t>
    </r>
    <r>
      <rPr>
        <vertAlign val="superscript"/>
        <sz val="10"/>
        <rFont val="Times New Roman"/>
        <family val="1"/>
      </rPr>
      <t>a)</t>
    </r>
  </si>
  <si>
    <r>
      <t xml:space="preserve">Unemploment insurance ( Income tax - deduction) </t>
    </r>
    <r>
      <rPr>
        <vertAlign val="superscript"/>
        <sz val="10"/>
        <rFont val="Times New Roman"/>
        <family val="1"/>
      </rPr>
      <t>a)</t>
    </r>
  </si>
  <si>
    <t>Item 9</t>
  </si>
  <si>
    <t>Reduced immovable property tax for vulnerable senior citizens</t>
  </si>
  <si>
    <t>Item 10</t>
  </si>
  <si>
    <t>Donations made to institutions for the labour inclusion of people with disabilities (Income tax -deduction)</t>
  </si>
  <si>
    <t>Item 11</t>
  </si>
  <si>
    <t>Donations to the National Cancer Fund (Income Tax - deduction)</t>
  </si>
  <si>
    <r>
      <t xml:space="preserve"> - Special treatment of voluntary contributions, agreed deposits, and normal and collective voluntary pension savings.</t>
    </r>
    <r>
      <rPr>
        <i/>
        <vertAlign val="superscript"/>
        <sz val="10"/>
        <rFont val="Times New Roman"/>
        <family val="1"/>
      </rPr>
      <t xml:space="preserve"> b)</t>
    </r>
  </si>
  <si>
    <t>The micro-simulation model used in the Ministry of Finance is based on a representative sample of some 800.000 individual taxpayers. The model is used for the planning of national tax policies and for estimating the effect of tax policy alterations on tax revenues and on the income tax liabilities of taxpayers at different income levels. The information is in principle collected for the Income Distribution Survey from Statistics Finland. The sample covers about 15% of the total taxpayer population, but the model has been made representative for the total taxpayer population. The dataset  is updated annually.There is a break in series in 2009 for unemployment average itemised tax rates resulting from a change in definition. There is a break in the series in 2018 resulting from a change of both micro-simulation model and micro-data.</t>
  </si>
  <si>
    <t>Finland</t>
  </si>
  <si>
    <t>FIN</t>
  </si>
  <si>
    <t>The micro-simulation model used in the Ministry of Finance is based on a representative sample of some 800.000 individual taxpayers. The model is used for the planning of national tax policies and for estimating the effect of tax policy alterations on tax revenues and on the income tax liabilities of taxpayers at different income levels. The information is in principle collected for the Income Distribution Survey from Statistics Finland. The sample covers about 15% of the total taxpayer population, but the model has been made representative for the total taxpayer population. The data set  is updated annually.</t>
  </si>
  <si>
    <t>Slovakia</t>
  </si>
  <si>
    <t>SVK</t>
  </si>
  <si>
    <t>Italy</t>
  </si>
  <si>
    <t>ITA</t>
  </si>
  <si>
    <t>2020 (p)</t>
  </si>
  <si>
    <t>(*) Methodological change since 2015</t>
  </si>
  <si>
    <t>Spain</t>
  </si>
  <si>
    <t>ESP</t>
  </si>
  <si>
    <t>SWE</t>
  </si>
  <si>
    <t>Sweden</t>
  </si>
  <si>
    <t>2020(h)</t>
  </si>
  <si>
    <t xml:space="preserve">   Parenting Payment Partnered</t>
  </si>
  <si>
    <t>n.a. (i)</t>
  </si>
  <si>
    <t>(h) Calculations for this year are based a microsimulation model using survey data (2017-18 fiscal year) due to the lack of administrative data as a result of the COVID-19 pandemic. These results should be interpreted with care due to the smaller sample size. This represents a temporary break in the series in 2020.</t>
  </si>
  <si>
    <t xml:space="preserve">(i) Benefits in these years were affected by additional emergency payments to address the COVID-19 pandemic. There is no data to estimate the tax paid on these benefits for these years. </t>
  </si>
  <si>
    <t>Medical expenses tax offset (e)</t>
  </si>
  <si>
    <t>(d)</t>
  </si>
  <si>
    <t>(e)</t>
  </si>
  <si>
    <t>The net medical expenses tax offset was abolished from 1 July 2019, and as of the 2021-22 buget year it no longer has a material budget impact.</t>
  </si>
  <si>
    <t>(h)</t>
  </si>
  <si>
    <t>Source:  Australian Government (2021, 2019, 2017, 2015, 2013, 2011, 2009, 2007, 2005, 2003), Tax Expenditures Statement, The Treasury, Canberra.</t>
  </si>
  <si>
    <t>Source:  Australian Government (2021, 2019, 2017, 2015, 2013, 2011), Tax Expenditures Statement, The Treasury, Canberra.</t>
  </si>
  <si>
    <t>Source:  Australian Government (2021, 2019, 2017, 2015, 2013, 2011, 2009, 2007,2005, 2003), Tax Expenditures Statement, The Treasury, Canberra.</t>
  </si>
  <si>
    <t>Source:  Australian Government (2021, 2019, 2013, 2011, 2009, 2007,2005, 2003), Tax Expenditures Statement, The Treasury, Canberra.</t>
  </si>
  <si>
    <t>Austalia</t>
  </si>
  <si>
    <t>AUS</t>
  </si>
  <si>
    <t>NA</t>
  </si>
  <si>
    <r>
      <rPr>
        <vertAlign val="superscript"/>
        <sz val="10"/>
        <rFont val="Times New Roman"/>
        <family val="1"/>
      </rPr>
      <t>a/</t>
    </r>
    <r>
      <rPr>
        <sz val="10"/>
        <rFont val="Times New Roman"/>
        <family val="1"/>
      </rPr>
      <t xml:space="preserve"> The AITR´s were calculated with a microdata set of taxable and exempted wage income of employees for 2010 - 2019. The microdata set for 2020 is not available yet.</t>
    </r>
  </si>
  <si>
    <r>
      <rPr>
        <vertAlign val="superscript"/>
        <sz val="10"/>
        <rFont val="Times New Roman"/>
        <family val="1"/>
      </rPr>
      <t>b/</t>
    </r>
    <r>
      <rPr>
        <sz val="10"/>
        <rFont val="Times New Roman"/>
        <family val="1"/>
      </rPr>
      <t xml:space="preserve">  Pension income less than 15 times the minimum wage is tax exempted. Tax exemption of certain social welfare benefits is limited if the sum of ordinary wage and benefits is greater than 7 times the annual minimum wage. In accordance with the Constitutional changes of the minimum wage concept, published in the Decree dated January 27, 2016, since 2016 it is introduced the Unit of Measure and Update (in Spanish, Unidad de Medida y Actualización), with the aim of deindexing the minimum wage as index, unit of measure or measure of reference to the calculation of the amount of the obligations and assumptions of the laws. In this way, for 2016 the initial value of the UMA is equal to the value of the minimum wage $73.04 per day ($75.49 in 2017, $80.60 in 2018, $84.49 in 2019, $86.88 in 2020, $89.62 in 2021, and $96.22 in 2022 ).The value of the UMA will be updated in February of each year.</t>
    </r>
  </si>
  <si>
    <t xml:space="preserve">Source: Tax Expenditures Report 2010-2021. </t>
  </si>
  <si>
    <t xml:space="preserve">https://www.finanzaspublicas.hacienda.gob.mx/es/Finanzas_Publicas/Informes_al_Congreso_de_la_Union
</t>
  </si>
  <si>
    <t>Since 2021, the document "Presupuesto de Gastos Fiscales" was renamed by "Documento de Renuncias Recaudatorias" in order to reflect properly the nature and content of the document. Notwithstanding the foregoing, this change does not modify the structure of the current document in relation to previous publications.</t>
  </si>
  <si>
    <t>Mexico</t>
  </si>
  <si>
    <t>MEX</t>
  </si>
  <si>
    <t>Switzerland</t>
  </si>
  <si>
    <t>CHE</t>
  </si>
  <si>
    <t xml:space="preserve">x = data recorded elsewhere. 
a = assistance not available. 
na = data not available. 
Sources: Ministry of Social Development, Accident Compensation Corporation. 
Taxation at source (paid by Ministry of Social Development and Accident Compensation Corporation) on income transfers and pensions. From administrative data. 
Notes 
1)      Tax on assistance shown is that paid by agencies, and is a potentially incomplete proxy for all tax paid on the assistance shown. Information on additional tax paid by recipients of assistance is not available.
2)     Calculated tax rates may be distorted by debts/adjustments which are deducted from the pre-tax figure. Increased calculated tax rates in 2019 and 2020 reflect at least in part the effect of increased rates of income support combined with unchanged tax brackets.
3)     Excludes non-taxable social assistance paid to households. Non-taxable assistance excluded includes Winter Energy Payment to assist income support recipients with heating costs, supplementary benefits (eg Accommodation Supplement) and     hardship assistance (eg Special Needs Grants).
4) Transitional Retirement Benefit discontinued on 1 April 2003 following incremental raising to 65 years of eligibility age for New Zealand Superannuation.
5) War Veteran's Allowances were renamed Veteran's Pensions in 1990.
6) Widow's Benefit was discontinued from July 2013; superseded by Jobseeker Support for clients who had no dependent children or whose youngest dependent child was aged 14 years or over, and by 
 Sole Parent Support for clients who have younger dependent children.
7) Invalid's Benefit was discontinued from July 2013; superseded by Supported Living Payment.
8) Sickness Benefit was discontinued from July 2013; superseded by Jobseeker Support - Health and Disability Conditions. Clients receiving this benefit retained a temporary exemption from requirements 
 to seek paid work.
9) Work account information released by ACC includes compensation payments made by employers who operate their own injury management scheme, but excludes tax at source paid by these employers. 
 This means that accurate information on tax at source on these payments is not available.
10) Domestic Purposes Benefit was discontinued from July 2013; superseded by Jobseeker Support - Work Ready (if caring for dependent children aged 14 years or over), by Sole Parent Support if caring
  for one or more dependent children aged under 14 years, and by Supported Living Payment if caring for a person who is dependent on full-tome care as a result of a health or medical condition.
11) Unemployment Benefits and Emergency Unemployment Benefits was discontinued from July 2013; superseded by Jobseeker Support - Work Ready.
12) Independent Youth Benefit was discontinued from August 2012; superseded by Young Parent Payments (for sole parents aged 19 years or under) and Youth Payment (for other young people).
13) Jobseeker Support and Emergency Benefit available from July 2013.
14) Sole Parent Support available from July 2013.
15) Supported Living Payment available from July 2013.
16) Youth Payment and Young Parent Payment available from August 2012.
</t>
  </si>
  <si>
    <t>2015 - 2020, estimated actual expenditure on tax breaks published in Tax Expenditure Statements released by New Zealand Treasury following annual Government Budget 2021</t>
  </si>
  <si>
    <t xml:space="preserve"> published in the Tax Expenditure Statement published following the 2021 Government Budget.</t>
  </si>
  <si>
    <t>NZL</t>
  </si>
  <si>
    <t>This advantage is considered to be granted for purposes of social protection and therefore has been included in our accounts.</t>
  </si>
  <si>
    <t>FRA</t>
  </si>
  <si>
    <t xml:space="preserve">       - Incapacity Benefit: Short-term</t>
  </si>
  <si>
    <t xml:space="preserve">       - Incapacity Benefit: Long-term</t>
  </si>
  <si>
    <t>Exemption of transfers to charities on death (3)</t>
  </si>
  <si>
    <t>40*</t>
  </si>
  <si>
    <t>50*</t>
  </si>
  <si>
    <r>
      <rPr>
        <b/>
        <sz val="10"/>
        <rFont val="Times New Roman"/>
        <family val="1"/>
      </rPr>
      <t>Pensions data</t>
    </r>
    <r>
      <rPr>
        <sz val="10"/>
        <rFont val="Times New Roman"/>
        <family val="1"/>
      </rPr>
      <t xml:space="preserve"> - the column totals may not equal the calculation from the individual components due to rounding.</t>
    </r>
  </si>
  <si>
    <t>For the September 2021 release, revisions were made to the 2016 to 2017 tax year and the 2017 to 2018 tax year. New data was received for these years and therefore the decision was made to revise. Data was not received for years prior to this and therefore earlier years could not be revised. Source: https://assets.publishing.service.gov.uk/government/uploads/system/uploads/attachment_data/file/1020917/Table_6.ods</t>
  </si>
  <si>
    <t>(1) From 2017-18 VAT relief is no longer estimated. Estimates for previous years have been backdated to not include VAT. Source: https://www.gov.uk/government/statistics/cost-of-tax-relief</t>
  </si>
  <si>
    <t>(2) Data for 2015-2019 have been revised. 2020 is provisional. Data is financial year. Source: https://www.gov.uk/government/statistics/cost-of-tax-relief</t>
  </si>
  <si>
    <t>(3) The rate of IHT is reduced from 40% to 36% if 10% or more of an estate is left to a qualifying charity.</t>
  </si>
  <si>
    <t>*Data are provisional</t>
  </si>
  <si>
    <t>..  Estimates not produced</t>
  </si>
  <si>
    <t>United Kingdom</t>
  </si>
  <si>
    <t>GBR</t>
  </si>
  <si>
    <t>Costa-Rica</t>
  </si>
  <si>
    <t>Millions of colones  (CRC)</t>
  </si>
  <si>
    <t>Table Annex 
Detailed information on the impact of the tax system on social expenditure</t>
  </si>
  <si>
    <t>Amount of direct tax paid over transfer income (in millions)</t>
  </si>
  <si>
    <r>
      <rPr>
        <i/>
        <sz val="10"/>
        <rFont val="Times New Roman"/>
        <family val="1"/>
      </rPr>
      <t>Source</t>
    </r>
    <r>
      <rPr>
        <sz val="10"/>
        <rFont val="Times New Roman"/>
        <family val="1"/>
      </rPr>
      <t>: XXXX</t>
    </r>
  </si>
  <si>
    <t>Indirect taxes paid out of consumption of cash transfers, in millions).</t>
  </si>
  <si>
    <t>Costa Rica</t>
  </si>
  <si>
    <t>CRI</t>
  </si>
  <si>
    <r>
      <t>C. Tax breaks for social purposes (in millions).</t>
    </r>
    <r>
      <rPr>
        <b/>
        <vertAlign val="superscript"/>
        <sz val="10"/>
        <rFont val="Times New Roman"/>
        <family val="1"/>
      </rPr>
      <t>1</t>
    </r>
  </si>
  <si>
    <t>3. Natural Persons with Lucrative Activity</t>
  </si>
  <si>
    <t xml:space="preserve">     Family Credits 3/</t>
  </si>
  <si>
    <t>4. Labor Income</t>
  </si>
  <si>
    <t>2. Tax Credits:</t>
  </si>
  <si>
    <t xml:space="preserve">    Other Credits: Compensation for affectation of Agrochemicals 2/</t>
  </si>
  <si>
    <t>5. Unique fuel tax.</t>
  </si>
  <si>
    <t xml:space="preserve">     Fuel for fishermen 4/</t>
  </si>
  <si>
    <t>1. Voluntary pension scheme contribution</t>
  </si>
  <si>
    <t>Source: Tax Expenditure Studies 2018 to 2020.</t>
  </si>
  <si>
    <t>Notes:</t>
  </si>
  <si>
    <t>1/ These are annual data, corresponding to the period from January 1 to December 31.</t>
  </si>
  <si>
    <t>2/ This data corresponds to what is stated in article 15 of Law No. 8130, which empowers the National Insurance Institute (INS), so that, through the resources generated by its annual profits, they cancel the indemnities of the people affected by the ¨DBCP” (Dibromo, Chloropropane)15. This implies that you are authorized to deduct the resources allocated to the payment of these compensations from the amount to be paid annually for income tax.</t>
  </si>
  <si>
    <t>3/ Corresponds to tax credits for children and spouse.</t>
  </si>
  <si>
    <t>4/ Fuel subsidy for fishermen: Article 1 of Law No. 8114, the following products are exempt from paying this tax: .The fuel used by the national fishermen fleet for non-sport fishing activity ( Law 7384).</t>
  </si>
  <si>
    <t>5/ GDP revised from the page of the Central Bank of Costa Rica on April 27, 2022</t>
  </si>
  <si>
    <t>Türkiye</t>
  </si>
  <si>
    <t>TUR</t>
  </si>
  <si>
    <r>
      <rPr>
        <i/>
        <sz val="10"/>
        <rFont val="Times New Roman"/>
        <family val="1"/>
      </rPr>
      <t>Note</t>
    </r>
    <r>
      <rPr>
        <sz val="10"/>
        <rFont val="Times New Roman"/>
        <family val="1"/>
      </rPr>
      <t xml:space="preserve"> : Tax breaks of corporates not included.
Please note that the updated data related to the years 2019 and 2020 are the aggregates of Annual Personal Income Tax Return, Simple Procedure Personal Income Tax Return, Personal Income Tax Return filed by taxpayers whose income only consists of Wage, Income From Immovable Capital, Income From Movable Capital and Other Income. The data from previous years contains only the figures of Annual Personal Income Tax Return. Therefore, the figures of 2019 and 2020 in the first Tab (TUR) under (C. Tax breaks for social purposes - in millions of Turkish liras) are higher than the previous years.</t>
    </r>
  </si>
  <si>
    <r>
      <rPr>
        <i/>
        <sz val="10"/>
        <rFont val="Times New Roman"/>
        <family val="1"/>
      </rPr>
      <t>Source</t>
    </r>
    <r>
      <rPr>
        <sz val="10"/>
        <rFont val="Times New Roman"/>
        <family val="1"/>
      </rPr>
      <t>: Ministry of Finance.</t>
    </r>
  </si>
  <si>
    <t>N/A</t>
  </si>
  <si>
    <t>Ireland</t>
  </si>
  <si>
    <t>IRL</t>
  </si>
  <si>
    <t>Single-Person Child Carer Credit (SPCCC) (1)</t>
  </si>
  <si>
    <t>Exemption of statutory redundancy payments (2)</t>
  </si>
  <si>
    <t>Additional allowance to widowed person in year of  bereavement (4)</t>
  </si>
  <si>
    <t>Employer’s  Contributions to Approved Superannuation Schemes (4)</t>
  </si>
  <si>
    <t>Personal retirement savings accounts(5)</t>
  </si>
  <si>
    <t xml:space="preserve">(1) The additional personal credit for lone parent was replaced by the Single-Person Child Carer Credit (SPCCC) in January 2014 which is awared to the primary child carer only. </t>
  </si>
  <si>
    <t>(2)Exemption of stautory redundancy payments reduction due to change in government legislation (Redundany Payments Act 1979) to no longer pay a rebate to employers after Jan 1 2013</t>
  </si>
  <si>
    <t>(3) Methodology was reassessed and it was determined that the basis on which the estimates were arrived at was unreliable and there was no alternative method available, and as such it has been discontinued</t>
  </si>
  <si>
    <t xml:space="preserve">(4) Newly available 2006 aggregate data on contributions to pension schemes by employers and employees arising from a P35 initiative introduced on foot of provisions that were included in Finance Act 2004 with a view to improving data quality have allowed estimates of the cost of tax for private pension provision for 2006 to be made. Further work is ongoing to provide similar estimates for 2005. As similar data sources would not be available for previous years, it is not possible to provide costings on a similar basis for those years. </t>
  </si>
  <si>
    <t>(5) Retirement Annuity Premiums and Personal retirement savings accounts have been amalgamated into one Pension Contribution (Retirement Annuity and PRSA) relief</t>
  </si>
  <si>
    <t>Czech Republic</t>
  </si>
  <si>
    <t>CZE</t>
  </si>
  <si>
    <t>Poland</t>
  </si>
  <si>
    <t>POL</t>
  </si>
  <si>
    <t>Estimation</t>
  </si>
  <si>
    <t xml:space="preserve">Source: US Department of Treasury run  i07070 by Michael Cooper, 24 March 2022 </t>
  </si>
  <si>
    <t>United States</t>
  </si>
  <si>
    <t>USA</t>
  </si>
  <si>
    <t>Payroll tax holiday (reduced by 2% Jan 2011 through Dec 2012, deferred in 2020)</t>
  </si>
  <si>
    <t>Estimates - Not a tax expenditure since the OASDI trust fund was made whole for the decrease in 2011. The payroll tax holiday in 2020 was temporary, so not considered a tax expenditure aside from some leakage from taxpayers going out of business before repayment.</t>
  </si>
  <si>
    <t xml:space="preserve">From Table 14.1 Estimates of total income tax expenditures for fiscal years. https://home.treasury.gov/system/files/131/Tax-Expenditures-FY2022.pdf and 
https://home.treasury.gov/system/files/131/Tax-Expenditures-FY2023.pdf
</t>
  </si>
  <si>
    <t>Sources: Office of Management and Budget, Analytical Perspectives, Budget of the United States Government and US Department of Treasury Table 16-1 FY 2014, Table 14-1 FY 2015, Table 1 (pp. 22-27) in FY 2016, and Table 1 in  https://home.treasury.gov/system/files/131/Tax-Expenditures-FY2022.pdf and 
https://home.treasury.gov/system/files/131/Tax-Expenditures-FY2023.pdf</t>
  </si>
  <si>
    <t xml:space="preserve">**  US Department of Treasury run i07070 by Michael Cooper, 24 March 2022 </t>
  </si>
  <si>
    <t>Deduction of contributions to private pensions (e.g occupational pension plans, individual retirement accounts, RRSPs, Superannuation, etc) :  Supplementary pension scheme contributions</t>
  </si>
  <si>
    <t>Note: SOCX data before 2009 was retroactively recalculated in 2012. Due to this change,the amount of direct tax paid on benefit income are uncomparable before and after 2009.</t>
    <phoneticPr fontId="42"/>
  </si>
  <si>
    <t>Source: Estimates from National Institute of Population and Social Security Research.</t>
    <phoneticPr fontId="42"/>
  </si>
  <si>
    <t>Deduction for dependent family other than spouses (General taxation)</t>
    <phoneticPr fontId="42"/>
  </si>
  <si>
    <t>Deduction for handicapped, survivors and working students (General taxation)</t>
    <phoneticPr fontId="42"/>
  </si>
  <si>
    <t xml:space="preserve">Special treatment of fees for medical care under the social insurance system </t>
    <phoneticPr fontId="42"/>
  </si>
  <si>
    <t xml:space="preserve">Enterprise tax exemption of medical care under the social insurance system </t>
    <phoneticPr fontId="42"/>
  </si>
  <si>
    <t>Japan</t>
  </si>
  <si>
    <t>JPN</t>
  </si>
  <si>
    <t>Child credits (for info only as already included in Gross SOCX)</t>
  </si>
  <si>
    <t>Tax credit for child placement</t>
  </si>
  <si>
    <t>COL</t>
  </si>
  <si>
    <t>Colombia</t>
  </si>
  <si>
    <t>OECD SOCX Manual 2019 Edition: A guide to the OECD Social Expenditure Database</t>
  </si>
  <si>
    <t>5. Net (after tax) social expenditure .................................................................................................26</t>
  </si>
  <si>
    <t>Version January 2023</t>
  </si>
  <si>
    <t>Tax breaks similar to cash benefits (*)</t>
  </si>
  <si>
    <t>Child, aged and disable care benefit exemptions (*)</t>
  </si>
  <si>
    <t>Exemptions on invalidity, terrorism, Civil War, HIV and hepatitis C pensions &amp; international missions (revenue forgone) (*)</t>
  </si>
  <si>
    <t>Exemptions on unemployment lump-sum payment and cease job compensation (revenue forgone) (*)</t>
  </si>
  <si>
    <t>2016 - updated</t>
  </si>
  <si>
    <t>2017 - updated</t>
  </si>
  <si>
    <t>2018 - updated</t>
  </si>
  <si>
    <t>4 public pension</t>
  </si>
  <si>
    <t xml:space="preserve">Long term care for the elderly </t>
  </si>
  <si>
    <t>Special deduction for health expenses　</t>
  </si>
  <si>
    <r>
      <t>Additional deduction for child-rearing expenses</t>
    </r>
    <r>
      <rPr>
        <sz val="10"/>
        <rFont val="Batang"/>
        <family val="1"/>
      </rPr>
      <t>⇒</t>
    </r>
    <r>
      <rPr>
        <sz val="10"/>
        <rFont val="Times New Roman"/>
        <family val="1"/>
      </rPr>
      <t>child tax credit</t>
    </r>
  </si>
  <si>
    <r>
      <t>Additional deduction for female workers with dependents</t>
    </r>
    <r>
      <rPr>
        <sz val="10"/>
        <rFont val="Batang"/>
        <family val="1"/>
      </rPr>
      <t>⇒</t>
    </r>
    <r>
      <rPr>
        <sz val="10"/>
        <rFont val="Times New Roman"/>
        <family val="1"/>
      </rPr>
      <t>child tax credit</t>
    </r>
  </si>
  <si>
    <r>
      <t>Additional deduction for birth and adoption</t>
    </r>
    <r>
      <rPr>
        <sz val="10"/>
        <rFont val="Batang"/>
        <family val="1"/>
      </rPr>
      <t>⇒</t>
    </r>
    <r>
      <rPr>
        <sz val="10"/>
        <rFont val="Times New Roman"/>
        <family val="1"/>
      </rPr>
      <t xml:space="preserve">child tax credit </t>
    </r>
  </si>
  <si>
    <r>
      <rPr>
        <i/>
        <sz val="10"/>
        <rFont val="Times New Roman"/>
        <family val="1"/>
      </rPr>
      <t>Note</t>
    </r>
    <r>
      <rPr>
        <sz val="10"/>
        <rFont val="Times New Roman"/>
        <family val="1"/>
      </rPr>
      <t xml:space="preserve">: Statistics Norway has modified the method for estimating  net social expenditures, noting that the old method provides tax rates which are about 1-2 pct. points higher than in the new method. Preliminary estimates for the whole 2011-2017 period, using the new method, therefore data before and after 2011 are not fully comparable. 2018-data will not be available until October 2020. </t>
    </r>
  </si>
  <si>
    <t>15,77% = 7,37% (tax) + 8,4% (SSC)</t>
  </si>
  <si>
    <t>15,84% = 7,45% (tax) + 8,39% (SSC)</t>
  </si>
  <si>
    <t>15,76% = 7,47% (tax) + 8,29% (SSC)</t>
  </si>
  <si>
    <t>15,75% = 7,52% (tax) + 8,23% (SSC)</t>
  </si>
  <si>
    <t>15,80% = 7,57% (tax) + 8,23% (SSC)</t>
  </si>
  <si>
    <t>15,35% = 7,05% (tax) + 8,3% (SSC)</t>
  </si>
  <si>
    <t>39,99% =  3,9% (tax) + 36,09% (SSC)</t>
  </si>
  <si>
    <t>39,94% = 3,9% (tax) + 36,04% (SSC)</t>
  </si>
  <si>
    <t xml:space="preserve">39,49% =  3,54% (tax) + 35,95% (SSC) </t>
  </si>
  <si>
    <t xml:space="preserve">39,10% = 3,2% (tax) + 35,9% (SSC) </t>
  </si>
  <si>
    <t xml:space="preserve">39,07% = 3,17% (tax) + 35,90% (SSC) </t>
  </si>
  <si>
    <t>38,94% =  3,03% (tax) + 35,91% (SSC)</t>
  </si>
  <si>
    <t xml:space="preserve">8,30% = 8,30% (tax) </t>
  </si>
  <si>
    <t xml:space="preserve">8,39% = 8,39% (tax) </t>
  </si>
  <si>
    <t>8,40% = 8,40% (tax)</t>
  </si>
  <si>
    <t>8,55% = 8,55% (tax)</t>
  </si>
  <si>
    <t>8,48% = 8,48% (tax)</t>
  </si>
  <si>
    <t>7,88% = 7,88% (tax)</t>
  </si>
  <si>
    <t>42,45% = 8% (tax) + 32,47% (SSC) + 1,98% (payroll taxes)</t>
  </si>
  <si>
    <t>43,62% = 8% (tax) + 33,64% (SSC) + 1,98% (payroll taxes)</t>
  </si>
  <si>
    <t>43,89% = 8,19% (tax) + 33,72% (SSC) + 1,98% (payroll taxes)</t>
  </si>
  <si>
    <t>44,23% = 8,36% (tax) + 33,89% (SSC)  + 1,98% (payroll taxes)</t>
  </si>
  <si>
    <t>42,5% = 7,36% (tax) + 33,31% (SSC) + 1,83% (payroll taxes)</t>
  </si>
  <si>
    <t>39,74% = 6,62% (tax) + 33,12% (SSC) + 1,83% (payroll taxes)</t>
  </si>
  <si>
    <t>31,5% = 31,5% (SSC)</t>
  </si>
  <si>
    <t>31,53% = 31,53% (SSC)</t>
  </si>
  <si>
    <t>31,61% = 31,61% (SSC)</t>
  </si>
  <si>
    <t>31,62% = 31,62% (SSC)</t>
  </si>
  <si>
    <t>31,66% = 31,66% (SSC)</t>
  </si>
  <si>
    <t>31,7% = 31,7% (SSC)</t>
  </si>
  <si>
    <t>33,04% = 33,04% (SSC)</t>
  </si>
  <si>
    <t>33,5% = 33,5% (SSC)</t>
  </si>
  <si>
    <t>33,6% = 33,6% (SSC)</t>
  </si>
  <si>
    <t>33,7% = 33,7% (SSC)</t>
  </si>
  <si>
    <t>33,81% = 33,81% (SSC)</t>
  </si>
  <si>
    <t>33,96% = 33,96% (SSC)</t>
  </si>
  <si>
    <t>36,18% *** = 8,66% (tax) + 27,52% (SSC)</t>
  </si>
  <si>
    <t>36,25% *** = 8,73% (tax) + 27,52% (SSC)</t>
  </si>
  <si>
    <t>36,25% = 8,73% (tax) + 27,52% (SSC)</t>
  </si>
  <si>
    <t>36,42% =8,90% (tax) + 27,52% (SSC)</t>
  </si>
  <si>
    <t>36,48% = 8,96% (tax) + 27,52% (SSC)</t>
  </si>
  <si>
    <t>36,24% = 8,72% (tax) + 27,52% (SSC)</t>
  </si>
  <si>
    <t xml:space="preserve">Data overtime are not fully comparable since prior 2014 they do not include the majority of SSCs. In addition, between 2014 and 2015 the results of the estimation substantially change due to methodology adjustment (we excluded employer's SSC from gross income). </t>
  </si>
  <si>
    <t>We calculated again AITRs based on micro tax data for the years 2015-2020 but not for 2014 since Ministry of Finance does not have data on SSC prior 2015.</t>
  </si>
  <si>
    <t>2017 (annual tax returns 2016)</t>
  </si>
  <si>
    <t>2018 (annual tax returns 2017)</t>
  </si>
  <si>
    <t>2019 (annual tax returns 2018)</t>
  </si>
  <si>
    <t>2020 (annual tax returns 2019)</t>
  </si>
  <si>
    <t xml:space="preserve">Note. The survey does not cover all tax credits in Poland (e.g., deductible form the tax health insurance contribution and many others).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</si>
</sst>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1" formatCode="_-* #,##0_-;\-* #,##0_-;_-* &quot;-&quot;_-;_-@_-"/>
    <numFmt numFmtId="43" formatCode="_-* #,##0.00_-;\-* #,##0.00_-;_-* &quot;-&quot;??_-;_-@_-"/>
    <numFmt numFmtId="164" formatCode="_(* #,##0_);_(* \(#,##0\);_(* &quot;-&quot;_);_(@_)"/>
    <numFmt numFmtId="165" formatCode="_(* #,##0.00_);_(* \(#,##0.00\);_(* &quot;-&quot;??_);_(@_)"/>
    <numFmt numFmtId="166" formatCode="&quot;$&quot;#,##0.00_);[Red]\(&quot;$&quot;#,##0.00\)"/>
    <numFmt numFmtId="167" formatCode="_(&quot;$&quot;* #,##0_);_(&quot;$&quot;* \(#,##0\);_(&quot;$&quot;* &quot;-&quot;_);_(@_)"/>
    <numFmt numFmtId="168" formatCode="_(&quot;$&quot;* #,##0.00_);_(&quot;$&quot;* \(#,##0.00\);_(&quot;$&quot;* &quot;-&quot;??_);_(@_)"/>
    <numFmt numFmtId="169" formatCode="General_)"/>
    <numFmt numFmtId="170" formatCode="#,##0.0"/>
    <numFmt numFmtId="171" formatCode="0.0%"/>
    <numFmt numFmtId="172" formatCode="0.0"/>
    <numFmt numFmtId="173" formatCode="&quot;kr&quot;\ #,##0;[Red]&quot;kr&quot;\ \-#,##0"/>
    <numFmt numFmtId="174" formatCode="_-* #,##0.00\ _F_t_-;\-* #,##0.00\ _F_t_-;_-* &quot;-&quot;??\ _F_t_-;_-@_-"/>
    <numFmt numFmtId="175" formatCode="#,##0."/>
    <numFmt numFmtId="176" formatCode="&quot;$&quot;#."/>
    <numFmt numFmtId="177" formatCode="_-* #,##0.00\ [$€]_-;\-* #,##0.00\ [$€]_-;_-* &quot;-&quot;??\ [$€]_-;_-@_-"/>
    <numFmt numFmtId="178" formatCode="#.00"/>
    <numFmt numFmtId="179" formatCode="#,###.00;\-#,###.00"/>
    <numFmt numFmtId="180" formatCode="#\ ###\ ##0"/>
    <numFmt numFmtId="181" formatCode="_-* #,##0\ _F_B_-;\-* #,##0\ _F_B_-;_-* &quot;-&quot;\ _F_B_-;_-@_-"/>
    <numFmt numFmtId="182" formatCode="_-* #,##0.00\ _F_B_-;\-* #,##0.00\ _F_B_-;_-* &quot;-&quot;??\ _F_B_-;_-@_-"/>
    <numFmt numFmtId="183" formatCode="_-* #,##0\ &quot;FB&quot;_-;\-* #,##0\ &quot;FB&quot;_-;_-* &quot;-&quot;\ &quot;FB&quot;_-;_-@_-"/>
    <numFmt numFmtId="184" formatCode="_-* #,##0.00\ &quot;FB&quot;_-;\-* #,##0.00\ &quot;FB&quot;_-;_-* &quot;-&quot;??\ &quot;FB&quot;_-;_-@_-"/>
    <numFmt numFmtId="185" formatCode="_-* #,##0\ _F_-;\-* #,##0\ _F_-;_-* &quot;-&quot;\ _F_-;_-@_-"/>
    <numFmt numFmtId="186" formatCode="\(0%\)"/>
    <numFmt numFmtId="187" formatCode="_-* #,##0.0_-;\-* #,##0.0_-;_-* &quot;-&quot;??_-;_-@_-"/>
    <numFmt numFmtId="188" formatCode="#\ ##0"/>
    <numFmt numFmtId="189" formatCode="_-* #,##0\ _F_t_-;\-* #,##0\ _F_t_-;_-* &quot;-&quot;??\ _F_t_-;_-@_-"/>
    <numFmt numFmtId="190" formatCode="_-* #,##0\ _€_-;\-* #,##0\ _€_-;_-* &quot;-&quot;??\ _€_-;_-@_-"/>
    <numFmt numFmtId="191" formatCode="0.00_)"/>
    <numFmt numFmtId="192" formatCode="0_)"/>
    <numFmt numFmtId="193" formatCode="_ * #,##0_ ;_ * \-#,##0_ ;_ * &quot;-&quot;??_ ;_ @_ "/>
    <numFmt numFmtId="194" formatCode="#,##0_ "/>
    <numFmt numFmtId="195" formatCode="_-* #,##0_-;\-* #,##0_-;_-* &quot;-&quot;??_-;_-@_-"/>
    <numFmt numFmtId="196" formatCode="#,##0.0;\-#,##0.0;\-"/>
    <numFmt numFmtId="197" formatCode="0.0;\-0.0;\-"/>
    <numFmt numFmtId="198" formatCode="_-* #,##0.00\ _€_-;\-* #,##0.00\ _€_-;_-* &quot;-&quot;??\ _€_-;_-@_-"/>
    <numFmt numFmtId="199" formatCode="_-&quot;$&quot;* #,##0.00_-;\-&quot;$&quot;* #,##0.00_-;_-&quot;$&quot;* &quot;-&quot;??_-;_-@_-"/>
    <numFmt numFmtId="200" formatCode="#,##0_ ;\-#,##0\ "/>
    <numFmt numFmtId="201" formatCode="_(* #,##0_);_(* \(#,##0\);_(* &quot;-&quot;??_);_(@_)"/>
    <numFmt numFmtId="202" formatCode="#,##0.00\ _€"/>
    <numFmt numFmtId="203" formatCode="0.0000"/>
    <numFmt numFmtId="204" formatCode="#,##0.0000"/>
  </numFmts>
  <fonts count="144">
    <font>
      <sz val="12"/>
      <name val="Courier"/>
      <family val="3"/>
    </font>
    <font>
      <sz val="10"/>
      <color theme="1"/>
      <name val="Arial"/>
      <family val="2"/>
    </font>
    <font>
      <sz val="10"/>
      <color theme="1"/>
      <name val="Arial"/>
      <family val="2"/>
    </font>
    <font>
      <sz val="10"/>
      <color indexed="8"/>
      <name val="Arial"/>
      <family val="2"/>
    </font>
    <font>
      <sz val="12"/>
      <name val="Courier"/>
      <family val="3"/>
    </font>
    <font>
      <sz val="10"/>
      <name val="Times New Roman"/>
      <family val="1"/>
    </font>
    <font>
      <sz val="10"/>
      <name val="Arial"/>
      <family val="2"/>
    </font>
    <font>
      <b/>
      <sz val="10"/>
      <name val="Times New Roman"/>
      <family val="1"/>
    </font>
    <font>
      <i/>
      <sz val="10"/>
      <name val="Times New Roman"/>
      <family val="1"/>
    </font>
    <font>
      <sz val="8"/>
      <color indexed="22"/>
      <name val="Arial"/>
      <family val="2"/>
    </font>
    <font>
      <sz val="10"/>
      <color indexed="10"/>
      <name val="Times New Roman"/>
      <family val="1"/>
    </font>
    <font>
      <sz val="12"/>
      <name val="Times New Roman"/>
      <family val="1"/>
    </font>
    <font>
      <sz val="10"/>
      <name val="Courier"/>
      <family val="3"/>
    </font>
    <font>
      <vertAlign val="superscript"/>
      <sz val="10"/>
      <name val="Times New Roman"/>
      <family val="1"/>
    </font>
    <font>
      <vertAlign val="superscript"/>
      <sz val="10"/>
      <name val="Times New Roman"/>
      <family val="1"/>
      <charset val="238"/>
    </font>
    <font>
      <b/>
      <sz val="10"/>
      <name val="Times New Roman"/>
      <family val="1"/>
      <charset val="238"/>
    </font>
    <font>
      <u/>
      <sz val="10"/>
      <name val="Times New Roman"/>
      <family val="1"/>
    </font>
    <font>
      <i/>
      <u/>
      <sz val="10"/>
      <name val="Times New Roman"/>
      <family val="1"/>
    </font>
    <font>
      <i/>
      <vertAlign val="superscript"/>
      <sz val="10"/>
      <name val="Times New Roman"/>
      <family val="1"/>
    </font>
    <font>
      <b/>
      <i/>
      <u/>
      <sz val="10"/>
      <name val="Times New Roman"/>
      <family val="1"/>
      <charset val="238"/>
    </font>
    <font>
      <b/>
      <vertAlign val="superscript"/>
      <sz val="10"/>
      <name val="Times New Roman"/>
      <family val="1"/>
      <charset val="238"/>
    </font>
    <font>
      <sz val="10"/>
      <name val="Times New Roman"/>
      <family val="1"/>
      <charset val="238"/>
    </font>
    <font>
      <b/>
      <i/>
      <sz val="10"/>
      <name val="Times New Roman"/>
      <family val="1"/>
    </font>
    <font>
      <sz val="9"/>
      <name val="Times New Roman"/>
      <family val="1"/>
    </font>
    <font>
      <i/>
      <sz val="9"/>
      <name val="Times New Roman"/>
      <family val="1"/>
    </font>
    <font>
      <sz val="9"/>
      <name val="Courier"/>
      <family val="3"/>
    </font>
    <font>
      <u/>
      <sz val="11"/>
      <color indexed="36"/>
      <name val="‚l‚r ‚oƒSƒVƒbƒN"/>
      <family val="3"/>
      <charset val="128"/>
    </font>
    <font>
      <sz val="11"/>
      <name val="‚l‚r ‚oƒSƒVƒbƒN"/>
      <family val="3"/>
      <charset val="128"/>
    </font>
    <font>
      <sz val="10"/>
      <name val="Plantin"/>
      <family val="2"/>
    </font>
    <font>
      <sz val="10"/>
      <name val="MS Sans Serif"/>
      <family val="2"/>
    </font>
    <font>
      <sz val="7"/>
      <name val="Helv"/>
      <family val="2"/>
    </font>
    <font>
      <sz val="1"/>
      <color indexed="8"/>
      <name val="Courier"/>
      <family val="3"/>
    </font>
    <font>
      <sz val="12"/>
      <color indexed="22"/>
      <name val="Arial"/>
      <family val="2"/>
    </font>
    <font>
      <u/>
      <sz val="11"/>
      <color indexed="12"/>
      <name val="‚l‚r ‚oƒSƒVƒbƒN"/>
      <family val="3"/>
      <charset val="128"/>
    </font>
    <font>
      <sz val="11"/>
      <name val="Times New Roman"/>
      <family val="1"/>
    </font>
    <font>
      <u/>
      <sz val="10"/>
      <color indexed="12"/>
      <name val="Arial"/>
      <family val="2"/>
    </font>
    <font>
      <u/>
      <sz val="6"/>
      <color indexed="12"/>
      <name val="MS Sans Serif"/>
      <family val="2"/>
    </font>
    <font>
      <u/>
      <sz val="10"/>
      <color indexed="12"/>
      <name val="Arial"/>
      <family val="2"/>
    </font>
    <font>
      <b/>
      <sz val="18"/>
      <color indexed="22"/>
      <name val="Arial"/>
      <family val="2"/>
    </font>
    <font>
      <b/>
      <sz val="12"/>
      <color indexed="22"/>
      <name val="Arial"/>
      <family val="2"/>
    </font>
    <font>
      <sz val="11"/>
      <color indexed="8"/>
      <name val="Calibri"/>
      <family val="2"/>
      <charset val="238"/>
    </font>
    <font>
      <sz val="9"/>
      <color indexed="8"/>
      <name val="Arial"/>
      <family val="2"/>
    </font>
    <font>
      <b/>
      <sz val="10"/>
      <color indexed="8"/>
      <name val="Times New Roman"/>
      <family val="1"/>
    </font>
    <font>
      <u/>
      <sz val="10"/>
      <color indexed="36"/>
      <name val="Arial"/>
      <family val="2"/>
    </font>
    <font>
      <sz val="8"/>
      <name val="MS Sans Serif"/>
      <family val="2"/>
    </font>
    <font>
      <sz val="11"/>
      <name val="ＭＳ Ｐゴシック"/>
      <family val="3"/>
      <charset val="128"/>
    </font>
    <font>
      <sz val="11"/>
      <name val="돋움"/>
      <family val="3"/>
      <charset val="129"/>
    </font>
    <font>
      <sz val="11"/>
      <color indexed="8"/>
      <name val="ＭＳ Ｐゴシック"/>
      <family val="3"/>
      <charset val="128"/>
    </font>
    <font>
      <sz val="14"/>
      <name val="ＭＳ 明朝"/>
      <family val="1"/>
      <charset val="128"/>
    </font>
    <font>
      <b/>
      <sz val="9"/>
      <color indexed="81"/>
      <name val="Tahoma"/>
      <family val="2"/>
    </font>
    <font>
      <sz val="9"/>
      <color indexed="81"/>
      <name val="Tahoma"/>
      <family val="2"/>
    </font>
    <font>
      <b/>
      <vertAlign val="superscript"/>
      <sz val="10"/>
      <name val="Times New Roman"/>
      <family val="1"/>
    </font>
    <font>
      <sz val="10"/>
      <color indexed="8"/>
      <name val="Times New Roman"/>
      <family val="1"/>
    </font>
    <font>
      <sz val="10"/>
      <name val="Calibri"/>
      <family val="2"/>
    </font>
    <font>
      <sz val="8"/>
      <name val="Times New Roman"/>
      <family val="1"/>
    </font>
    <font>
      <i/>
      <sz val="8"/>
      <name val="Times New Roman"/>
      <family val="1"/>
    </font>
    <font>
      <u/>
      <sz val="8"/>
      <name val="Times New Roman"/>
      <family val="1"/>
    </font>
    <font>
      <b/>
      <sz val="9"/>
      <name val="Times New Roman"/>
      <family val="1"/>
    </font>
    <font>
      <b/>
      <sz val="10"/>
      <color indexed="10"/>
      <name val="Times New Roman"/>
      <family val="1"/>
    </font>
    <font>
      <sz val="10"/>
      <color indexed="12"/>
      <name val="Times New Roman"/>
      <family val="1"/>
    </font>
    <font>
      <b/>
      <sz val="10"/>
      <color indexed="12"/>
      <name val="Times New Roman"/>
      <family val="1"/>
    </font>
    <font>
      <sz val="12"/>
      <name val="Helv"/>
    </font>
    <font>
      <b/>
      <sz val="10"/>
      <color indexed="39"/>
      <name val="Times New Roman"/>
      <family val="1"/>
    </font>
    <font>
      <sz val="10"/>
      <name val="Times"/>
      <family val="1"/>
    </font>
    <font>
      <sz val="12"/>
      <color indexed="8"/>
      <name val="Times New Roman"/>
      <family val="1"/>
    </font>
    <font>
      <sz val="12"/>
      <name val="Courier"/>
      <family val="3"/>
    </font>
    <font>
      <sz val="11"/>
      <name val="ＭＳ Ｐゴシック"/>
      <family val="2"/>
    </font>
    <font>
      <b/>
      <sz val="8"/>
      <color indexed="81"/>
      <name val="Tahoma"/>
      <family val="2"/>
    </font>
    <font>
      <sz val="8"/>
      <color indexed="81"/>
      <name val="Tahoma"/>
      <family val="2"/>
    </font>
    <font>
      <sz val="9"/>
      <color indexed="81"/>
      <name val="돋움"/>
      <family val="3"/>
      <charset val="129"/>
    </font>
    <font>
      <sz val="8"/>
      <name val="Verdana"/>
      <family val="2"/>
    </font>
    <font>
      <b/>
      <sz val="8"/>
      <color indexed="81"/>
      <name val="Tahoma"/>
      <family val="2"/>
      <charset val="238"/>
    </font>
    <font>
      <sz val="8"/>
      <color indexed="81"/>
      <name val="Tahoma"/>
      <family val="2"/>
      <charset val="238"/>
    </font>
    <font>
      <sz val="10"/>
      <color indexed="81"/>
      <name val="Tahoma"/>
      <family val="2"/>
      <charset val="238"/>
    </font>
    <font>
      <b/>
      <sz val="12"/>
      <color indexed="81"/>
      <name val="Tahoma"/>
      <family val="2"/>
    </font>
    <font>
      <sz val="12"/>
      <color indexed="81"/>
      <name val="Tahoma"/>
      <family val="2"/>
    </font>
    <font>
      <sz val="9"/>
      <name val="Times"/>
      <family val="1"/>
    </font>
    <font>
      <vertAlign val="superscript"/>
      <sz val="8"/>
      <name val="Times New Roman"/>
      <family val="1"/>
    </font>
    <font>
      <sz val="8"/>
      <name val="Courier"/>
      <family val="3"/>
    </font>
    <font>
      <sz val="8"/>
      <name val="Times New Roman"/>
      <family val="1"/>
      <charset val="161"/>
    </font>
    <font>
      <sz val="6"/>
      <name val="Times New Roman"/>
      <family val="1"/>
    </font>
    <font>
      <sz val="10"/>
      <name val="Times New Roman"/>
      <family val="1"/>
      <charset val="162"/>
    </font>
    <font>
      <sz val="10"/>
      <color indexed="62"/>
      <name val="Arial"/>
      <family val="2"/>
    </font>
    <font>
      <sz val="14"/>
      <name val="Times New Roman"/>
      <family val="1"/>
    </font>
    <font>
      <b/>
      <sz val="14"/>
      <name val="Times New Roman"/>
      <family val="1"/>
    </font>
    <font>
      <i/>
      <sz val="14"/>
      <name val="Times New Roman"/>
      <family val="1"/>
    </font>
    <font>
      <b/>
      <sz val="11"/>
      <color indexed="56"/>
      <name val="Arial"/>
      <family val="2"/>
    </font>
    <font>
      <sz val="10"/>
      <color indexed="17"/>
      <name val="Arial"/>
      <family val="2"/>
    </font>
    <font>
      <sz val="10"/>
      <color indexed="20"/>
      <name val="Arial"/>
      <family val="2"/>
    </font>
    <font>
      <sz val="10"/>
      <color indexed="60"/>
      <name val="Arial"/>
      <family val="2"/>
    </font>
    <font>
      <b/>
      <sz val="10"/>
      <color indexed="63"/>
      <name val="Arial"/>
      <family val="2"/>
    </font>
    <font>
      <b/>
      <sz val="10"/>
      <color indexed="52"/>
      <name val="Arial"/>
      <family val="2"/>
    </font>
    <font>
      <sz val="10"/>
      <color indexed="52"/>
      <name val="Arial"/>
      <family val="2"/>
    </font>
    <font>
      <b/>
      <sz val="10"/>
      <color indexed="9"/>
      <name val="Arial"/>
      <family val="2"/>
    </font>
    <font>
      <sz val="10"/>
      <color indexed="10"/>
      <name val="Arial"/>
      <family val="2"/>
    </font>
    <font>
      <i/>
      <sz val="10"/>
      <color indexed="23"/>
      <name val="Arial"/>
      <family val="2"/>
    </font>
    <font>
      <sz val="10"/>
      <color indexed="9"/>
      <name val="Arial"/>
      <family val="2"/>
    </font>
    <font>
      <b/>
      <sz val="10"/>
      <name val="Arial"/>
      <family val="2"/>
    </font>
    <font>
      <sz val="12"/>
      <name val="Arial"/>
      <family val="2"/>
    </font>
    <font>
      <b/>
      <sz val="18"/>
      <color indexed="56"/>
      <name val="Cambria"/>
      <family val="1"/>
    </font>
    <font>
      <b/>
      <sz val="11"/>
      <name val="Times New Roman"/>
      <family val="1"/>
    </font>
    <font>
      <vertAlign val="superscript"/>
      <sz val="9"/>
      <name val="Times New Roman"/>
      <family val="1"/>
    </font>
    <font>
      <i/>
      <sz val="12"/>
      <name val="Times New Roman"/>
      <family val="1"/>
    </font>
    <font>
      <sz val="10"/>
      <name val="Times New Roman"/>
      <family val="1"/>
      <charset val="161"/>
    </font>
    <font>
      <i/>
      <sz val="10"/>
      <name val="Times New Roman"/>
      <family val="1"/>
      <charset val="161"/>
    </font>
    <font>
      <sz val="10"/>
      <color theme="1"/>
      <name val="Arial"/>
      <family val="2"/>
    </font>
    <font>
      <sz val="11"/>
      <color theme="1"/>
      <name val="Calibri"/>
      <family val="2"/>
      <scheme val="minor"/>
    </font>
    <font>
      <sz val="11"/>
      <color theme="1"/>
      <name val="Calibri"/>
      <family val="3"/>
      <charset val="129"/>
      <scheme val="minor"/>
    </font>
    <font>
      <sz val="11"/>
      <color theme="1"/>
      <name val="Calibri"/>
      <family val="2"/>
      <charset val="238"/>
      <scheme val="minor"/>
    </font>
    <font>
      <u/>
      <sz val="10"/>
      <color theme="10"/>
      <name val="Arial"/>
      <family val="2"/>
    </font>
    <font>
      <sz val="10"/>
      <color rgb="FF3F3F76"/>
      <name val="Arial"/>
      <family val="2"/>
    </font>
    <font>
      <sz val="8"/>
      <color theme="1"/>
      <name val="Arial"/>
      <family val="2"/>
    </font>
    <font>
      <sz val="11"/>
      <color theme="1"/>
      <name val="Arial Mäori"/>
      <family val="2"/>
    </font>
    <font>
      <b/>
      <sz val="10"/>
      <color theme="1"/>
      <name val="Arial"/>
      <family val="2"/>
    </font>
    <font>
      <sz val="10"/>
      <color rgb="FFFF0000"/>
      <name val="Arial"/>
      <family val="2"/>
    </font>
    <font>
      <sz val="10"/>
      <color rgb="FFFF0000"/>
      <name val="Times New Roman"/>
      <family val="1"/>
    </font>
    <font>
      <b/>
      <i/>
      <u/>
      <sz val="10"/>
      <color rgb="FFFF0000"/>
      <name val="Times New Roman"/>
      <family val="1"/>
      <charset val="238"/>
    </font>
    <font>
      <sz val="10"/>
      <color theme="1"/>
      <name val="Times New Roman"/>
      <family val="1"/>
    </font>
    <font>
      <u/>
      <sz val="10"/>
      <color theme="1"/>
      <name val="Times New Roman"/>
      <family val="1"/>
    </font>
    <font>
      <sz val="10"/>
      <color rgb="FFC00000"/>
      <name val="Times New Roman"/>
      <family val="1"/>
    </font>
    <font>
      <sz val="10"/>
      <color rgb="FF000000"/>
      <name val="Times New Roman"/>
      <family val="1"/>
    </font>
    <font>
      <b/>
      <sz val="10"/>
      <color rgb="FF000000"/>
      <name val="Times New Roman"/>
      <family val="1"/>
    </font>
    <font>
      <i/>
      <sz val="10"/>
      <color rgb="FFFF0000"/>
      <name val="Times New Roman"/>
      <family val="1"/>
    </font>
    <font>
      <sz val="10"/>
      <color theme="4"/>
      <name val="Times New Roman"/>
      <family val="1"/>
    </font>
    <font>
      <sz val="11"/>
      <name val="Calibri"/>
      <family val="2"/>
      <scheme val="minor"/>
    </font>
    <font>
      <sz val="10"/>
      <color theme="0" tint="-0.249977111117893"/>
      <name val="Times New Roman"/>
      <family val="1"/>
    </font>
    <font>
      <sz val="14"/>
      <color rgb="FF3F3F76"/>
      <name val="Times New Roman"/>
      <family val="1"/>
    </font>
    <font>
      <sz val="14"/>
      <color rgb="FFFF0000"/>
      <name val="Times New Roman"/>
      <family val="1"/>
    </font>
    <font>
      <b/>
      <sz val="10"/>
      <color rgb="FFFF0000"/>
      <name val="Courier"/>
      <family val="3"/>
    </font>
    <font>
      <b/>
      <sz val="10"/>
      <color theme="1"/>
      <name val="Times New Roman"/>
      <family val="1"/>
    </font>
    <font>
      <u/>
      <sz val="10"/>
      <name val="Arial"/>
      <family val="2"/>
    </font>
    <font>
      <b/>
      <sz val="8"/>
      <name val="Times New Roman"/>
      <family val="1"/>
    </font>
    <font>
      <b/>
      <sz val="11"/>
      <name val="Calibri"/>
      <family val="2"/>
    </font>
    <font>
      <i/>
      <sz val="10"/>
      <name val="Times New Roman"/>
      <family val="1"/>
      <charset val="238"/>
    </font>
    <font>
      <sz val="12"/>
      <name val="Time"/>
    </font>
    <font>
      <sz val="10"/>
      <name val="바탕"/>
      <family val="1"/>
      <charset val="129"/>
    </font>
    <font>
      <sz val="10"/>
      <color rgb="FF0070C0"/>
      <name val="Times New Roman"/>
      <family val="1"/>
    </font>
    <font>
      <u/>
      <sz val="12"/>
      <color theme="10"/>
      <name val="Courier"/>
      <family val="3"/>
    </font>
    <font>
      <u/>
      <sz val="10"/>
      <color theme="10"/>
      <name val="Times New Roman"/>
      <family val="1"/>
    </font>
    <font>
      <sz val="12"/>
      <name val="Courier"/>
    </font>
    <font>
      <sz val="12"/>
      <color theme="1"/>
      <name val="Courier"/>
      <family val="3"/>
    </font>
    <font>
      <sz val="10"/>
      <name val="Batang"/>
      <family val="1"/>
    </font>
    <font>
      <b/>
      <sz val="9"/>
      <color indexed="81"/>
      <name val="Tahoma"/>
      <family val="2"/>
      <charset val="238"/>
    </font>
    <font>
      <sz val="9"/>
      <color indexed="81"/>
      <name val="Tahoma"/>
      <family val="2"/>
      <charset val="23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64"/>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gray0625">
        <bgColor theme="0"/>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style="thin">
        <color rgb="FFC0C0C0"/>
      </bottom>
      <diagonal/>
    </border>
    <border>
      <left style="thin">
        <color theme="2"/>
      </left>
      <right style="thin">
        <color theme="2"/>
      </right>
      <top style="thin">
        <color theme="2"/>
      </top>
      <bottom style="thin">
        <color theme="2"/>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rgb="FF000000"/>
      </bottom>
      <diagonal/>
    </border>
    <border>
      <left/>
      <right style="medium">
        <color rgb="FF000000"/>
      </right>
      <top/>
      <bottom style="medium">
        <color rgb="FF000000"/>
      </bottom>
      <diagonal/>
    </border>
  </borders>
  <cellStyleXfs count="250">
    <xf numFmtId="169" fontId="0" fillId="0" borderId="0"/>
    <xf numFmtId="0" fontId="26" fillId="0" borderId="0" applyNumberFormat="0" applyFill="0" applyBorder="0" applyAlignment="0" applyProtection="0">
      <alignment vertical="top"/>
      <protection locked="0"/>
    </xf>
    <xf numFmtId="0" fontId="27" fillId="0" borderId="0"/>
    <xf numFmtId="172" fontId="28" fillId="0" borderId="0" applyBorder="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3" fillId="11"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1" fontId="28" fillId="0" borderId="0" applyBorder="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9" borderId="0" applyNumberFormat="0" applyBorder="0" applyAlignment="0" applyProtection="0"/>
    <xf numFmtId="173" fontId="29" fillId="0" borderId="0" applyFont="0" applyFill="0" applyBorder="0" applyAlignment="0" applyProtection="0"/>
    <xf numFmtId="1" fontId="30" fillId="0" borderId="0">
      <alignment horizontal="right"/>
      <protection locked="0"/>
    </xf>
    <xf numFmtId="0" fontId="88" fillId="3" borderId="0" applyNumberFormat="0" applyBorder="0" applyAlignment="0" applyProtection="0"/>
    <xf numFmtId="0" fontId="91" fillId="20" borderId="1" applyNumberFormat="0" applyAlignment="0" applyProtection="0"/>
    <xf numFmtId="0" fontId="93" fillId="21" borderId="2" applyNumberFormat="0" applyAlignment="0" applyProtection="0"/>
    <xf numFmtId="165" fontId="4" fillId="0" borderId="0" applyFont="0" applyFill="0" applyBorder="0" applyAlignment="0" applyProtection="0"/>
    <xf numFmtId="164" fontId="4" fillId="0" borderId="0" applyFont="0" applyFill="0" applyBorder="0" applyAlignment="0" applyProtection="0"/>
    <xf numFmtId="164" fontId="107" fillId="0" borderId="0" applyFont="0" applyFill="0" applyBorder="0" applyAlignment="0" applyProtection="0"/>
    <xf numFmtId="38" fontId="4" fillId="0" borderId="0" applyFont="0" applyFill="0" applyBorder="0" applyAlignment="0" applyProtection="0">
      <alignment vertical="center"/>
    </xf>
    <xf numFmtId="41" fontId="4" fillId="0" borderId="0" applyFont="0" applyFill="0" applyBorder="0" applyAlignment="0" applyProtection="0">
      <alignment vertical="center"/>
    </xf>
    <xf numFmtId="174"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98" fontId="4" fillId="0" borderId="0" applyFont="0" applyFill="0" applyBorder="0" applyAlignment="0" applyProtection="0"/>
    <xf numFmtId="175" fontId="31" fillId="0" borderId="0">
      <protection locked="0"/>
    </xf>
    <xf numFmtId="199" fontId="4" fillId="0" borderId="0" applyFont="0" applyFill="0" applyBorder="0" applyAlignment="0" applyProtection="0"/>
    <xf numFmtId="176" fontId="31" fillId="0" borderId="0">
      <protection locked="0"/>
    </xf>
    <xf numFmtId="0" fontId="31" fillId="0" borderId="0">
      <protection locked="0"/>
    </xf>
    <xf numFmtId="0" fontId="32" fillId="0" borderId="0" applyNumberForma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4" fontId="30" fillId="0" borderId="0" applyFill="0" applyBorder="0" applyAlignment="0" applyProtection="0"/>
    <xf numFmtId="177" fontId="6" fillId="0" borderId="0" applyFont="0" applyFill="0" applyBorder="0" applyAlignment="0" applyProtection="0"/>
    <xf numFmtId="0" fontId="95" fillId="0" borderId="0" applyNumberFormat="0" applyFill="0" applyBorder="0" applyAlignment="0" applyProtection="0"/>
    <xf numFmtId="174" fontId="4" fillId="0" borderId="0" applyFont="0" applyFill="0" applyBorder="0" applyAlignment="0" applyProtection="0"/>
    <xf numFmtId="174" fontId="108" fillId="0" borderId="0" applyFont="0" applyFill="0" applyBorder="0" applyAlignment="0" applyProtection="0"/>
    <xf numFmtId="2" fontId="32" fillId="0" borderId="0" applyFill="0" applyBorder="0" applyAlignment="0" applyProtection="0"/>
    <xf numFmtId="178" fontId="31" fillId="0" borderId="0">
      <protection locked="0"/>
    </xf>
    <xf numFmtId="0" fontId="33" fillId="0" borderId="0" applyNumberFormat="0" applyFill="0" applyBorder="0" applyAlignment="0" applyProtection="0">
      <alignment vertical="top"/>
      <protection locked="0"/>
    </xf>
    <xf numFmtId="0" fontId="87" fillId="4" borderId="0" applyNumberFormat="0" applyBorder="0" applyAlignment="0" applyProtection="0"/>
    <xf numFmtId="0" fontId="34" fillId="0" borderId="0"/>
    <xf numFmtId="0" fontId="31" fillId="0" borderId="0">
      <protection locked="0"/>
    </xf>
    <xf numFmtId="0" fontId="31" fillId="0" borderId="0">
      <protection locked="0"/>
    </xf>
    <xf numFmtId="0" fontId="31" fillId="0" borderId="0">
      <protection locked="0"/>
    </xf>
    <xf numFmtId="0" fontId="31" fillId="0" borderId="0">
      <protection locked="0"/>
    </xf>
    <xf numFmtId="0" fontId="86" fillId="0" borderId="3" applyNumberFormat="0" applyFill="0" applyAlignment="0" applyProtection="0"/>
    <xf numFmtId="0" fontId="86" fillId="0" borderId="0" applyNumberFormat="0" applyFill="0" applyBorder="0" applyAlignment="0" applyProtection="0"/>
    <xf numFmtId="0" fontId="30" fillId="0" borderId="0">
      <protection locked="0"/>
    </xf>
    <xf numFmtId="0" fontId="10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10" fillId="27" borderId="16" applyNumberFormat="0" applyAlignment="0" applyProtection="0"/>
    <xf numFmtId="0" fontId="82" fillId="7" borderId="1"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92" fillId="0" borderId="4" applyNumberFormat="0" applyFill="0" applyAlignment="0" applyProtection="0"/>
    <xf numFmtId="0" fontId="89" fillId="22" borderId="0" applyNumberFormat="0" applyBorder="0" applyAlignment="0" applyProtection="0"/>
    <xf numFmtId="0" fontId="12" fillId="0" borderId="0"/>
    <xf numFmtId="169" fontId="4" fillId="0" borderId="0"/>
    <xf numFmtId="0" fontId="106" fillId="0" borderId="0"/>
    <xf numFmtId="169" fontId="4" fillId="0" borderId="0"/>
    <xf numFmtId="176" fontId="4" fillId="0" borderId="0"/>
    <xf numFmtId="175" fontId="4" fillId="0" borderId="0"/>
    <xf numFmtId="0" fontId="108" fillId="0" borderId="0"/>
    <xf numFmtId="175" fontId="4" fillId="0" borderId="0"/>
    <xf numFmtId="176" fontId="4" fillId="0" borderId="0"/>
    <xf numFmtId="0" fontId="108" fillId="0" borderId="0"/>
    <xf numFmtId="0" fontId="108" fillId="0" borderId="0"/>
    <xf numFmtId="0" fontId="108" fillId="0" borderId="0"/>
    <xf numFmtId="0" fontId="21" fillId="0" borderId="0"/>
    <xf numFmtId="169" fontId="65" fillId="0" borderId="0"/>
    <xf numFmtId="0" fontId="40" fillId="0" borderId="0"/>
    <xf numFmtId="0" fontId="108" fillId="0" borderId="0"/>
    <xf numFmtId="0" fontId="108" fillId="0" borderId="0"/>
    <xf numFmtId="0" fontId="105" fillId="0" borderId="0"/>
    <xf numFmtId="0" fontId="105" fillId="0" borderId="0"/>
    <xf numFmtId="0" fontId="105" fillId="0" borderId="0"/>
    <xf numFmtId="169" fontId="4" fillId="0" borderId="0"/>
    <xf numFmtId="169" fontId="4" fillId="0" borderId="0"/>
    <xf numFmtId="169" fontId="4" fillId="0" borderId="0"/>
    <xf numFmtId="176" fontId="4" fillId="0" borderId="0"/>
    <xf numFmtId="169" fontId="4" fillId="0" borderId="0"/>
    <xf numFmtId="176" fontId="4" fillId="0" borderId="0"/>
    <xf numFmtId="169" fontId="4" fillId="0" borderId="0"/>
    <xf numFmtId="169" fontId="4" fillId="0" borderId="0"/>
    <xf numFmtId="169" fontId="4" fillId="0" borderId="0"/>
    <xf numFmtId="169" fontId="4" fillId="0" borderId="0"/>
    <xf numFmtId="176" fontId="4" fillId="0" borderId="0"/>
    <xf numFmtId="169" fontId="4" fillId="0" borderId="0"/>
    <xf numFmtId="169" fontId="4" fillId="0" borderId="0"/>
    <xf numFmtId="169" fontId="4" fillId="0" borderId="0"/>
    <xf numFmtId="176" fontId="4" fillId="0" borderId="0"/>
    <xf numFmtId="169" fontId="4" fillId="0" borderId="0"/>
    <xf numFmtId="176" fontId="4" fillId="0" borderId="0"/>
    <xf numFmtId="169" fontId="4" fillId="0" borderId="0"/>
    <xf numFmtId="176" fontId="4" fillId="0" borderId="0"/>
    <xf numFmtId="169" fontId="4" fillId="0" borderId="0"/>
    <xf numFmtId="176" fontId="4" fillId="0" borderId="0"/>
    <xf numFmtId="169" fontId="4" fillId="0" borderId="0"/>
    <xf numFmtId="176" fontId="4" fillId="0" borderId="0"/>
    <xf numFmtId="169" fontId="4" fillId="0" borderId="0"/>
    <xf numFmtId="176" fontId="4" fillId="0" borderId="0"/>
    <xf numFmtId="169" fontId="4" fillId="0" borderId="0"/>
    <xf numFmtId="176" fontId="4" fillId="0" borderId="0"/>
    <xf numFmtId="176" fontId="4" fillId="0" borderId="0"/>
    <xf numFmtId="169" fontId="4" fillId="0" borderId="0"/>
    <xf numFmtId="0" fontId="106" fillId="0" borderId="0"/>
    <xf numFmtId="169" fontId="4" fillId="0" borderId="0"/>
    <xf numFmtId="176" fontId="4" fillId="0" borderId="0"/>
    <xf numFmtId="0" fontId="111" fillId="0" borderId="0"/>
    <xf numFmtId="0" fontId="5" fillId="0" borderId="0"/>
    <xf numFmtId="0" fontId="106" fillId="0" borderId="0"/>
    <xf numFmtId="0" fontId="106" fillId="0" borderId="0"/>
    <xf numFmtId="0" fontId="111" fillId="0" borderId="0"/>
    <xf numFmtId="0" fontId="5" fillId="0" borderId="0"/>
    <xf numFmtId="0" fontId="106" fillId="0" borderId="0"/>
    <xf numFmtId="0" fontId="5" fillId="0" borderId="0"/>
    <xf numFmtId="0" fontId="5" fillId="0" borderId="0"/>
    <xf numFmtId="0" fontId="5" fillId="0" borderId="0"/>
    <xf numFmtId="0" fontId="6" fillId="0" borderId="0"/>
    <xf numFmtId="0" fontId="106" fillId="0" borderId="0"/>
    <xf numFmtId="176" fontId="4" fillId="0" borderId="0"/>
    <xf numFmtId="0" fontId="5" fillId="0" borderId="0"/>
    <xf numFmtId="0" fontId="112" fillId="0" borderId="0"/>
    <xf numFmtId="0" fontId="106" fillId="0" borderId="0"/>
    <xf numFmtId="176" fontId="4" fillId="0" borderId="0"/>
    <xf numFmtId="0" fontId="112" fillId="0" borderId="0"/>
    <xf numFmtId="0" fontId="105" fillId="0" borderId="0"/>
    <xf numFmtId="0" fontId="106" fillId="0" borderId="0"/>
    <xf numFmtId="0" fontId="105" fillId="0" borderId="0"/>
    <xf numFmtId="0" fontId="105" fillId="0" borderId="0"/>
    <xf numFmtId="169" fontId="4" fillId="0" borderId="0"/>
    <xf numFmtId="0" fontId="106" fillId="0" borderId="0"/>
    <xf numFmtId="169" fontId="4" fillId="0" borderId="0"/>
    <xf numFmtId="176" fontId="4" fillId="0" borderId="0"/>
    <xf numFmtId="169" fontId="61" fillId="0" borderId="0"/>
    <xf numFmtId="0" fontId="6" fillId="0" borderId="0"/>
    <xf numFmtId="169" fontId="12" fillId="0" borderId="0"/>
    <xf numFmtId="0" fontId="6" fillId="0" borderId="0"/>
    <xf numFmtId="0" fontId="5" fillId="0" borderId="0"/>
    <xf numFmtId="0" fontId="6" fillId="0" borderId="0"/>
    <xf numFmtId="0" fontId="46" fillId="0" borderId="0"/>
    <xf numFmtId="169" fontId="4" fillId="0" borderId="0"/>
    <xf numFmtId="0" fontId="5" fillId="0" borderId="0"/>
    <xf numFmtId="0" fontId="63" fillId="0" borderId="0"/>
    <xf numFmtId="0" fontId="6" fillId="0" borderId="0"/>
    <xf numFmtId="169" fontId="4" fillId="0" borderId="0"/>
    <xf numFmtId="0" fontId="5" fillId="0" borderId="0"/>
    <xf numFmtId="169" fontId="4" fillId="0" borderId="0"/>
    <xf numFmtId="0" fontId="5" fillId="0" borderId="0"/>
    <xf numFmtId="0" fontId="46" fillId="0" borderId="0"/>
    <xf numFmtId="0" fontId="6" fillId="0" borderId="0"/>
    <xf numFmtId="0" fontId="6" fillId="0" borderId="0"/>
    <xf numFmtId="0" fontId="28" fillId="0" borderId="0"/>
    <xf numFmtId="179" fontId="41" fillId="0" borderId="0"/>
    <xf numFmtId="0" fontId="108" fillId="28" borderId="17" applyNumberFormat="0" applyFont="0" applyAlignment="0" applyProtection="0"/>
    <xf numFmtId="0" fontId="90" fillId="20" borderId="5"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10" fontId="32" fillId="0" borderId="0" applyFill="0" applyBorder="0" applyAlignment="0" applyProtection="0"/>
    <xf numFmtId="169" fontId="42" fillId="0" borderId="0"/>
    <xf numFmtId="0" fontId="43" fillId="0" borderId="0" applyNumberFormat="0" applyFill="0" applyBorder="0" applyAlignment="0" applyProtection="0">
      <alignment vertical="top"/>
      <protection locked="0"/>
    </xf>
    <xf numFmtId="169" fontId="5" fillId="0" borderId="0" applyNumberFormat="0" applyBorder="0" applyAlignment="0"/>
    <xf numFmtId="169" fontId="5" fillId="0" borderId="0" applyNumberFormat="0" applyBorder="0" applyAlignment="0"/>
    <xf numFmtId="0" fontId="5" fillId="0" borderId="0"/>
    <xf numFmtId="0" fontId="6" fillId="0" borderId="0"/>
    <xf numFmtId="0" fontId="9" fillId="0" borderId="0"/>
    <xf numFmtId="0" fontId="32" fillId="0" borderId="6" applyNumberFormat="0" applyFill="0" applyAlignment="0" applyProtection="0"/>
    <xf numFmtId="9" fontId="106" fillId="0" borderId="0" applyFont="0" applyFill="0" applyBorder="0" applyAlignment="0" applyProtection="0"/>
    <xf numFmtId="9" fontId="108" fillId="0" borderId="0" applyFont="0" applyFill="0" applyBorder="0" applyAlignment="0" applyProtection="0"/>
    <xf numFmtId="180" fontId="30" fillId="0" borderId="0">
      <alignment horizontal="right"/>
      <protection locked="0"/>
    </xf>
    <xf numFmtId="0" fontId="99" fillId="0" borderId="0" applyNumberFormat="0" applyFill="0" applyBorder="0" applyAlignment="0" applyProtection="0"/>
    <xf numFmtId="0" fontId="31" fillId="0" borderId="6">
      <protection locked="0"/>
    </xf>
    <xf numFmtId="0" fontId="31" fillId="0" borderId="6">
      <protection locked="0"/>
    </xf>
    <xf numFmtId="181" fontId="6" fillId="0" borderId="0" applyFont="0" applyFill="0" applyBorder="0" applyAlignment="0" applyProtection="0"/>
    <xf numFmtId="182" fontId="6"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Alignment="0" applyProtection="0"/>
    <xf numFmtId="183" fontId="6" fillId="0" borderId="0" applyFont="0" applyFill="0" applyBorder="0" applyAlignment="0" applyProtection="0"/>
    <xf numFmtId="184" fontId="5"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94" fillId="0" borderId="0" applyNumberForma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9" fontId="46" fillId="0" borderId="0" applyFont="0" applyFill="0" applyBorder="0" applyAlignment="0" applyProtection="0">
      <alignment vertical="center"/>
    </xf>
    <xf numFmtId="9" fontId="46" fillId="0" borderId="0" applyFont="0" applyFill="0" applyBorder="0" applyAlignment="0" applyProtection="0"/>
    <xf numFmtId="41" fontId="46" fillId="0" borderId="0" applyFont="0" applyFill="0" applyBorder="0" applyAlignment="0" applyProtection="0">
      <alignment vertical="center"/>
    </xf>
    <xf numFmtId="41" fontId="46" fillId="0" borderId="0" applyFont="0" applyFill="0" applyBorder="0" applyAlignment="0" applyProtection="0"/>
    <xf numFmtId="41" fontId="46" fillId="0" borderId="0" applyFont="0" applyFill="0" applyBorder="0" applyAlignment="0" applyProtection="0">
      <alignment vertical="center"/>
    </xf>
    <xf numFmtId="41" fontId="46" fillId="0" borderId="0" applyFont="0" applyFill="0" applyBorder="0" applyAlignment="0" applyProtection="0">
      <alignment vertical="center"/>
    </xf>
    <xf numFmtId="41" fontId="46" fillId="0" borderId="0" applyFont="0" applyFill="0" applyBorder="0" applyAlignment="0" applyProtection="0"/>
    <xf numFmtId="43" fontId="46" fillId="0" borderId="0" applyFont="0" applyFill="0" applyBorder="0" applyAlignment="0" applyProtection="0"/>
    <xf numFmtId="0" fontId="46" fillId="0" borderId="0">
      <alignment vertical="center"/>
    </xf>
    <xf numFmtId="0" fontId="46" fillId="0" borderId="0"/>
    <xf numFmtId="0" fontId="46" fillId="0" borderId="0"/>
    <xf numFmtId="0" fontId="46" fillId="0" borderId="0"/>
    <xf numFmtId="0" fontId="44" fillId="0" borderId="0"/>
    <xf numFmtId="0" fontId="44" fillId="0" borderId="0"/>
    <xf numFmtId="0" fontId="107" fillId="0" borderId="0">
      <alignment vertical="center"/>
    </xf>
    <xf numFmtId="0" fontId="46" fillId="0" borderId="0">
      <alignment vertical="center"/>
    </xf>
    <xf numFmtId="0" fontId="6" fillId="0" borderId="0" applyNumberFormat="0" applyFont="0" applyFill="0" applyBorder="0" applyAlignment="0" applyProtection="0"/>
    <xf numFmtId="0" fontId="46" fillId="0" borderId="0">
      <alignment vertical="center"/>
    </xf>
    <xf numFmtId="0" fontId="107" fillId="0" borderId="0">
      <alignment vertical="center"/>
    </xf>
    <xf numFmtId="169" fontId="4" fillId="0" borderId="0"/>
    <xf numFmtId="0" fontId="44" fillId="0" borderId="0"/>
    <xf numFmtId="185" fontId="44" fillId="0" borderId="0" applyFont="0" applyFill="0" applyBorder="0" applyAlignment="0" applyProtection="0"/>
    <xf numFmtId="38" fontId="45" fillId="0" borderId="0" applyFont="0" applyFill="0" applyBorder="0" applyAlignment="0" applyProtection="0"/>
    <xf numFmtId="38" fontId="47" fillId="0" borderId="0" applyFont="0" applyFill="0" applyBorder="0" applyAlignment="0" applyProtection="0">
      <alignment vertical="center"/>
    </xf>
    <xf numFmtId="0" fontId="44" fillId="0" borderId="0"/>
    <xf numFmtId="0" fontId="45" fillId="0" borderId="0">
      <alignment vertical="center"/>
    </xf>
    <xf numFmtId="0" fontId="5" fillId="0" borderId="0"/>
    <xf numFmtId="0" fontId="48" fillId="0" borderId="0"/>
    <xf numFmtId="0" fontId="66" fillId="0" borderId="0"/>
    <xf numFmtId="0" fontId="45" fillId="0" borderId="0"/>
    <xf numFmtId="0" fontId="35" fillId="0" borderId="0" applyNumberFormat="0" applyFill="0" applyBorder="0" applyAlignment="0" applyProtection="0">
      <alignment vertical="top"/>
      <protection locked="0"/>
    </xf>
    <xf numFmtId="0" fontId="2" fillId="0" borderId="0"/>
    <xf numFmtId="0" fontId="2" fillId="0" borderId="0"/>
    <xf numFmtId="0" fontId="1" fillId="25" borderId="0" applyNumberFormat="0" applyBorder="0" applyAlignment="0" applyProtection="0"/>
    <xf numFmtId="0" fontId="108" fillId="0" borderId="0"/>
    <xf numFmtId="169" fontId="137" fillId="0" borderId="0" applyNumberFormat="0" applyFill="0" applyBorder="0" applyAlignment="0" applyProtection="0"/>
    <xf numFmtId="165" fontId="106" fillId="0" borderId="0" applyFont="0" applyFill="0" applyBorder="0" applyAlignment="0" applyProtection="0"/>
    <xf numFmtId="43" fontId="4" fillId="0" borderId="0" applyFont="0" applyFill="0" applyBorder="0" applyAlignment="0" applyProtection="0"/>
    <xf numFmtId="169" fontId="139" fillId="0" borderId="0"/>
    <xf numFmtId="165" fontId="4" fillId="0" borderId="0" applyFont="0" applyFill="0" applyBorder="0" applyAlignment="0" applyProtection="0"/>
    <xf numFmtId="169" fontId="4" fillId="0" borderId="0"/>
  </cellStyleXfs>
  <cellXfs count="2075">
    <xf numFmtId="169" fontId="0" fillId="0" borderId="0" xfId="0"/>
    <xf numFmtId="169" fontId="5" fillId="0" borderId="0" xfId="0" applyFont="1"/>
    <xf numFmtId="169" fontId="5" fillId="0" borderId="0" xfId="0" applyFont="1" applyAlignment="1">
      <alignment horizontal="center"/>
    </xf>
    <xf numFmtId="0" fontId="5" fillId="0" borderId="0" xfId="158" applyFont="1"/>
    <xf numFmtId="170" fontId="5" fillId="0" borderId="0" xfId="0" applyNumberFormat="1" applyFont="1"/>
    <xf numFmtId="170" fontId="5" fillId="0" borderId="0" xfId="0" applyNumberFormat="1" applyFont="1" applyAlignment="1">
      <alignment horizontal="center"/>
    </xf>
    <xf numFmtId="170" fontId="5" fillId="0" borderId="7" xfId="0" applyNumberFormat="1" applyFont="1" applyBorder="1"/>
    <xf numFmtId="170" fontId="5" fillId="0" borderId="7" xfId="0" applyNumberFormat="1" applyFont="1" applyBorder="1" applyAlignment="1">
      <alignment horizontal="center"/>
    </xf>
    <xf numFmtId="170" fontId="5" fillId="0" borderId="0" xfId="0" applyNumberFormat="1" applyFont="1" applyBorder="1" applyAlignment="1">
      <alignment horizontal="center"/>
    </xf>
    <xf numFmtId="169" fontId="5" fillId="0" borderId="0" xfId="0" applyFont="1" applyFill="1"/>
    <xf numFmtId="3" fontId="5" fillId="0" borderId="0" xfId="0" applyNumberFormat="1" applyFont="1" applyFill="1"/>
    <xf numFmtId="3" fontId="5" fillId="0" borderId="0" xfId="0" applyNumberFormat="1" applyFont="1" applyFill="1" applyBorder="1" applyAlignment="1">
      <alignment horizontal="center"/>
    </xf>
    <xf numFmtId="3" fontId="5" fillId="0" borderId="0" xfId="0" applyNumberFormat="1" applyFont="1" applyFill="1" applyAlignment="1">
      <alignment horizontal="center"/>
    </xf>
    <xf numFmtId="169" fontId="7" fillId="0" borderId="0" xfId="0" applyFont="1"/>
    <xf numFmtId="169" fontId="7" fillId="0" borderId="0" xfId="0" applyFont="1" applyAlignment="1">
      <alignment horizontal="center"/>
    </xf>
    <xf numFmtId="169" fontId="7" fillId="0" borderId="0" xfId="0" applyFont="1" applyAlignment="1">
      <alignment horizontal="left"/>
    </xf>
    <xf numFmtId="169" fontId="5" fillId="0" borderId="7" xfId="0" applyFont="1" applyBorder="1"/>
    <xf numFmtId="169" fontId="5" fillId="0" borderId="7" xfId="0" applyFont="1" applyFill="1" applyBorder="1"/>
    <xf numFmtId="3" fontId="5" fillId="0" borderId="7" xfId="0" applyNumberFormat="1" applyFont="1" applyFill="1" applyBorder="1"/>
    <xf numFmtId="3" fontId="5" fillId="0" borderId="7" xfId="0" applyNumberFormat="1" applyFont="1" applyFill="1" applyBorder="1" applyAlignment="1">
      <alignment horizontal="center"/>
    </xf>
    <xf numFmtId="1" fontId="5" fillId="0" borderId="7" xfId="0" applyNumberFormat="1" applyFont="1" applyFill="1" applyBorder="1" applyAlignment="1">
      <alignment horizontal="center"/>
    </xf>
    <xf numFmtId="1" fontId="5" fillId="0" borderId="0" xfId="0" applyNumberFormat="1" applyFont="1" applyFill="1" applyBorder="1" applyAlignment="1">
      <alignment horizontal="center"/>
    </xf>
    <xf numFmtId="169" fontId="5" fillId="0" borderId="0" xfId="0" quotePrefix="1" applyFont="1" applyBorder="1" applyAlignment="1">
      <alignment horizontal="left"/>
    </xf>
    <xf numFmtId="169" fontId="5" fillId="0" borderId="0" xfId="0" applyFont="1" applyBorder="1"/>
    <xf numFmtId="171" fontId="5" fillId="0" borderId="0" xfId="0" applyNumberFormat="1" applyFont="1" applyFill="1" applyAlignment="1">
      <alignment horizontal="center"/>
    </xf>
    <xf numFmtId="10" fontId="5" fillId="0" borderId="0" xfId="0" applyNumberFormat="1" applyFont="1" applyFill="1" applyAlignment="1">
      <alignment horizontal="center"/>
    </xf>
    <xf numFmtId="171" fontId="5" fillId="0" borderId="0" xfId="97" applyNumberFormat="1" applyFont="1" applyFill="1" applyAlignment="1">
      <alignment horizontal="center"/>
    </xf>
    <xf numFmtId="169" fontId="5" fillId="0" borderId="0" xfId="0" applyFont="1" applyBorder="1" applyAlignment="1">
      <alignment vertical="center"/>
    </xf>
    <xf numFmtId="169" fontId="5" fillId="0" borderId="7" xfId="0" applyFont="1" applyBorder="1" applyAlignment="1">
      <alignment vertical="center"/>
    </xf>
    <xf numFmtId="171" fontId="5" fillId="0" borderId="7" xfId="0" applyNumberFormat="1" applyFont="1" applyFill="1" applyBorder="1" applyAlignment="1">
      <alignment horizontal="center"/>
    </xf>
    <xf numFmtId="1" fontId="5" fillId="0" borderId="8" xfId="189" applyNumberFormat="1" applyFont="1" applyFill="1" applyBorder="1" applyAlignment="1">
      <alignment horizontal="center"/>
    </xf>
    <xf numFmtId="170" fontId="5" fillId="0" borderId="0" xfId="189" applyNumberFormat="1" applyFont="1" applyFill="1" applyBorder="1" applyAlignment="1">
      <alignment horizontal="center"/>
    </xf>
    <xf numFmtId="1" fontId="5" fillId="0" borderId="0" xfId="189" applyNumberFormat="1" applyFont="1" applyFill="1" applyBorder="1" applyAlignment="1">
      <alignment horizontal="center"/>
    </xf>
    <xf numFmtId="169" fontId="5" fillId="0" borderId="8" xfId="0" applyFont="1" applyBorder="1" applyAlignment="1">
      <alignment horizontal="center"/>
    </xf>
    <xf numFmtId="169" fontId="5" fillId="0" borderId="0" xfId="0" applyFont="1" applyAlignment="1">
      <alignment horizontal="left"/>
    </xf>
    <xf numFmtId="170" fontId="5" fillId="0" borderId="0" xfId="0" applyNumberFormat="1" applyFont="1" applyAlignment="1">
      <alignment horizontal="center" vertical="center"/>
    </xf>
    <xf numFmtId="169" fontId="0" fillId="0" borderId="0" xfId="0" applyAlignment="1">
      <alignment horizontal="center" vertical="center"/>
    </xf>
    <xf numFmtId="0" fontId="5" fillId="0" borderId="0" xfId="134" applyFont="1"/>
    <xf numFmtId="170" fontId="5" fillId="23" borderId="0" xfId="134" applyNumberFormat="1" applyFont="1" applyFill="1" applyAlignment="1">
      <alignment horizontal="center"/>
    </xf>
    <xf numFmtId="169" fontId="4" fillId="0" borderId="0" xfId="0" applyFont="1" applyAlignment="1">
      <alignment horizontal="center" vertical="center"/>
    </xf>
    <xf numFmtId="172" fontId="5" fillId="0" borderId="0" xfId="0" applyNumberFormat="1" applyFont="1" applyAlignment="1">
      <alignment horizontal="center"/>
    </xf>
    <xf numFmtId="169" fontId="115" fillId="0" borderId="0" xfId="0" applyFont="1" applyAlignment="1">
      <alignment horizontal="center"/>
    </xf>
    <xf numFmtId="169" fontId="5" fillId="0" borderId="0" xfId="0" applyFont="1" applyFill="1" applyAlignment="1">
      <alignment horizontal="center"/>
    </xf>
    <xf numFmtId="0" fontId="5" fillId="0" borderId="0" xfId="189" applyFont="1" applyFill="1"/>
    <xf numFmtId="3" fontId="5" fillId="0" borderId="0" xfId="189" applyNumberFormat="1" applyFont="1" applyFill="1"/>
    <xf numFmtId="170" fontId="5" fillId="0" borderId="0" xfId="189" applyNumberFormat="1" applyFont="1" applyFill="1" applyBorder="1"/>
    <xf numFmtId="170" fontId="5" fillId="0" borderId="0" xfId="189" applyNumberFormat="1" applyFont="1" applyFill="1"/>
    <xf numFmtId="0" fontId="5" fillId="0" borderId="0" xfId="189" applyFont="1" applyFill="1" applyAlignment="1">
      <alignment horizontal="center"/>
    </xf>
    <xf numFmtId="169" fontId="11" fillId="0" borderId="0" xfId="0" applyFont="1" applyAlignment="1">
      <alignment horizontal="center" vertical="center"/>
    </xf>
    <xf numFmtId="3" fontId="5" fillId="0" borderId="0" xfId="189" applyNumberFormat="1" applyFont="1" applyFill="1" applyBorder="1" applyAlignment="1">
      <alignment horizontal="center"/>
    </xf>
    <xf numFmtId="0" fontId="5" fillId="0" borderId="0" xfId="189" applyFont="1" applyFill="1" applyAlignment="1">
      <alignment horizontal="left"/>
    </xf>
    <xf numFmtId="0" fontId="5" fillId="0" borderId="7" xfId="189" applyFont="1" applyFill="1" applyBorder="1"/>
    <xf numFmtId="3" fontId="5" fillId="0" borderId="7" xfId="189" applyNumberFormat="1" applyFont="1" applyFill="1" applyBorder="1"/>
    <xf numFmtId="170" fontId="5" fillId="0" borderId="7" xfId="189" applyNumberFormat="1" applyFont="1" applyFill="1" applyBorder="1"/>
    <xf numFmtId="170" fontId="5" fillId="0" borderId="7" xfId="189" applyNumberFormat="1" applyFont="1" applyFill="1" applyBorder="1" applyAlignment="1">
      <alignment horizontal="center"/>
    </xf>
    <xf numFmtId="169" fontId="5" fillId="0" borderId="7" xfId="0" applyFont="1" applyBorder="1" applyAlignment="1">
      <alignment horizontal="center"/>
    </xf>
    <xf numFmtId="169" fontId="5" fillId="0" borderId="9" xfId="0" applyFont="1" applyBorder="1" applyAlignment="1">
      <alignment horizontal="center"/>
    </xf>
    <xf numFmtId="169" fontId="5" fillId="0" borderId="0" xfId="0" applyFont="1" applyBorder="1" applyAlignment="1">
      <alignment horizontal="center"/>
    </xf>
    <xf numFmtId="169" fontId="5" fillId="0" borderId="0" xfId="0" quotePrefix="1" applyFont="1"/>
    <xf numFmtId="3" fontId="5" fillId="0" borderId="0" xfId="0" applyNumberFormat="1" applyFont="1" applyAlignment="1">
      <alignment horizontal="center"/>
    </xf>
    <xf numFmtId="169" fontId="7" fillId="0" borderId="0" xfId="0" quotePrefix="1" applyFont="1"/>
    <xf numFmtId="171" fontId="7" fillId="0" borderId="0" xfId="0" applyNumberFormat="1" applyFont="1" applyAlignment="1">
      <alignment horizontal="center"/>
    </xf>
    <xf numFmtId="171" fontId="7" fillId="0" borderId="0" xfId="0" applyNumberFormat="1" applyFont="1" applyFill="1" applyAlignment="1">
      <alignment horizontal="center"/>
    </xf>
    <xf numFmtId="171" fontId="5" fillId="0" borderId="0" xfId="0" applyNumberFormat="1" applyFont="1" applyAlignment="1">
      <alignment horizontal="center"/>
    </xf>
    <xf numFmtId="171" fontId="5" fillId="0" borderId="0" xfId="0" applyNumberFormat="1" applyFont="1" applyFill="1" applyBorder="1" applyAlignment="1">
      <alignment horizontal="center"/>
    </xf>
    <xf numFmtId="169" fontId="8" fillId="0" borderId="0" xfId="0" applyFont="1" applyAlignment="1"/>
    <xf numFmtId="0" fontId="5" fillId="0" borderId="0" xfId="189" applyFont="1" applyFill="1" applyBorder="1"/>
    <xf numFmtId="3" fontId="5" fillId="0" borderId="0" xfId="189" applyNumberFormat="1" applyFont="1" applyFill="1" applyBorder="1"/>
    <xf numFmtId="0" fontId="7" fillId="0" borderId="0" xfId="158" applyFont="1"/>
    <xf numFmtId="170" fontId="7" fillId="0" borderId="0" xfId="0" applyNumberFormat="1" applyFont="1"/>
    <xf numFmtId="170" fontId="7" fillId="0" borderId="0" xfId="0" applyNumberFormat="1" applyFont="1" applyAlignment="1">
      <alignment horizontal="center"/>
    </xf>
    <xf numFmtId="170" fontId="7" fillId="29" borderId="0" xfId="0" applyNumberFormat="1" applyFont="1" applyFill="1" applyAlignment="1">
      <alignment horizontal="center"/>
    </xf>
    <xf numFmtId="0" fontId="12" fillId="0" borderId="0" xfId="0" applyNumberFormat="1" applyFont="1"/>
    <xf numFmtId="0" fontId="5" fillId="0" borderId="0" xfId="0" applyNumberFormat="1" applyFont="1"/>
    <xf numFmtId="170" fontId="5" fillId="0" borderId="0" xfId="0" applyNumberFormat="1" applyFont="1" applyFill="1" applyAlignment="1">
      <alignment horizontal="center"/>
    </xf>
    <xf numFmtId="169" fontId="5" fillId="29" borderId="0" xfId="0" applyFont="1" applyFill="1" applyAlignment="1">
      <alignment horizontal="center"/>
    </xf>
    <xf numFmtId="170" fontId="8" fillId="0" borderId="0" xfId="0" applyNumberFormat="1" applyFont="1" applyFill="1" applyAlignment="1">
      <alignment horizontal="center"/>
    </xf>
    <xf numFmtId="170" fontId="8" fillId="0" borderId="0" xfId="0" applyNumberFormat="1" applyFont="1" applyAlignment="1">
      <alignment horizontal="center"/>
    </xf>
    <xf numFmtId="170" fontId="115" fillId="0" borderId="0" xfId="0" applyNumberFormat="1" applyFont="1" applyAlignment="1">
      <alignment horizontal="center"/>
    </xf>
    <xf numFmtId="0" fontId="16" fillId="0" borderId="0" xfId="0" applyNumberFormat="1" applyFont="1"/>
    <xf numFmtId="0" fontId="17" fillId="0" borderId="0" xfId="0" applyNumberFormat="1" applyFont="1"/>
    <xf numFmtId="170" fontId="5" fillId="0" borderId="0" xfId="0" applyNumberFormat="1" applyFont="1" applyFill="1" applyAlignment="1">
      <alignment horizontal="center" vertical="center"/>
    </xf>
    <xf numFmtId="0" fontId="8" fillId="0" borderId="0" xfId="0" applyNumberFormat="1" applyFont="1"/>
    <xf numFmtId="3" fontId="5" fillId="0" borderId="0" xfId="0" applyNumberFormat="1" applyFont="1"/>
    <xf numFmtId="170" fontId="7" fillId="0" borderId="0" xfId="0" applyNumberFormat="1" applyFont="1" applyFill="1" applyAlignment="1">
      <alignment horizontal="center"/>
    </xf>
    <xf numFmtId="0" fontId="19" fillId="0" borderId="0" xfId="0" applyNumberFormat="1" applyFont="1"/>
    <xf numFmtId="0" fontId="116" fillId="0" borderId="0" xfId="0" applyNumberFormat="1" applyFont="1"/>
    <xf numFmtId="170" fontId="21" fillId="0" borderId="0" xfId="0" applyNumberFormat="1" applyFont="1" applyAlignment="1">
      <alignment horizontal="center"/>
    </xf>
    <xf numFmtId="0" fontId="7" fillId="0" borderId="0" xfId="0" applyNumberFormat="1" applyFont="1"/>
    <xf numFmtId="3" fontId="5" fillId="0" borderId="0" xfId="156" applyNumberFormat="1" applyFont="1" applyAlignment="1">
      <alignment horizontal="left"/>
    </xf>
    <xf numFmtId="0" fontId="22" fillId="0" borderId="0" xfId="189" applyFont="1" applyFill="1"/>
    <xf numFmtId="0" fontId="5" fillId="0" borderId="0" xfId="158" applyFont="1" applyFill="1"/>
    <xf numFmtId="169" fontId="12" fillId="0" borderId="0" xfId="0" applyFont="1" applyAlignment="1">
      <alignment horizontal="left" vertical="top" wrapText="1"/>
    </xf>
    <xf numFmtId="169" fontId="12" fillId="0" borderId="0" xfId="0" applyFont="1" applyAlignment="1">
      <alignment horizontal="center" vertical="top" wrapText="1"/>
    </xf>
    <xf numFmtId="169" fontId="12" fillId="0" borderId="0" xfId="0" applyFont="1" applyAlignment="1">
      <alignment horizontal="center" vertical="top"/>
    </xf>
    <xf numFmtId="169" fontId="5" fillId="0" borderId="0" xfId="0" applyFont="1" applyFill="1" applyAlignment="1">
      <alignment horizontal="center" vertical="top"/>
    </xf>
    <xf numFmtId="169" fontId="5" fillId="0" borderId="0" xfId="0" applyFont="1" applyAlignment="1">
      <alignment horizontal="center" vertical="top" wrapText="1"/>
    </xf>
    <xf numFmtId="169" fontId="5" fillId="0" borderId="0" xfId="0" applyFont="1" applyAlignment="1">
      <alignment horizontal="center" vertical="top"/>
    </xf>
    <xf numFmtId="169" fontId="23" fillId="0" borderId="0" xfId="0" applyFont="1"/>
    <xf numFmtId="169" fontId="23" fillId="0" borderId="0" xfId="0" applyFont="1" applyAlignment="1">
      <alignment horizontal="center"/>
    </xf>
    <xf numFmtId="0" fontId="23" fillId="0" borderId="0" xfId="0" applyNumberFormat="1" applyFont="1"/>
    <xf numFmtId="0" fontId="23" fillId="0" borderId="0" xfId="0" applyNumberFormat="1" applyFont="1" applyAlignment="1"/>
    <xf numFmtId="169" fontId="25" fillId="0" borderId="0" xfId="0" applyFont="1" applyAlignment="1">
      <alignment horizontal="center" wrapText="1"/>
    </xf>
    <xf numFmtId="169" fontId="5" fillId="0" borderId="0" xfId="162" applyFont="1" applyAlignment="1">
      <alignment horizontal="right"/>
    </xf>
    <xf numFmtId="169" fontId="5" fillId="0" borderId="0" xfId="162" applyFont="1" applyAlignment="1">
      <alignment horizontal="center"/>
    </xf>
    <xf numFmtId="3" fontId="5" fillId="0" borderId="0" xfId="162" applyNumberFormat="1" applyFont="1" applyAlignment="1">
      <alignment horizontal="right"/>
    </xf>
    <xf numFmtId="3" fontId="5" fillId="0" borderId="0" xfId="162" applyNumberFormat="1" applyFont="1" applyAlignment="1">
      <alignment horizontal="center"/>
    </xf>
    <xf numFmtId="3" fontId="5" fillId="0" borderId="7" xfId="162" applyNumberFormat="1" applyFont="1" applyBorder="1" applyAlignment="1">
      <alignment horizontal="right"/>
    </xf>
    <xf numFmtId="3" fontId="5" fillId="0" borderId="7" xfId="162" applyNumberFormat="1" applyFont="1" applyBorder="1" applyAlignment="1">
      <alignment horizontal="center"/>
    </xf>
    <xf numFmtId="3" fontId="5" fillId="0" borderId="0" xfId="162" applyNumberFormat="1" applyFont="1" applyBorder="1" applyAlignment="1">
      <alignment horizontal="center"/>
    </xf>
    <xf numFmtId="3" fontId="5" fillId="0" borderId="0" xfId="162" applyNumberFormat="1" applyFont="1"/>
    <xf numFmtId="169" fontId="5" fillId="0" borderId="7" xfId="162" applyFont="1" applyBorder="1"/>
    <xf numFmtId="1" fontId="5" fillId="0" borderId="8" xfId="162" applyNumberFormat="1" applyFont="1" applyBorder="1" applyAlignment="1">
      <alignment horizontal="center"/>
    </xf>
    <xf numFmtId="1" fontId="5" fillId="0" borderId="9" xfId="162" applyNumberFormat="1" applyFont="1" applyBorder="1" applyAlignment="1">
      <alignment horizontal="center"/>
    </xf>
    <xf numFmtId="3" fontId="5" fillId="0" borderId="8" xfId="162" applyNumberFormat="1" applyFont="1" applyBorder="1"/>
    <xf numFmtId="3" fontId="5" fillId="0" borderId="0" xfId="162" applyNumberFormat="1" applyFont="1" applyBorder="1"/>
    <xf numFmtId="3" fontId="5" fillId="0" borderId="0" xfId="162" applyNumberFormat="1" applyFont="1" applyBorder="1" applyAlignment="1">
      <alignment horizontal="right"/>
    </xf>
    <xf numFmtId="169" fontId="5" fillId="0" borderId="0" xfId="162" applyFont="1" applyBorder="1" applyAlignment="1">
      <alignment horizontal="right"/>
    </xf>
    <xf numFmtId="3" fontId="5" fillId="0" borderId="8" xfId="162" applyNumberFormat="1" applyFont="1" applyBorder="1" applyAlignment="1">
      <alignment horizontal="center" wrapText="1"/>
    </xf>
    <xf numFmtId="3" fontId="5" fillId="0" borderId="0" xfId="162" applyNumberFormat="1" applyFont="1" applyAlignment="1">
      <alignment horizontal="left"/>
    </xf>
    <xf numFmtId="169" fontId="5" fillId="0" borderId="0" xfId="162" applyFont="1" applyBorder="1" applyAlignment="1">
      <alignment horizontal="center"/>
    </xf>
    <xf numFmtId="169" fontId="5" fillId="0" borderId="0" xfId="162" applyFont="1" applyBorder="1"/>
    <xf numFmtId="4" fontId="5" fillId="0" borderId="0" xfId="162" applyNumberFormat="1" applyFont="1" applyAlignment="1">
      <alignment horizontal="center"/>
    </xf>
    <xf numFmtId="4" fontId="5" fillId="0" borderId="0" xfId="162" applyNumberFormat="1" applyFont="1" applyBorder="1" applyAlignment="1">
      <alignment horizontal="center"/>
    </xf>
    <xf numFmtId="169" fontId="5" fillId="0" borderId="0" xfId="162" quotePrefix="1" applyFont="1"/>
    <xf numFmtId="3" fontId="5" fillId="0" borderId="7" xfId="162" applyNumberFormat="1" applyFont="1" applyBorder="1" applyAlignment="1">
      <alignment horizontal="left"/>
    </xf>
    <xf numFmtId="4" fontId="5" fillId="0" borderId="7" xfId="162" applyNumberFormat="1" applyFont="1" applyBorder="1" applyAlignment="1">
      <alignment horizontal="center"/>
    </xf>
    <xf numFmtId="169" fontId="5" fillId="0" borderId="7" xfId="162" applyFont="1" applyBorder="1" applyAlignment="1">
      <alignment horizontal="center"/>
    </xf>
    <xf numFmtId="169" fontId="5" fillId="0" borderId="7" xfId="162" applyFont="1" applyBorder="1" applyAlignment="1">
      <alignment horizontal="right"/>
    </xf>
    <xf numFmtId="3" fontId="5" fillId="0" borderId="7" xfId="162" applyNumberFormat="1" applyFont="1" applyBorder="1"/>
    <xf numFmtId="3" fontId="5" fillId="0" borderId="9" xfId="162" applyNumberFormat="1" applyFont="1" applyBorder="1"/>
    <xf numFmtId="169" fontId="7" fillId="0" borderId="0" xfId="162" applyFont="1"/>
    <xf numFmtId="3" fontId="5" fillId="0" borderId="0" xfId="163" applyNumberFormat="1" applyFont="1" applyAlignment="1">
      <alignment horizontal="right"/>
    </xf>
    <xf numFmtId="3" fontId="5" fillId="0" borderId="0" xfId="163" applyNumberFormat="1" applyFont="1" applyAlignment="1">
      <alignment horizontal="center"/>
    </xf>
    <xf numFmtId="3" fontId="5" fillId="0" borderId="0" xfId="163" applyNumberFormat="1" applyFont="1"/>
    <xf numFmtId="169" fontId="5" fillId="0" borderId="0" xfId="78" applyFont="1"/>
    <xf numFmtId="169" fontId="5" fillId="0" borderId="0" xfId="78" applyFont="1" applyFill="1"/>
    <xf numFmtId="3" fontId="5" fillId="0" borderId="0" xfId="78" applyNumberFormat="1" applyFont="1" applyFill="1"/>
    <xf numFmtId="169" fontId="7" fillId="0" borderId="0" xfId="78" applyFont="1" applyAlignment="1">
      <alignment horizontal="left"/>
    </xf>
    <xf numFmtId="169" fontId="7" fillId="0" borderId="0" xfId="78" applyFont="1" applyAlignment="1">
      <alignment horizontal="center"/>
    </xf>
    <xf numFmtId="169" fontId="5" fillId="0" borderId="7" xfId="78" applyFont="1" applyBorder="1"/>
    <xf numFmtId="169" fontId="5" fillId="0" borderId="7" xfId="78" applyFont="1" applyFill="1" applyBorder="1"/>
    <xf numFmtId="3" fontId="5" fillId="0" borderId="7" xfId="78" applyNumberFormat="1" applyFont="1" applyFill="1" applyBorder="1"/>
    <xf numFmtId="1" fontId="5" fillId="0" borderId="7" xfId="78" applyNumberFormat="1" applyFont="1" applyFill="1" applyBorder="1" applyAlignment="1">
      <alignment horizontal="center"/>
    </xf>
    <xf numFmtId="1" fontId="5" fillId="0" borderId="0" xfId="78" applyNumberFormat="1" applyFont="1" applyFill="1" applyBorder="1" applyAlignment="1">
      <alignment horizontal="center"/>
    </xf>
    <xf numFmtId="169" fontId="5" fillId="0" borderId="8" xfId="78" applyFont="1" applyBorder="1" applyAlignment="1">
      <alignment horizontal="center"/>
    </xf>
    <xf numFmtId="3" fontId="5" fillId="0" borderId="0" xfId="78" applyNumberFormat="1" applyFont="1" applyFill="1" applyAlignment="1">
      <alignment horizontal="center"/>
    </xf>
    <xf numFmtId="169" fontId="5" fillId="0" borderId="0" xfId="78" quotePrefix="1" applyFont="1"/>
    <xf numFmtId="169" fontId="5" fillId="0" borderId="0" xfId="78" applyFont="1" applyAlignment="1">
      <alignment horizontal="center"/>
    </xf>
    <xf numFmtId="3" fontId="5" fillId="0" borderId="0" xfId="78" applyNumberFormat="1" applyFont="1" applyAlignment="1">
      <alignment horizontal="center"/>
    </xf>
    <xf numFmtId="169" fontId="7" fillId="0" borderId="0" xfId="78" quotePrefix="1" applyFont="1"/>
    <xf numFmtId="169" fontId="7" fillId="0" borderId="0" xfId="78" applyFont="1"/>
    <xf numFmtId="171" fontId="7" fillId="0" borderId="0" xfId="78" applyNumberFormat="1" applyFont="1" applyAlignment="1">
      <alignment horizontal="center"/>
    </xf>
    <xf numFmtId="171" fontId="5" fillId="0" borderId="0" xfId="78" applyNumberFormat="1" applyFont="1" applyAlignment="1">
      <alignment horizontal="center"/>
    </xf>
    <xf numFmtId="3" fontId="5" fillId="0" borderId="0" xfId="78" applyNumberFormat="1" applyFont="1" applyFill="1" applyBorder="1" applyAlignment="1">
      <alignment horizontal="center"/>
    </xf>
    <xf numFmtId="169" fontId="5" fillId="0" borderId="0" xfId="78" applyFont="1" applyAlignment="1">
      <alignment horizontal="right"/>
    </xf>
    <xf numFmtId="169" fontId="22" fillId="0" borderId="0" xfId="78" applyFont="1" applyFill="1"/>
    <xf numFmtId="3" fontId="5" fillId="0" borderId="7" xfId="78" applyNumberFormat="1" applyFont="1" applyFill="1" applyBorder="1" applyAlignment="1">
      <alignment horizontal="center"/>
    </xf>
    <xf numFmtId="169" fontId="5" fillId="29" borderId="0" xfId="78" applyFont="1" applyFill="1"/>
    <xf numFmtId="1" fontId="5" fillId="0" borderId="8" xfId="78" applyNumberFormat="1" applyFont="1" applyFill="1" applyBorder="1" applyAlignment="1">
      <alignment horizontal="center"/>
    </xf>
    <xf numFmtId="171" fontId="5" fillId="0" borderId="0" xfId="78" applyNumberFormat="1" applyFont="1" applyFill="1" applyAlignment="1">
      <alignment horizontal="center"/>
    </xf>
    <xf numFmtId="169" fontId="5" fillId="0" borderId="7" xfId="78" applyFont="1" applyBorder="1" applyAlignment="1">
      <alignment horizontal="center"/>
    </xf>
    <xf numFmtId="169" fontId="5" fillId="0" borderId="9" xfId="78" applyFont="1" applyBorder="1" applyAlignment="1">
      <alignment horizontal="center"/>
    </xf>
    <xf numFmtId="169" fontId="5" fillId="0" borderId="0" xfId="78" applyFont="1" applyBorder="1" applyAlignment="1">
      <alignment horizontal="center"/>
    </xf>
    <xf numFmtId="171" fontId="7" fillId="0" borderId="0" xfId="78" applyNumberFormat="1" applyFont="1" applyFill="1" applyAlignment="1">
      <alignment horizontal="center"/>
    </xf>
    <xf numFmtId="169" fontId="5" fillId="29" borderId="0" xfId="0" applyFont="1" applyFill="1"/>
    <xf numFmtId="3" fontId="5" fillId="29" borderId="0" xfId="0" applyNumberFormat="1" applyFont="1" applyFill="1" applyAlignment="1">
      <alignment horizontal="center"/>
    </xf>
    <xf numFmtId="0" fontId="5" fillId="29" borderId="0" xfId="189" applyFont="1" applyFill="1"/>
    <xf numFmtId="3" fontId="5" fillId="29" borderId="0" xfId="0" applyNumberFormat="1" applyFont="1" applyFill="1"/>
    <xf numFmtId="3" fontId="5" fillId="29" borderId="0" xfId="0" applyNumberFormat="1" applyFont="1" applyFill="1" applyBorder="1" applyAlignment="1">
      <alignment horizontal="center"/>
    </xf>
    <xf numFmtId="169" fontId="7" fillId="29" borderId="0" xfId="0" applyFont="1" applyFill="1" applyAlignment="1">
      <alignment horizontal="left"/>
    </xf>
    <xf numFmtId="169" fontId="7" fillId="29" borderId="0" xfId="0" applyFont="1" applyFill="1" applyAlignment="1">
      <alignment horizontal="center"/>
    </xf>
    <xf numFmtId="169" fontId="5" fillId="29" borderId="7" xfId="0" applyFont="1" applyFill="1" applyBorder="1"/>
    <xf numFmtId="3" fontId="5" fillId="29" borderId="7" xfId="0" applyNumberFormat="1" applyFont="1" applyFill="1" applyBorder="1"/>
    <xf numFmtId="169" fontId="5" fillId="29" borderId="8" xfId="0" applyFont="1" applyFill="1" applyBorder="1" applyAlignment="1">
      <alignment horizontal="right"/>
    </xf>
    <xf numFmtId="1" fontId="5" fillId="29" borderId="0" xfId="0" applyNumberFormat="1" applyFont="1" applyFill="1"/>
    <xf numFmtId="0" fontId="57" fillId="29" borderId="0" xfId="158" applyFont="1" applyFill="1" applyBorder="1"/>
    <xf numFmtId="169" fontId="23" fillId="29" borderId="0" xfId="0" applyFont="1" applyFill="1" applyBorder="1"/>
    <xf numFmtId="164" fontId="7" fillId="29" borderId="0" xfId="35" applyFont="1" applyFill="1" applyAlignment="1">
      <alignment horizontal="right"/>
    </xf>
    <xf numFmtId="0" fontId="57" fillId="29" borderId="0" xfId="158" applyFont="1" applyFill="1"/>
    <xf numFmtId="169" fontId="23" fillId="29" borderId="0" xfId="0" applyFont="1" applyFill="1"/>
    <xf numFmtId="164" fontId="5" fillId="29" borderId="0" xfId="35" applyFont="1" applyFill="1" applyAlignment="1">
      <alignment horizontal="right"/>
    </xf>
    <xf numFmtId="0" fontId="57" fillId="29" borderId="0" xfId="158" applyFont="1" applyFill="1" applyBorder="1" applyAlignment="1">
      <alignment vertical="center"/>
    </xf>
    <xf numFmtId="169" fontId="23" fillId="29" borderId="0" xfId="0" applyFont="1" applyFill="1" applyBorder="1" applyAlignment="1">
      <alignment vertical="center"/>
    </xf>
    <xf numFmtId="0" fontId="23" fillId="29" borderId="7" xfId="158" applyFont="1" applyFill="1" applyBorder="1"/>
    <xf numFmtId="164" fontId="5" fillId="29" borderId="0" xfId="35" applyFont="1" applyFill="1"/>
    <xf numFmtId="164" fontId="5" fillId="29" borderId="7" xfId="35" applyFont="1" applyFill="1" applyBorder="1"/>
    <xf numFmtId="169" fontId="5" fillId="29" borderId="0" xfId="162" applyFont="1" applyFill="1"/>
    <xf numFmtId="0" fontId="23" fillId="29" borderId="0" xfId="158" applyFont="1" applyFill="1"/>
    <xf numFmtId="2" fontId="23" fillId="29" borderId="0" xfId="0" applyNumberFormat="1" applyFont="1" applyFill="1" applyAlignment="1">
      <alignment horizontal="center"/>
    </xf>
    <xf numFmtId="0" fontId="5" fillId="29" borderId="0" xfId="189" applyFont="1" applyFill="1" applyAlignment="1">
      <alignment horizontal="left"/>
    </xf>
    <xf numFmtId="0" fontId="5" fillId="29" borderId="0" xfId="189" applyFont="1" applyFill="1" applyAlignment="1">
      <alignment horizontal="center"/>
    </xf>
    <xf numFmtId="0" fontId="5" fillId="29" borderId="7" xfId="189" applyFont="1" applyFill="1" applyBorder="1"/>
    <xf numFmtId="3" fontId="5" fillId="29" borderId="7" xfId="189" applyNumberFormat="1" applyFont="1" applyFill="1" applyBorder="1"/>
    <xf numFmtId="170" fontId="5" fillId="29" borderId="7" xfId="189" applyNumberFormat="1" applyFont="1" applyFill="1" applyBorder="1"/>
    <xf numFmtId="170" fontId="5" fillId="29" borderId="7" xfId="189" applyNumberFormat="1" applyFont="1" applyFill="1" applyBorder="1" applyAlignment="1">
      <alignment horizontal="center"/>
    </xf>
    <xf numFmtId="170" fontId="5" fillId="29" borderId="0" xfId="189" applyNumberFormat="1" applyFont="1" applyFill="1" applyBorder="1" applyAlignment="1">
      <alignment horizontal="center"/>
    </xf>
    <xf numFmtId="3" fontId="5" fillId="29" borderId="0" xfId="189" applyNumberFormat="1" applyFont="1" applyFill="1"/>
    <xf numFmtId="170" fontId="5" fillId="29" borderId="0" xfId="189" applyNumberFormat="1" applyFont="1" applyFill="1" applyBorder="1"/>
    <xf numFmtId="170" fontId="5" fillId="29" borderId="0" xfId="189" applyNumberFormat="1" applyFont="1" applyFill="1"/>
    <xf numFmtId="169" fontId="5" fillId="29" borderId="7" xfId="0" applyFont="1" applyFill="1" applyBorder="1" applyAlignment="1">
      <alignment horizontal="center"/>
    </xf>
    <xf numFmtId="169" fontId="5" fillId="29" borderId="9" xfId="0" applyFont="1" applyFill="1" applyBorder="1" applyAlignment="1">
      <alignment horizontal="center"/>
    </xf>
    <xf numFmtId="169" fontId="5" fillId="29" borderId="8" xfId="0" applyFont="1" applyFill="1" applyBorder="1" applyAlignment="1">
      <alignment horizontal="center"/>
    </xf>
    <xf numFmtId="169" fontId="5" fillId="29" borderId="0" xfId="0" applyFont="1" applyFill="1" applyBorder="1" applyAlignment="1">
      <alignment horizontal="center"/>
    </xf>
    <xf numFmtId="169" fontId="5" fillId="29" borderId="0" xfId="0" quotePrefix="1" applyFont="1" applyFill="1" applyAlignment="1">
      <alignment horizontal="center"/>
    </xf>
    <xf numFmtId="169" fontId="7" fillId="29" borderId="0" xfId="0" quotePrefix="1" applyFont="1" applyFill="1" applyAlignment="1">
      <alignment horizontal="center"/>
    </xf>
    <xf numFmtId="169" fontId="7" fillId="29" borderId="0" xfId="0" applyFont="1" applyFill="1"/>
    <xf numFmtId="171" fontId="7" fillId="29" borderId="0" xfId="0" applyNumberFormat="1" applyFont="1" applyFill="1" applyAlignment="1">
      <alignment horizontal="center"/>
    </xf>
    <xf numFmtId="171" fontId="5" fillId="29" borderId="0" xfId="0" applyNumberFormat="1" applyFont="1" applyFill="1" applyAlignment="1">
      <alignment horizontal="center"/>
    </xf>
    <xf numFmtId="0" fontId="5" fillId="29" borderId="0" xfId="189" applyFont="1" applyFill="1" applyBorder="1"/>
    <xf numFmtId="3" fontId="5" fillId="29" borderId="0" xfId="189" applyNumberFormat="1" applyFont="1" applyFill="1" applyBorder="1"/>
    <xf numFmtId="1" fontId="5" fillId="29" borderId="8" xfId="189" applyNumberFormat="1" applyFont="1" applyFill="1" applyBorder="1" applyAlignment="1">
      <alignment horizontal="center"/>
    </xf>
    <xf numFmtId="170" fontId="5" fillId="29" borderId="8" xfId="189" applyNumberFormat="1" applyFont="1" applyFill="1" applyBorder="1" applyAlignment="1">
      <alignment horizontal="center"/>
    </xf>
    <xf numFmtId="3" fontId="5" fillId="29" borderId="0" xfId="162" applyNumberFormat="1" applyFont="1" applyFill="1" applyAlignment="1">
      <alignment horizontal="right"/>
    </xf>
    <xf numFmtId="3" fontId="5" fillId="29" borderId="0" xfId="162" applyNumberFormat="1" applyFont="1" applyFill="1" applyAlignment="1">
      <alignment horizontal="center"/>
    </xf>
    <xf numFmtId="3" fontId="5" fillId="29" borderId="0" xfId="162" applyNumberFormat="1" applyFont="1" applyFill="1"/>
    <xf numFmtId="169" fontId="5" fillId="29" borderId="0" xfId="162" applyFont="1" applyFill="1" applyAlignment="1">
      <alignment horizontal="center"/>
    </xf>
    <xf numFmtId="0" fontId="7" fillId="29" borderId="0" xfId="158" applyFont="1" applyFill="1"/>
    <xf numFmtId="3" fontId="5" fillId="29" borderId="0" xfId="162" applyNumberFormat="1" applyFont="1" applyFill="1" applyBorder="1" applyAlignment="1">
      <alignment horizontal="right"/>
    </xf>
    <xf numFmtId="1" fontId="5" fillId="29" borderId="0" xfId="162" applyNumberFormat="1" applyFont="1" applyFill="1" applyAlignment="1">
      <alignment horizontal="center"/>
    </xf>
    <xf numFmtId="169" fontId="22" fillId="29" borderId="0" xfId="0" applyFont="1" applyFill="1"/>
    <xf numFmtId="164" fontId="7" fillId="29" borderId="0" xfId="35" applyFont="1" applyFill="1" applyAlignment="1">
      <alignment horizontal="center"/>
    </xf>
    <xf numFmtId="169" fontId="5" fillId="29" borderId="7" xfId="162" applyFont="1" applyFill="1" applyBorder="1"/>
    <xf numFmtId="169" fontId="5" fillId="29" borderId="7" xfId="162" applyFont="1" applyFill="1" applyBorder="1" applyAlignment="1">
      <alignment horizontal="right"/>
    </xf>
    <xf numFmtId="169" fontId="5" fillId="29" borderId="7" xfId="162" applyFont="1" applyFill="1" applyBorder="1" applyAlignment="1">
      <alignment horizontal="center"/>
    </xf>
    <xf numFmtId="169" fontId="5" fillId="29" borderId="0" xfId="162" applyFont="1" applyFill="1" applyAlignment="1">
      <alignment horizontal="right"/>
    </xf>
    <xf numFmtId="169" fontId="5" fillId="29" borderId="7" xfId="78" applyFont="1" applyFill="1" applyBorder="1"/>
    <xf numFmtId="169" fontId="5" fillId="29" borderId="0" xfId="78" applyFont="1" applyFill="1" applyAlignment="1">
      <alignment vertical="center"/>
    </xf>
    <xf numFmtId="169" fontId="5" fillId="29" borderId="0" xfId="80" applyFont="1" applyFill="1"/>
    <xf numFmtId="169" fontId="5" fillId="29" borderId="0" xfId="80" applyFont="1" applyFill="1" applyAlignment="1">
      <alignment horizontal="center"/>
    </xf>
    <xf numFmtId="169" fontId="5" fillId="29" borderId="7" xfId="80" applyFont="1" applyFill="1" applyBorder="1" applyAlignment="1">
      <alignment horizontal="center"/>
    </xf>
    <xf numFmtId="3" fontId="5" fillId="29" borderId="0" xfId="80" applyNumberFormat="1" applyFont="1" applyFill="1" applyAlignment="1">
      <alignment horizontal="center"/>
    </xf>
    <xf numFmtId="169" fontId="7" fillId="29" borderId="0" xfId="80" applyFont="1" applyFill="1" applyAlignment="1">
      <alignment horizontal="left"/>
    </xf>
    <xf numFmtId="3" fontId="5" fillId="29" borderId="0" xfId="80" applyNumberFormat="1" applyFont="1" applyFill="1" applyBorder="1" applyAlignment="1">
      <alignment horizontal="center"/>
    </xf>
    <xf numFmtId="1" fontId="5" fillId="29" borderId="0" xfId="80" applyNumberFormat="1" applyFont="1" applyFill="1" applyBorder="1" applyAlignment="1">
      <alignment horizontal="center"/>
    </xf>
    <xf numFmtId="169" fontId="5" fillId="29" borderId="0" xfId="80" quotePrefix="1" applyFont="1" applyFill="1" applyBorder="1" applyAlignment="1">
      <alignment horizontal="left"/>
    </xf>
    <xf numFmtId="169" fontId="5" fillId="29" borderId="0" xfId="80" applyFont="1" applyFill="1" applyBorder="1" applyAlignment="1">
      <alignment horizontal="center"/>
    </xf>
    <xf numFmtId="169" fontId="5" fillId="29" borderId="0" xfId="80" applyFont="1" applyFill="1" applyBorder="1"/>
    <xf numFmtId="169" fontId="5" fillId="29" borderId="7" xfId="80" applyFont="1" applyFill="1" applyBorder="1"/>
    <xf numFmtId="3" fontId="5" fillId="29" borderId="0" xfId="80" applyNumberFormat="1" applyFont="1" applyFill="1"/>
    <xf numFmtId="169" fontId="7" fillId="29" borderId="0" xfId="80" applyFont="1" applyFill="1"/>
    <xf numFmtId="170" fontId="5" fillId="29" borderId="0" xfId="80" applyNumberFormat="1" applyFont="1" applyFill="1" applyAlignment="1">
      <alignment horizontal="center"/>
    </xf>
    <xf numFmtId="169" fontId="7" fillId="29" borderId="0" xfId="80" applyFont="1" applyFill="1" applyAlignment="1">
      <alignment horizontal="center"/>
    </xf>
    <xf numFmtId="3" fontId="7" fillId="29" borderId="0" xfId="80" applyNumberFormat="1" applyFont="1" applyFill="1" applyAlignment="1">
      <alignment horizontal="center"/>
    </xf>
    <xf numFmtId="170" fontId="5" fillId="29" borderId="0" xfId="0" applyNumberFormat="1" applyFont="1" applyFill="1" applyAlignment="1">
      <alignment horizontal="center"/>
    </xf>
    <xf numFmtId="0" fontId="5" fillId="29" borderId="0" xfId="189" applyFont="1" applyFill="1" applyAlignment="1"/>
    <xf numFmtId="169" fontId="7" fillId="29" borderId="0" xfId="80" applyFont="1" applyFill="1" applyBorder="1"/>
    <xf numFmtId="0" fontId="124" fillId="29" borderId="0" xfId="189" applyFont="1" applyFill="1" applyAlignment="1">
      <alignment horizontal="center"/>
    </xf>
    <xf numFmtId="169" fontId="5" fillId="29" borderId="0" xfId="80" quotePrefix="1" applyFont="1" applyFill="1" applyAlignment="1">
      <alignment horizontal="left" indent="2"/>
    </xf>
    <xf numFmtId="170" fontId="5" fillId="29" borderId="0" xfId="189" applyNumberFormat="1" applyFont="1" applyFill="1" applyAlignment="1"/>
    <xf numFmtId="170" fontId="5" fillId="29" borderId="0" xfId="164" applyNumberFormat="1" applyFont="1" applyFill="1"/>
    <xf numFmtId="170" fontId="8" fillId="29" borderId="0" xfId="189" applyNumberFormat="1" applyFont="1" applyFill="1"/>
    <xf numFmtId="0" fontId="7" fillId="29" borderId="0" xfId="189" applyFont="1" applyFill="1"/>
    <xf numFmtId="0" fontId="7" fillId="29" borderId="0" xfId="189" applyFont="1" applyFill="1" applyBorder="1"/>
    <xf numFmtId="169" fontId="115" fillId="29" borderId="0" xfId="0" applyFont="1" applyFill="1" applyAlignment="1">
      <alignment horizontal="center"/>
    </xf>
    <xf numFmtId="3" fontId="122" fillId="29" borderId="0" xfId="0" applyNumberFormat="1" applyFont="1" applyFill="1" applyAlignment="1">
      <alignment horizontal="center"/>
    </xf>
    <xf numFmtId="3" fontId="5" fillId="29" borderId="7" xfId="0" applyNumberFormat="1" applyFont="1" applyFill="1" applyBorder="1" applyAlignment="1">
      <alignment horizontal="center"/>
    </xf>
    <xf numFmtId="1" fontId="5" fillId="29" borderId="7" xfId="0" applyNumberFormat="1" applyFont="1" applyFill="1" applyBorder="1" applyAlignment="1">
      <alignment horizontal="center"/>
    </xf>
    <xf numFmtId="1" fontId="5" fillId="29" borderId="0" xfId="0" applyNumberFormat="1" applyFont="1" applyFill="1" applyBorder="1" applyAlignment="1">
      <alignment horizontal="center"/>
    </xf>
    <xf numFmtId="1" fontId="5" fillId="29" borderId="8" xfId="0" applyNumberFormat="1" applyFont="1" applyFill="1" applyBorder="1" applyAlignment="1">
      <alignment horizontal="center"/>
    </xf>
    <xf numFmtId="3" fontId="5" fillId="29" borderId="9" xfId="0" applyNumberFormat="1" applyFont="1" applyFill="1" applyBorder="1"/>
    <xf numFmtId="170" fontId="5" fillId="29" borderId="0" xfId="0" applyNumberFormat="1" applyFont="1" applyFill="1"/>
    <xf numFmtId="170" fontId="5" fillId="29" borderId="0" xfId="0" applyNumberFormat="1" applyFont="1" applyFill="1" applyAlignment="1">
      <alignment horizontal="right" wrapText="1"/>
    </xf>
    <xf numFmtId="170" fontId="5" fillId="29" borderId="0" xfId="0" applyNumberFormat="1" applyFont="1" applyFill="1" applyAlignment="1">
      <alignment horizontal="center" wrapText="1"/>
    </xf>
    <xf numFmtId="3" fontId="5" fillId="29" borderId="0" xfId="0" applyNumberFormat="1" applyFont="1" applyFill="1" applyAlignment="1">
      <alignment wrapText="1"/>
    </xf>
    <xf numFmtId="170" fontId="5" fillId="29" borderId="0" xfId="80" applyNumberFormat="1" applyFont="1" applyFill="1" applyAlignment="1">
      <alignment horizontal="right" wrapText="1"/>
    </xf>
    <xf numFmtId="169" fontId="5" fillId="29" borderId="0" xfId="97" applyNumberFormat="1" applyFont="1" applyFill="1" applyAlignment="1">
      <alignment horizontal="left" vertical="top" wrapText="1"/>
    </xf>
    <xf numFmtId="169" fontId="4" fillId="29" borderId="0" xfId="97" applyNumberFormat="1" applyFill="1" applyAlignment="1">
      <alignment horizontal="left" vertical="top" wrapText="1"/>
    </xf>
    <xf numFmtId="169" fontId="5" fillId="29" borderId="0" xfId="0" quotePrefix="1" applyFont="1" applyFill="1"/>
    <xf numFmtId="169" fontId="7" fillId="29" borderId="0" xfId="0" quotePrefix="1" applyFont="1" applyFill="1"/>
    <xf numFmtId="2" fontId="5" fillId="29" borderId="0" xfId="0" applyNumberFormat="1" applyFont="1" applyFill="1" applyAlignment="1">
      <alignment horizontal="left" vertical="top"/>
    </xf>
    <xf numFmtId="1" fontId="5" fillId="29" borderId="8" xfId="189" applyNumberFormat="1" applyFont="1" applyFill="1" applyBorder="1" applyAlignment="1">
      <alignment horizontal="center" wrapText="1"/>
    </xf>
    <xf numFmtId="1" fontId="5" fillId="29" borderId="8" xfId="0" applyNumberFormat="1" applyFont="1" applyFill="1" applyBorder="1" applyAlignment="1">
      <alignment horizontal="center" wrapText="1"/>
    </xf>
    <xf numFmtId="3" fontId="7" fillId="29" borderId="0" xfId="0" applyNumberFormat="1" applyFont="1" applyFill="1" applyAlignment="1">
      <alignment horizontal="center"/>
    </xf>
    <xf numFmtId="3" fontId="8" fillId="29" borderId="0" xfId="0" applyNumberFormat="1" applyFont="1" applyFill="1" applyAlignment="1">
      <alignment horizontal="center"/>
    </xf>
    <xf numFmtId="3" fontId="5" fillId="29" borderId="0" xfId="0" quotePrefix="1" applyNumberFormat="1" applyFont="1" applyFill="1" applyAlignment="1">
      <alignment horizontal="center"/>
    </xf>
    <xf numFmtId="169" fontId="5" fillId="29" borderId="0" xfId="78" applyFont="1" applyFill="1" applyAlignment="1">
      <alignment horizontal="center"/>
    </xf>
    <xf numFmtId="169" fontId="80" fillId="29" borderId="0" xfId="78" applyFont="1" applyFill="1"/>
    <xf numFmtId="170" fontId="5" fillId="29" borderId="0" xfId="78" applyNumberFormat="1" applyFont="1" applyFill="1" applyAlignment="1">
      <alignment horizontal="center"/>
    </xf>
    <xf numFmtId="170" fontId="80" fillId="29" borderId="0" xfId="78" applyNumberFormat="1" applyFont="1" applyFill="1"/>
    <xf numFmtId="170" fontId="5" fillId="29" borderId="7" xfId="78" applyNumberFormat="1" applyFont="1" applyFill="1" applyBorder="1" applyAlignment="1">
      <alignment horizontal="center"/>
    </xf>
    <xf numFmtId="170" fontId="80" fillId="29" borderId="7" xfId="78" applyNumberFormat="1" applyFont="1" applyFill="1" applyBorder="1"/>
    <xf numFmtId="170" fontId="5" fillId="29" borderId="0" xfId="78" applyNumberFormat="1" applyFont="1" applyFill="1"/>
    <xf numFmtId="3" fontId="5" fillId="29" borderId="0" xfId="78" applyNumberFormat="1" applyFont="1" applyFill="1"/>
    <xf numFmtId="3" fontId="5" fillId="29" borderId="0" xfId="78" applyNumberFormat="1" applyFont="1" applyFill="1" applyBorder="1" applyAlignment="1">
      <alignment horizontal="center"/>
    </xf>
    <xf numFmtId="3" fontId="5" fillId="29" borderId="0" xfId="78" applyNumberFormat="1" applyFont="1" applyFill="1" applyAlignment="1">
      <alignment horizontal="center"/>
    </xf>
    <xf numFmtId="169" fontId="7" fillId="29" borderId="0" xfId="78" applyFont="1" applyFill="1" applyAlignment="1">
      <alignment horizontal="left"/>
    </xf>
    <xf numFmtId="169" fontId="7" fillId="29" borderId="0" xfId="78" applyFont="1" applyFill="1" applyAlignment="1">
      <alignment horizontal="center"/>
    </xf>
    <xf numFmtId="169" fontId="7" fillId="29" borderId="0" xfId="78" applyFont="1" applyFill="1" applyBorder="1" applyAlignment="1">
      <alignment horizontal="center"/>
    </xf>
    <xf numFmtId="169" fontId="5" fillId="29" borderId="9" xfId="78" applyFont="1" applyFill="1" applyBorder="1" applyAlignment="1">
      <alignment horizontal="center"/>
    </xf>
    <xf numFmtId="169" fontId="5" fillId="29" borderId="8" xfId="78" applyFont="1" applyFill="1" applyBorder="1" applyAlignment="1">
      <alignment horizontal="center"/>
    </xf>
    <xf numFmtId="169" fontId="5" fillId="29" borderId="0" xfId="78" applyFont="1" applyFill="1" applyBorder="1" applyAlignment="1">
      <alignment horizontal="center"/>
    </xf>
    <xf numFmtId="169" fontId="5" fillId="29" borderId="0" xfId="78" quotePrefix="1" applyFont="1" applyFill="1" applyAlignment="1">
      <alignment horizontal="center"/>
    </xf>
    <xf numFmtId="169" fontId="7" fillId="29" borderId="0" xfId="78" quotePrefix="1" applyFont="1" applyFill="1" applyAlignment="1">
      <alignment horizontal="center"/>
    </xf>
    <xf numFmtId="169" fontId="7" fillId="29" borderId="0" xfId="78" applyFont="1" applyFill="1"/>
    <xf numFmtId="171" fontId="7" fillId="29" borderId="0" xfId="78" applyNumberFormat="1" applyFont="1" applyFill="1" applyAlignment="1">
      <alignment horizontal="center"/>
    </xf>
    <xf numFmtId="171" fontId="5" fillId="29" borderId="0" xfId="78" applyNumberFormat="1" applyFont="1" applyFill="1" applyAlignment="1">
      <alignment horizontal="center"/>
    </xf>
    <xf numFmtId="170" fontId="7" fillId="29" borderId="7" xfId="78" applyNumberFormat="1" applyFont="1" applyFill="1" applyBorder="1" applyAlignment="1">
      <alignment horizontal="center"/>
    </xf>
    <xf numFmtId="169" fontId="5" fillId="29" borderId="0" xfId="78" applyFont="1" applyFill="1" applyAlignment="1">
      <alignment horizontal="left" vertical="center" wrapText="1"/>
    </xf>
    <xf numFmtId="170" fontId="5" fillId="29" borderId="0" xfId="78" applyNumberFormat="1" applyFont="1" applyFill="1" applyAlignment="1">
      <alignment horizontal="center" vertical="center"/>
    </xf>
    <xf numFmtId="169" fontId="7" fillId="29" borderId="0" xfId="78" applyFont="1" applyFill="1" applyAlignment="1">
      <alignment vertical="center"/>
    </xf>
    <xf numFmtId="169" fontId="22" fillId="29" borderId="0" xfId="78" applyFont="1" applyFill="1"/>
    <xf numFmtId="170" fontId="7" fillId="29" borderId="0" xfId="78" applyNumberFormat="1" applyFont="1" applyFill="1" applyAlignment="1">
      <alignment horizontal="center"/>
    </xf>
    <xf numFmtId="170" fontId="7" fillId="29" borderId="0" xfId="78" applyNumberFormat="1" applyFont="1" applyFill="1" applyBorder="1" applyAlignment="1">
      <alignment horizontal="center"/>
    </xf>
    <xf numFmtId="0" fontId="7" fillId="29" borderId="0" xfId="158" applyFont="1" applyFill="1" applyBorder="1"/>
    <xf numFmtId="169" fontId="5" fillId="29" borderId="0" xfId="78" applyFont="1" applyFill="1" applyBorder="1"/>
    <xf numFmtId="169" fontId="7" fillId="29" borderId="0" xfId="78" applyFont="1" applyFill="1" applyBorder="1"/>
    <xf numFmtId="0" fontId="5" fillId="29" borderId="8" xfId="158" applyFont="1" applyFill="1" applyBorder="1" applyAlignment="1">
      <alignment horizontal="center"/>
    </xf>
    <xf numFmtId="169" fontId="5" fillId="29" borderId="0" xfId="78" quotePrefix="1" applyFont="1" applyFill="1"/>
    <xf numFmtId="169" fontId="5" fillId="29" borderId="0" xfId="78" applyFont="1" applyFill="1" applyAlignment="1">
      <alignment horizontal="left"/>
    </xf>
    <xf numFmtId="169" fontId="7" fillId="29" borderId="0" xfId="78" quotePrefix="1" applyFont="1" applyFill="1"/>
    <xf numFmtId="0" fontId="5" fillId="29" borderId="0" xfId="158" applyFont="1" applyFill="1"/>
    <xf numFmtId="0" fontId="5" fillId="29" borderId="0" xfId="158" applyFont="1" applyFill="1" applyBorder="1"/>
    <xf numFmtId="0" fontId="5" fillId="29" borderId="0" xfId="158" applyFont="1" applyFill="1" applyAlignment="1">
      <alignment horizontal="left"/>
    </xf>
    <xf numFmtId="169" fontId="35" fillId="29" borderId="0" xfId="69" applyNumberFormat="1" applyFill="1" applyAlignment="1" applyProtection="1"/>
    <xf numFmtId="49" fontId="7" fillId="29" borderId="0" xfId="166" applyNumberFormat="1" applyFont="1" applyFill="1" applyBorder="1" applyAlignment="1" applyProtection="1"/>
    <xf numFmtId="169" fontId="7" fillId="29" borderId="0" xfId="166" applyNumberFormat="1" applyFont="1" applyFill="1" applyBorder="1" applyAlignment="1" applyProtection="1"/>
    <xf numFmtId="169" fontId="5" fillId="29" borderId="0" xfId="166" applyNumberFormat="1" applyFont="1" applyFill="1" applyBorder="1" applyProtection="1"/>
    <xf numFmtId="0" fontId="5" fillId="29" borderId="0" xfId="167" applyFont="1" applyFill="1" applyBorder="1"/>
    <xf numFmtId="169" fontId="5" fillId="29" borderId="0" xfId="166" applyFont="1" applyFill="1" applyBorder="1"/>
    <xf numFmtId="1" fontId="7" fillId="29" borderId="0" xfId="185" applyNumberFormat="1" applyFont="1" applyFill="1" applyBorder="1" applyAlignment="1">
      <alignment horizontal="center"/>
    </xf>
    <xf numFmtId="169" fontId="7" fillId="29" borderId="0" xfId="166" applyNumberFormat="1" applyFont="1" applyFill="1" applyBorder="1" applyAlignment="1" applyProtection="1">
      <alignment horizontal="center"/>
    </xf>
    <xf numFmtId="169" fontId="7" fillId="29" borderId="0" xfId="166" quotePrefix="1" applyNumberFormat="1" applyFont="1" applyFill="1" applyBorder="1" applyAlignment="1" applyProtection="1">
      <alignment horizontal="center"/>
    </xf>
    <xf numFmtId="1" fontId="7" fillId="29" borderId="0" xfId="166" applyNumberFormat="1" applyFont="1" applyFill="1" applyBorder="1" applyAlignment="1" applyProtection="1">
      <alignment horizontal="right"/>
    </xf>
    <xf numFmtId="10" fontId="7" fillId="29" borderId="0" xfId="166" applyNumberFormat="1" applyFont="1" applyFill="1" applyBorder="1" applyAlignment="1">
      <alignment horizontal="center"/>
    </xf>
    <xf numFmtId="1" fontId="7" fillId="29" borderId="0" xfId="166" applyNumberFormat="1" applyFont="1" applyFill="1" applyBorder="1" applyAlignment="1">
      <alignment horizontal="right"/>
    </xf>
    <xf numFmtId="1" fontId="7" fillId="29" borderId="0" xfId="166" applyNumberFormat="1" applyFont="1" applyFill="1" applyBorder="1" applyAlignment="1">
      <alignment horizontal="center"/>
    </xf>
    <xf numFmtId="49" fontId="7" fillId="29" borderId="0" xfId="166" applyNumberFormat="1" applyFont="1" applyFill="1" applyBorder="1" applyAlignment="1" applyProtection="1">
      <alignment horizontal="left"/>
    </xf>
    <xf numFmtId="1" fontId="5" fillId="29" borderId="0" xfId="166" applyNumberFormat="1" applyFont="1" applyFill="1" applyBorder="1" applyAlignment="1">
      <alignment horizontal="right"/>
    </xf>
    <xf numFmtId="188" fontId="7" fillId="29" borderId="0" xfId="166" applyNumberFormat="1" applyFont="1" applyFill="1" applyBorder="1" applyAlignment="1" applyProtection="1">
      <alignment horizontal="center"/>
    </xf>
    <xf numFmtId="188" fontId="7" fillId="29" borderId="0" xfId="166" applyNumberFormat="1" applyFont="1" applyFill="1" applyBorder="1" applyAlignment="1" applyProtection="1">
      <alignment horizontal="right"/>
    </xf>
    <xf numFmtId="1" fontId="5" fillId="29" borderId="0" xfId="166" applyNumberFormat="1" applyFont="1" applyFill="1" applyBorder="1"/>
    <xf numFmtId="169" fontId="52" fillId="29" borderId="0" xfId="166" applyFont="1" applyFill="1" applyBorder="1"/>
    <xf numFmtId="49" fontId="7" fillId="29" borderId="0" xfId="185" applyNumberFormat="1" applyFont="1" applyFill="1" applyAlignment="1">
      <alignment horizontal="left"/>
    </xf>
    <xf numFmtId="169" fontId="7" fillId="29" borderId="0" xfId="185" applyNumberFormat="1" applyFont="1" applyFill="1"/>
    <xf numFmtId="0" fontId="5" fillId="29" borderId="0" xfId="167" applyFont="1" applyFill="1"/>
    <xf numFmtId="169" fontId="5" fillId="29" borderId="0" xfId="166" applyFont="1" applyFill="1"/>
    <xf numFmtId="1" fontId="5" fillId="29" borderId="0" xfId="166" applyNumberFormat="1" applyFont="1" applyFill="1" applyAlignment="1">
      <alignment horizontal="right"/>
    </xf>
    <xf numFmtId="188" fontId="5" fillId="29" borderId="0" xfId="166" applyNumberFormat="1" applyFont="1" applyFill="1" applyAlignment="1" applyProtection="1">
      <alignment horizontal="center"/>
    </xf>
    <xf numFmtId="188" fontId="5" fillId="29" borderId="0" xfId="166" applyNumberFormat="1" applyFont="1" applyFill="1" applyAlignment="1" applyProtection="1">
      <alignment horizontal="right"/>
    </xf>
    <xf numFmtId="1" fontId="5" fillId="29" borderId="0" xfId="166" applyNumberFormat="1" applyFont="1" applyFill="1" applyAlignment="1" applyProtection="1">
      <alignment horizontal="right"/>
    </xf>
    <xf numFmtId="10" fontId="5" fillId="29" borderId="0" xfId="166" applyNumberFormat="1" applyFont="1" applyFill="1"/>
    <xf numFmtId="169" fontId="52" fillId="29" borderId="0" xfId="166" applyFont="1" applyFill="1"/>
    <xf numFmtId="49" fontId="5" fillId="29" borderId="0" xfId="185" applyNumberFormat="1" applyFont="1" applyFill="1" applyAlignment="1">
      <alignment horizontal="left"/>
    </xf>
    <xf numFmtId="169" fontId="5" fillId="29" borderId="0" xfId="185" applyNumberFormat="1" applyFont="1" applyFill="1" applyAlignment="1">
      <alignment horizontal="left"/>
    </xf>
    <xf numFmtId="1" fontId="5" fillId="29" borderId="0" xfId="166" applyNumberFormat="1" applyFont="1" applyFill="1" applyAlignment="1">
      <alignment horizontal="center"/>
    </xf>
    <xf numFmtId="1" fontId="5" fillId="29" borderId="0" xfId="166" applyNumberFormat="1" applyFont="1" applyFill="1"/>
    <xf numFmtId="169" fontId="5" fillId="29" borderId="0" xfId="185" applyNumberFormat="1" applyFont="1" applyFill="1"/>
    <xf numFmtId="169" fontId="5" fillId="29" borderId="0" xfId="166" applyNumberFormat="1" applyFont="1" applyFill="1" applyProtection="1"/>
    <xf numFmtId="170" fontId="5" fillId="29" borderId="0" xfId="166" applyNumberFormat="1" applyFont="1" applyFill="1" applyAlignment="1" applyProtection="1">
      <alignment horizontal="right"/>
    </xf>
    <xf numFmtId="3" fontId="5" fillId="29" borderId="0" xfId="166" applyNumberFormat="1" applyFont="1" applyFill="1" applyAlignment="1" applyProtection="1">
      <alignment horizontal="center"/>
    </xf>
    <xf numFmtId="3" fontId="8" fillId="29" borderId="0" xfId="166" applyNumberFormat="1" applyFont="1" applyFill="1" applyAlignment="1" applyProtection="1">
      <alignment horizontal="center"/>
    </xf>
    <xf numFmtId="172" fontId="5" fillId="29" borderId="0" xfId="166" applyNumberFormat="1" applyFont="1" applyFill="1" applyAlignment="1">
      <alignment horizontal="right"/>
    </xf>
    <xf numFmtId="170" fontId="5" fillId="29" borderId="0" xfId="166" applyNumberFormat="1" applyFont="1" applyFill="1"/>
    <xf numFmtId="170" fontId="5" fillId="29" borderId="0" xfId="166" applyNumberFormat="1" applyFont="1" applyFill="1" applyAlignment="1">
      <alignment horizontal="right"/>
    </xf>
    <xf numFmtId="169" fontId="5" fillId="29" borderId="0" xfId="185" applyNumberFormat="1" applyFont="1" applyFill="1" applyAlignment="1"/>
    <xf numFmtId="170" fontId="5" fillId="29" borderId="0" xfId="185" applyNumberFormat="1" applyFont="1" applyFill="1" applyAlignment="1"/>
    <xf numFmtId="170" fontId="5" fillId="29" borderId="0" xfId="167" applyNumberFormat="1" applyFont="1" applyFill="1"/>
    <xf numFmtId="3" fontId="5" fillId="29" borderId="0" xfId="166" applyNumberFormat="1" applyFont="1" applyFill="1" applyAlignment="1" applyProtection="1">
      <alignment horizontal="right"/>
    </xf>
    <xf numFmtId="3" fontId="5" fillId="29" borderId="7" xfId="80" applyNumberFormat="1" applyFont="1" applyFill="1" applyBorder="1"/>
    <xf numFmtId="3" fontId="5" fillId="29" borderId="7" xfId="80" applyNumberFormat="1" applyFont="1" applyFill="1" applyBorder="1" applyAlignment="1">
      <alignment horizontal="center"/>
    </xf>
    <xf numFmtId="1" fontId="5" fillId="29" borderId="7" xfId="80" applyNumberFormat="1" applyFont="1" applyFill="1" applyBorder="1" applyAlignment="1">
      <alignment horizontal="center"/>
    </xf>
    <xf numFmtId="1" fontId="5" fillId="29" borderId="8" xfId="80" applyNumberFormat="1" applyFont="1" applyFill="1" applyBorder="1" applyAlignment="1">
      <alignment horizontal="center"/>
    </xf>
    <xf numFmtId="1" fontId="5" fillId="29" borderId="9" xfId="80" applyNumberFormat="1" applyFont="1" applyFill="1" applyBorder="1" applyAlignment="1">
      <alignment horizontal="center"/>
    </xf>
    <xf numFmtId="169" fontId="5" fillId="29" borderId="0" xfId="80" quotePrefix="1" applyFont="1" applyFill="1" applyBorder="1" applyAlignment="1">
      <alignment horizontal="center"/>
    </xf>
    <xf numFmtId="169" fontId="5" fillId="29" borderId="0" xfId="166" applyFont="1" applyFill="1" applyAlignment="1">
      <alignment horizontal="center"/>
    </xf>
    <xf numFmtId="170" fontId="5" fillId="29" borderId="0" xfId="166" applyNumberFormat="1" applyFont="1" applyFill="1" applyAlignment="1" applyProtection="1">
      <alignment horizontal="center"/>
    </xf>
    <xf numFmtId="170" fontId="5" fillId="29" borderId="0" xfId="80" applyNumberFormat="1" applyFont="1" applyFill="1"/>
    <xf numFmtId="170" fontId="5" fillId="29" borderId="7" xfId="166" applyNumberFormat="1" applyFont="1" applyFill="1" applyBorder="1" applyAlignment="1" applyProtection="1">
      <alignment horizontal="right"/>
    </xf>
    <xf numFmtId="0" fontId="5" fillId="29" borderId="0" xfId="165" applyFont="1" applyFill="1"/>
    <xf numFmtId="169" fontId="5" fillId="29" borderId="9" xfId="80" applyFont="1" applyFill="1" applyBorder="1" applyAlignment="1">
      <alignment horizontal="center"/>
    </xf>
    <xf numFmtId="169" fontId="5" fillId="29" borderId="8" xfId="80" applyFont="1" applyFill="1" applyBorder="1" applyAlignment="1">
      <alignment horizontal="center"/>
    </xf>
    <xf numFmtId="169" fontId="5" fillId="29" borderId="0" xfId="80" quotePrefix="1" applyFont="1" applyFill="1" applyAlignment="1">
      <alignment horizontal="center"/>
    </xf>
    <xf numFmtId="169" fontId="7" fillId="29" borderId="0" xfId="80" quotePrefix="1" applyFont="1" applyFill="1" applyAlignment="1">
      <alignment horizontal="center"/>
    </xf>
    <xf numFmtId="171" fontId="7" fillId="29" borderId="0" xfId="80" applyNumberFormat="1" applyFont="1" applyFill="1" applyAlignment="1">
      <alignment horizontal="center"/>
    </xf>
    <xf numFmtId="171" fontId="7" fillId="29" borderId="0" xfId="166" applyNumberFormat="1" applyFont="1" applyFill="1" applyAlignment="1" applyProtection="1">
      <alignment horizontal="center"/>
    </xf>
    <xf numFmtId="171" fontId="7" fillId="29" borderId="0" xfId="166" applyNumberFormat="1" applyFont="1" applyFill="1" applyAlignment="1" applyProtection="1">
      <alignment horizontal="right"/>
    </xf>
    <xf numFmtId="171" fontId="5" fillId="29" borderId="0" xfId="166" applyNumberFormat="1" applyFont="1" applyFill="1" applyAlignment="1" applyProtection="1">
      <alignment horizontal="center"/>
    </xf>
    <xf numFmtId="171" fontId="5" fillId="29" borderId="0" xfId="166" applyNumberFormat="1" applyFont="1" applyFill="1" applyAlignment="1" applyProtection="1">
      <alignment horizontal="right"/>
    </xf>
    <xf numFmtId="171" fontId="5" fillId="29" borderId="0" xfId="80" applyNumberFormat="1" applyFont="1" applyFill="1" applyAlignment="1">
      <alignment horizontal="center"/>
    </xf>
    <xf numFmtId="169" fontId="100" fillId="29" borderId="0" xfId="80" applyFont="1" applyFill="1" applyAlignment="1">
      <alignment horizontal="center"/>
    </xf>
    <xf numFmtId="0" fontId="34" fillId="29" borderId="7" xfId="189" applyFont="1" applyFill="1" applyBorder="1"/>
    <xf numFmtId="3" fontId="34" fillId="29" borderId="7" xfId="189" applyNumberFormat="1" applyFont="1" applyFill="1" applyBorder="1"/>
    <xf numFmtId="170" fontId="34" fillId="29" borderId="7" xfId="189" applyNumberFormat="1" applyFont="1" applyFill="1" applyBorder="1"/>
    <xf numFmtId="170" fontId="34" fillId="29" borderId="7" xfId="189" applyNumberFormat="1" applyFont="1" applyFill="1" applyBorder="1" applyAlignment="1">
      <alignment horizontal="center"/>
    </xf>
    <xf numFmtId="170" fontId="34" fillId="29" borderId="0" xfId="189" applyNumberFormat="1" applyFont="1" applyFill="1" applyBorder="1" applyAlignment="1">
      <alignment horizontal="center"/>
    </xf>
    <xf numFmtId="0" fontId="34" fillId="29" borderId="0" xfId="189" applyFont="1" applyFill="1" applyBorder="1"/>
    <xf numFmtId="3" fontId="34" fillId="29" borderId="0" xfId="189" applyNumberFormat="1" applyFont="1" applyFill="1" applyBorder="1"/>
    <xf numFmtId="170" fontId="34" fillId="29" borderId="0" xfId="189" applyNumberFormat="1" applyFont="1" applyFill="1" applyBorder="1"/>
    <xf numFmtId="169" fontId="7" fillId="29" borderId="0" xfId="166" applyFont="1" applyFill="1"/>
    <xf numFmtId="170" fontId="7" fillId="29" borderId="0" xfId="166" applyNumberFormat="1" applyFont="1" applyFill="1" applyAlignment="1" applyProtection="1">
      <alignment horizontal="right"/>
    </xf>
    <xf numFmtId="3" fontId="7" fillId="29" borderId="0" xfId="166" applyNumberFormat="1" applyFont="1" applyFill="1" applyAlignment="1" applyProtection="1">
      <alignment horizontal="center"/>
    </xf>
    <xf numFmtId="3" fontId="5" fillId="29" borderId="0" xfId="166" applyNumberFormat="1" applyFont="1" applyFill="1" applyAlignment="1">
      <alignment horizontal="center"/>
    </xf>
    <xf numFmtId="3" fontId="5" fillId="29" borderId="0" xfId="166" quotePrefix="1" applyNumberFormat="1" applyFont="1" applyFill="1" applyAlignment="1">
      <alignment horizontal="center"/>
    </xf>
    <xf numFmtId="188" fontId="5" fillId="29" borderId="0" xfId="166" applyNumberFormat="1" applyFont="1" applyFill="1" applyAlignment="1" applyProtection="1">
      <alignment horizontal="left"/>
    </xf>
    <xf numFmtId="3" fontId="8" fillId="29" borderId="0" xfId="166" quotePrefix="1" applyNumberFormat="1" applyFont="1" applyFill="1" applyAlignment="1">
      <alignment horizontal="center"/>
    </xf>
    <xf numFmtId="3" fontId="8" fillId="29" borderId="0" xfId="166" applyNumberFormat="1" applyFont="1" applyFill="1" applyAlignment="1">
      <alignment horizontal="center"/>
    </xf>
    <xf numFmtId="188" fontId="35" fillId="29" borderId="0" xfId="69" applyNumberFormat="1" applyFill="1" applyAlignment="1" applyProtection="1">
      <alignment horizontal="left"/>
    </xf>
    <xf numFmtId="49" fontId="5" fillId="29" borderId="0" xfId="166" applyNumberFormat="1" applyFont="1" applyFill="1" applyAlignment="1" applyProtection="1">
      <alignment horizontal="left"/>
    </xf>
    <xf numFmtId="3" fontId="5" fillId="29" borderId="7" xfId="166" applyNumberFormat="1" applyFont="1" applyFill="1" applyBorder="1" applyAlignment="1" applyProtection="1">
      <alignment horizontal="center"/>
    </xf>
    <xf numFmtId="3" fontId="5" fillId="29" borderId="0" xfId="166" applyNumberFormat="1" applyFont="1" applyFill="1" applyBorder="1" applyAlignment="1" applyProtection="1">
      <alignment horizontal="center"/>
    </xf>
    <xf numFmtId="3" fontId="5" fillId="29" borderId="7" xfId="166" quotePrefix="1" applyNumberFormat="1" applyFont="1" applyFill="1" applyBorder="1" applyAlignment="1" applyProtection="1">
      <alignment horizontal="center"/>
    </xf>
    <xf numFmtId="3" fontId="5" fillId="29" borderId="0" xfId="166" quotePrefix="1" applyNumberFormat="1" applyFont="1" applyFill="1" applyAlignment="1" applyProtection="1">
      <alignment horizontal="center"/>
    </xf>
    <xf numFmtId="169" fontId="22" fillId="29" borderId="0" xfId="185" applyNumberFormat="1" applyFont="1" applyFill="1" applyBorder="1"/>
    <xf numFmtId="49" fontId="5" fillId="29" borderId="0" xfId="166" applyNumberFormat="1" applyFont="1" applyFill="1"/>
    <xf numFmtId="169" fontId="5" fillId="29" borderId="7" xfId="166" applyFont="1" applyFill="1" applyBorder="1"/>
    <xf numFmtId="0" fontId="5" fillId="29" borderId="7" xfId="167" applyFont="1" applyFill="1" applyBorder="1"/>
    <xf numFmtId="1" fontId="5" fillId="29" borderId="7" xfId="166" applyNumberFormat="1" applyFont="1" applyFill="1" applyBorder="1" applyAlignment="1">
      <alignment horizontal="right"/>
    </xf>
    <xf numFmtId="169" fontId="5" fillId="29" borderId="7" xfId="166" applyFont="1" applyFill="1" applyBorder="1" applyAlignment="1">
      <alignment horizontal="center"/>
    </xf>
    <xf numFmtId="172" fontId="5" fillId="29" borderId="0" xfId="167" applyNumberFormat="1" applyFont="1" applyFill="1"/>
    <xf numFmtId="169" fontId="52" fillId="29" borderId="0" xfId="166" applyNumberFormat="1" applyFont="1" applyFill="1" applyProtection="1"/>
    <xf numFmtId="49" fontId="10" fillId="29" borderId="0" xfId="166" applyNumberFormat="1" applyFont="1" applyFill="1" applyAlignment="1" applyProtection="1">
      <alignment horizontal="left"/>
    </xf>
    <xf numFmtId="1" fontId="10" fillId="29" borderId="0" xfId="166" applyNumberFormat="1" applyFont="1" applyFill="1" applyAlignment="1">
      <alignment horizontal="right"/>
    </xf>
    <xf numFmtId="188" fontId="10" fillId="29" borderId="0" xfId="166" applyNumberFormat="1" applyFont="1" applyFill="1" applyAlignment="1" applyProtection="1">
      <alignment horizontal="center"/>
    </xf>
    <xf numFmtId="188" fontId="10" fillId="29" borderId="0" xfId="166" applyNumberFormat="1" applyFont="1" applyFill="1" applyAlignment="1" applyProtection="1">
      <alignment horizontal="right"/>
    </xf>
    <xf numFmtId="169" fontId="10" fillId="29" borderId="0" xfId="166" applyFont="1" applyFill="1"/>
    <xf numFmtId="172" fontId="10" fillId="29" borderId="0" xfId="166" applyNumberFormat="1" applyFont="1" applyFill="1" applyAlignment="1">
      <alignment horizontal="right"/>
    </xf>
    <xf numFmtId="1" fontId="10" fillId="29" borderId="0" xfId="166" applyNumberFormat="1" applyFont="1" applyFill="1" applyAlignment="1" applyProtection="1">
      <alignment horizontal="right"/>
    </xf>
    <xf numFmtId="10" fontId="10" fillId="29" borderId="0" xfId="166" applyNumberFormat="1" applyFont="1" applyFill="1"/>
    <xf numFmtId="1" fontId="10" fillId="29" borderId="0" xfId="166" applyNumberFormat="1" applyFont="1" applyFill="1"/>
    <xf numFmtId="1" fontId="5" fillId="29" borderId="0" xfId="185" applyNumberFormat="1" applyFont="1" applyFill="1"/>
    <xf numFmtId="1" fontId="7" fillId="29" borderId="0" xfId="183" applyNumberFormat="1" applyFont="1" applyFill="1"/>
    <xf numFmtId="49" fontId="7" fillId="29" borderId="0" xfId="166" applyNumberFormat="1" applyFont="1" applyFill="1" applyAlignment="1" applyProtection="1">
      <alignment horizontal="left"/>
    </xf>
    <xf numFmtId="169" fontId="7" fillId="29" borderId="0" xfId="166" applyFont="1" applyFill="1" applyAlignment="1" applyProtection="1">
      <alignment horizontal="left"/>
    </xf>
    <xf numFmtId="0" fontId="8" fillId="29" borderId="0" xfId="167" applyFont="1" applyFill="1"/>
    <xf numFmtId="188" fontId="5" fillId="29" borderId="0" xfId="166" applyNumberFormat="1" applyFont="1" applyFill="1" applyAlignment="1">
      <alignment horizontal="right"/>
    </xf>
    <xf numFmtId="169" fontId="10" fillId="29" borderId="0" xfId="166" applyNumberFormat="1" applyFont="1" applyFill="1" applyProtection="1"/>
    <xf numFmtId="0" fontId="5" fillId="29" borderId="0" xfId="167" applyFont="1" applyFill="1" applyAlignment="1">
      <alignment horizontal="left" vertical="top" wrapText="1"/>
    </xf>
    <xf numFmtId="169" fontId="5" fillId="29" borderId="0" xfId="80" applyFont="1" applyFill="1" applyAlignment="1">
      <alignment horizontal="left" vertical="top"/>
    </xf>
    <xf numFmtId="188" fontId="58" fillId="29" borderId="0" xfId="166" applyNumberFormat="1" applyFont="1" applyFill="1" applyAlignment="1" applyProtection="1">
      <alignment horizontal="right"/>
    </xf>
    <xf numFmtId="1" fontId="58" fillId="29" borderId="0" xfId="166" applyNumberFormat="1" applyFont="1" applyFill="1" applyAlignment="1" applyProtection="1">
      <alignment horizontal="right"/>
    </xf>
    <xf numFmtId="10" fontId="58" fillId="29" borderId="0" xfId="166" applyNumberFormat="1" applyFont="1" applyFill="1"/>
    <xf numFmtId="169" fontId="7" fillId="29" borderId="0" xfId="166" applyNumberFormat="1" applyFont="1" applyFill="1" applyAlignment="1" applyProtection="1"/>
    <xf numFmtId="188" fontId="7" fillId="29" borderId="0" xfId="166" applyNumberFormat="1" applyFont="1" applyFill="1" applyAlignment="1" applyProtection="1">
      <alignment horizontal="center"/>
    </xf>
    <xf numFmtId="188" fontId="7" fillId="29" borderId="0" xfId="166" applyNumberFormat="1" applyFont="1" applyFill="1" applyAlignment="1" applyProtection="1">
      <alignment horizontal="right"/>
    </xf>
    <xf numFmtId="1" fontId="7" fillId="29" borderId="0" xfId="166" applyNumberFormat="1" applyFont="1" applyFill="1" applyAlignment="1">
      <alignment horizontal="right"/>
    </xf>
    <xf numFmtId="1" fontId="7" fillId="29" borderId="0" xfId="166" applyNumberFormat="1" applyFont="1" applyFill="1" applyAlignment="1" applyProtection="1">
      <alignment horizontal="right"/>
    </xf>
    <xf numFmtId="169" fontId="7" fillId="29" borderId="0" xfId="185" applyNumberFormat="1" applyFont="1" applyFill="1" applyAlignment="1"/>
    <xf numFmtId="49" fontId="5" fillId="29" borderId="0" xfId="169" applyNumberFormat="1" applyFont="1" applyFill="1" applyAlignment="1" applyProtection="1">
      <alignment horizontal="left"/>
    </xf>
    <xf numFmtId="169" fontId="5" fillId="29" borderId="0" xfId="169" applyNumberFormat="1" applyFont="1" applyFill="1" applyAlignment="1" applyProtection="1">
      <alignment horizontal="left"/>
    </xf>
    <xf numFmtId="169" fontId="5" fillId="29" borderId="0" xfId="183" applyFont="1" applyFill="1"/>
    <xf numFmtId="0" fontId="5" fillId="29" borderId="0" xfId="169" applyFont="1" applyFill="1"/>
    <xf numFmtId="169" fontId="5" fillId="29" borderId="0" xfId="166" applyNumberFormat="1" applyFont="1" applyFill="1" applyAlignment="1" applyProtection="1"/>
    <xf numFmtId="1" fontId="7" fillId="29" borderId="0" xfId="185" applyNumberFormat="1" applyFont="1" applyFill="1" applyAlignment="1"/>
    <xf numFmtId="49" fontId="58" fillId="29" borderId="0" xfId="166" applyNumberFormat="1" applyFont="1" applyFill="1" applyAlignment="1" applyProtection="1">
      <alignment horizontal="left"/>
    </xf>
    <xf numFmtId="169" fontId="58" fillId="29" borderId="0" xfId="166" applyNumberFormat="1" applyFont="1" applyFill="1" applyAlignment="1" applyProtection="1"/>
    <xf numFmtId="188" fontId="58" fillId="29" borderId="0" xfId="166" applyNumberFormat="1" applyFont="1" applyFill="1" applyAlignment="1" applyProtection="1">
      <alignment horizontal="center"/>
    </xf>
    <xf numFmtId="49" fontId="7" fillId="29" borderId="0" xfId="166" quotePrefix="1" applyNumberFormat="1" applyFont="1" applyFill="1" applyAlignment="1" applyProtection="1">
      <alignment horizontal="left"/>
    </xf>
    <xf numFmtId="188" fontId="5" fillId="29" borderId="0" xfId="166" applyNumberFormat="1" applyFont="1" applyFill="1" applyBorder="1" applyAlignment="1" applyProtection="1">
      <alignment horizontal="center"/>
    </xf>
    <xf numFmtId="188" fontId="5" fillId="29" borderId="0" xfId="166" applyNumberFormat="1" applyFont="1" applyFill="1" applyBorder="1" applyAlignment="1" applyProtection="1">
      <alignment horizontal="right"/>
    </xf>
    <xf numFmtId="1" fontId="5" fillId="29" borderId="0" xfId="166" applyNumberFormat="1" applyFont="1" applyFill="1" applyBorder="1" applyAlignment="1" applyProtection="1">
      <alignment horizontal="right"/>
    </xf>
    <xf numFmtId="188" fontId="5" fillId="29" borderId="0" xfId="166" applyNumberFormat="1" applyFont="1" applyFill="1" applyAlignment="1">
      <alignment horizontal="center"/>
    </xf>
    <xf numFmtId="169" fontId="5" fillId="29" borderId="0" xfId="166" applyNumberFormat="1" applyFont="1" applyFill="1"/>
    <xf numFmtId="49" fontId="52" fillId="29" borderId="0" xfId="166" applyNumberFormat="1" applyFont="1" applyFill="1" applyAlignment="1" applyProtection="1">
      <alignment horizontal="left"/>
    </xf>
    <xf numFmtId="169" fontId="42" fillId="29" borderId="0" xfId="166" applyNumberFormat="1" applyFont="1" applyFill="1" applyAlignment="1" applyProtection="1"/>
    <xf numFmtId="1" fontId="52" fillId="29" borderId="0" xfId="166" applyNumberFormat="1" applyFont="1" applyFill="1" applyAlignment="1">
      <alignment horizontal="right"/>
    </xf>
    <xf numFmtId="188" fontId="52" fillId="29" borderId="0" xfId="166" applyNumberFormat="1" applyFont="1" applyFill="1" applyBorder="1" applyAlignment="1" applyProtection="1">
      <alignment horizontal="center"/>
    </xf>
    <xf numFmtId="188" fontId="52" fillId="29" borderId="0" xfId="166" applyNumberFormat="1" applyFont="1" applyFill="1" applyBorder="1" applyAlignment="1" applyProtection="1">
      <alignment horizontal="right"/>
    </xf>
    <xf numFmtId="188" fontId="52" fillId="29" borderId="0" xfId="166" applyNumberFormat="1" applyFont="1" applyFill="1" applyAlignment="1">
      <alignment horizontal="right"/>
    </xf>
    <xf numFmtId="172" fontId="52" fillId="29" borderId="0" xfId="166" applyNumberFormat="1" applyFont="1" applyFill="1" applyAlignment="1">
      <alignment horizontal="right"/>
    </xf>
    <xf numFmtId="169" fontId="10" fillId="29" borderId="0" xfId="166" applyNumberFormat="1" applyFont="1" applyFill="1"/>
    <xf numFmtId="49" fontId="59" fillId="29" borderId="0" xfId="166" applyNumberFormat="1" applyFont="1" applyFill="1" applyAlignment="1" applyProtection="1">
      <alignment horizontal="left"/>
    </xf>
    <xf numFmtId="169" fontId="59" fillId="29" borderId="0" xfId="166" applyNumberFormat="1" applyFont="1" applyFill="1" applyProtection="1"/>
    <xf numFmtId="169" fontId="60" fillId="29" borderId="0" xfId="166" applyNumberFormat="1" applyFont="1" applyFill="1" applyAlignment="1" applyProtection="1"/>
    <xf numFmtId="169" fontId="59" fillId="29" borderId="0" xfId="166" applyFont="1" applyFill="1"/>
    <xf numFmtId="1" fontId="59" fillId="29" borderId="0" xfId="166" applyNumberFormat="1" applyFont="1" applyFill="1" applyAlignment="1">
      <alignment horizontal="right"/>
    </xf>
    <xf numFmtId="188" fontId="59" fillId="29" borderId="0" xfId="166" applyNumberFormat="1" applyFont="1" applyFill="1" applyAlignment="1" applyProtection="1">
      <alignment horizontal="center"/>
    </xf>
    <xf numFmtId="188" fontId="59" fillId="29" borderId="0" xfId="166" applyNumberFormat="1" applyFont="1" applyFill="1" applyAlignment="1" applyProtection="1">
      <alignment horizontal="right"/>
    </xf>
    <xf numFmtId="1" fontId="60" fillId="29" borderId="0" xfId="166" applyNumberFormat="1" applyFont="1" applyFill="1" applyAlignment="1">
      <alignment horizontal="right"/>
    </xf>
    <xf numFmtId="1" fontId="60" fillId="29" borderId="0" xfId="166" applyNumberFormat="1" applyFont="1" applyFill="1" applyBorder="1" applyAlignment="1" applyProtection="1">
      <alignment horizontal="right"/>
    </xf>
    <xf numFmtId="10" fontId="59" fillId="29" borderId="0" xfId="166" applyNumberFormat="1" applyFont="1" applyFill="1"/>
    <xf numFmtId="1" fontId="60" fillId="29" borderId="0" xfId="166" applyNumberFormat="1" applyFont="1" applyFill="1"/>
    <xf numFmtId="1" fontId="59" fillId="29" borderId="0" xfId="166" applyNumberFormat="1" applyFont="1" applyFill="1"/>
    <xf numFmtId="1" fontId="58" fillId="29" borderId="0" xfId="166" applyNumberFormat="1" applyFont="1" applyFill="1" applyAlignment="1">
      <alignment horizontal="right"/>
    </xf>
    <xf numFmtId="1" fontId="58" fillId="29" borderId="0" xfId="166" applyNumberFormat="1" applyFont="1" applyFill="1"/>
    <xf numFmtId="1" fontId="7" fillId="29" borderId="0" xfId="166" applyNumberFormat="1" applyFont="1" applyFill="1"/>
    <xf numFmtId="1" fontId="7" fillId="29" borderId="0" xfId="185" applyNumberFormat="1" applyFont="1" applyFill="1"/>
    <xf numFmtId="1" fontId="5" fillId="29" borderId="0" xfId="185" applyNumberFormat="1" applyFont="1" applyFill="1" applyAlignment="1"/>
    <xf numFmtId="49" fontId="7" fillId="29" borderId="0" xfId="169" applyNumberFormat="1" applyFont="1" applyFill="1" applyAlignment="1" applyProtection="1">
      <alignment horizontal="left"/>
    </xf>
    <xf numFmtId="169" fontId="7" fillId="29" borderId="0" xfId="169" applyNumberFormat="1" applyFont="1" applyFill="1" applyAlignment="1" applyProtection="1">
      <alignment horizontal="left"/>
    </xf>
    <xf numFmtId="169" fontId="7" fillId="29" borderId="0" xfId="183" applyFont="1" applyFill="1"/>
    <xf numFmtId="0" fontId="7" fillId="29" borderId="0" xfId="169" applyFont="1" applyFill="1"/>
    <xf numFmtId="169" fontId="5" fillId="29" borderId="0" xfId="166" applyFont="1" applyFill="1" applyAlignment="1" applyProtection="1">
      <alignment horizontal="left"/>
    </xf>
    <xf numFmtId="172" fontId="5" fillId="29" borderId="0" xfId="166" applyNumberFormat="1" applyFont="1" applyFill="1" applyAlignment="1" applyProtection="1">
      <alignment horizontal="right"/>
    </xf>
    <xf numFmtId="169" fontId="7" fillId="29" borderId="0" xfId="166" applyNumberFormat="1" applyFont="1" applyFill="1" applyProtection="1"/>
    <xf numFmtId="10" fontId="5" fillId="29" borderId="0" xfId="166" applyNumberFormat="1" applyFont="1" applyFill="1" applyAlignment="1">
      <alignment horizontal="right"/>
    </xf>
    <xf numFmtId="180" fontId="5" fillId="29" borderId="0" xfId="166" applyNumberFormat="1" applyFont="1" applyFill="1" applyAlignment="1">
      <alignment horizontal="right"/>
    </xf>
    <xf numFmtId="188" fontId="5" fillId="29" borderId="0" xfId="155" applyNumberFormat="1" applyFont="1" applyFill="1" applyBorder="1" applyAlignment="1" applyProtection="1">
      <alignment horizontal="center"/>
    </xf>
    <xf numFmtId="188" fontId="5" fillId="29" borderId="0" xfId="155" applyNumberFormat="1" applyFont="1" applyFill="1" applyBorder="1" applyAlignment="1" applyProtection="1">
      <alignment horizontal="right"/>
    </xf>
    <xf numFmtId="188" fontId="5" fillId="29" borderId="0" xfId="155" applyNumberFormat="1" applyFont="1" applyFill="1" applyAlignment="1" applyProtection="1">
      <alignment horizontal="right"/>
    </xf>
    <xf numFmtId="169" fontId="58" fillId="29" borderId="0" xfId="166" applyNumberFormat="1" applyFont="1" applyFill="1" applyProtection="1"/>
    <xf numFmtId="169" fontId="58" fillId="29" borderId="0" xfId="166" applyFont="1" applyFill="1"/>
    <xf numFmtId="166" fontId="5" fillId="29" borderId="0" xfId="166" applyNumberFormat="1" applyFont="1" applyFill="1" applyAlignment="1" applyProtection="1">
      <alignment horizontal="left"/>
    </xf>
    <xf numFmtId="188" fontId="8" fillId="29" borderId="0" xfId="166" applyNumberFormat="1" applyFont="1" applyFill="1" applyAlignment="1" applyProtection="1">
      <alignment horizontal="center"/>
    </xf>
    <xf numFmtId="188" fontId="8" fillId="29" borderId="0" xfId="166" applyNumberFormat="1" applyFont="1" applyFill="1" applyAlignment="1" applyProtection="1">
      <alignment horizontal="right"/>
    </xf>
    <xf numFmtId="172" fontId="5" fillId="29" borderId="0" xfId="185" applyNumberFormat="1" applyFont="1" applyFill="1" applyAlignment="1">
      <alignment horizontal="center"/>
    </xf>
    <xf numFmtId="172" fontId="5" fillId="29" borderId="0" xfId="185" applyNumberFormat="1" applyFont="1" applyFill="1" applyAlignment="1">
      <alignment horizontal="right"/>
    </xf>
    <xf numFmtId="172" fontId="5" fillId="29" borderId="0" xfId="166" applyNumberFormat="1" applyFont="1" applyFill="1" applyAlignment="1" applyProtection="1">
      <alignment horizontal="center"/>
    </xf>
    <xf numFmtId="1" fontId="52" fillId="29" borderId="0" xfId="166" applyNumberFormat="1" applyFont="1" applyFill="1" applyAlignment="1" applyProtection="1">
      <alignment horizontal="right"/>
    </xf>
    <xf numFmtId="188" fontId="5" fillId="29" borderId="0" xfId="166" quotePrefix="1" applyNumberFormat="1" applyFont="1" applyFill="1" applyAlignment="1" applyProtection="1">
      <alignment horizontal="right"/>
    </xf>
    <xf numFmtId="188" fontId="8" fillId="29" borderId="0" xfId="166" quotePrefix="1" applyNumberFormat="1" applyFont="1" applyFill="1" applyAlignment="1" applyProtection="1">
      <alignment horizontal="right"/>
    </xf>
    <xf numFmtId="49" fontId="7" fillId="29" borderId="0" xfId="166" applyNumberFormat="1" applyFont="1" applyFill="1"/>
    <xf numFmtId="188" fontId="5" fillId="29" borderId="12" xfId="166" applyNumberFormat="1" applyFont="1" applyFill="1" applyBorder="1" applyAlignment="1" applyProtection="1">
      <alignment horizontal="right"/>
    </xf>
    <xf numFmtId="1" fontId="5" fillId="29" borderId="0" xfId="185" applyNumberFormat="1" applyFont="1" applyFill="1" applyAlignment="1">
      <alignment horizontal="center"/>
    </xf>
    <xf numFmtId="172" fontId="7" fillId="29" borderId="0" xfId="166" applyNumberFormat="1" applyFont="1" applyFill="1" applyAlignment="1" applyProtection="1">
      <alignment horizontal="center"/>
    </xf>
    <xf numFmtId="172" fontId="7" fillId="29" borderId="0" xfId="166" applyNumberFormat="1" applyFont="1" applyFill="1" applyAlignment="1" applyProtection="1">
      <alignment horizontal="right"/>
    </xf>
    <xf numFmtId="49" fontId="60" fillId="29" borderId="0" xfId="166" applyNumberFormat="1" applyFont="1" applyFill="1" applyAlignment="1" applyProtection="1">
      <alignment horizontal="left"/>
    </xf>
    <xf numFmtId="169" fontId="60" fillId="29" borderId="0" xfId="166" applyNumberFormat="1" applyFont="1" applyFill="1" applyProtection="1"/>
    <xf numFmtId="188" fontId="60" fillId="29" borderId="0" xfId="166" applyNumberFormat="1" applyFont="1" applyFill="1" applyAlignment="1" applyProtection="1">
      <alignment horizontal="center"/>
    </xf>
    <xf numFmtId="188" fontId="60" fillId="29" borderId="0" xfId="166" applyNumberFormat="1" applyFont="1" applyFill="1" applyAlignment="1" applyProtection="1">
      <alignment horizontal="right"/>
    </xf>
    <xf numFmtId="1" fontId="60" fillId="29" borderId="0" xfId="166" applyNumberFormat="1" applyFont="1" applyFill="1" applyAlignment="1" applyProtection="1">
      <alignment horizontal="right"/>
    </xf>
    <xf numFmtId="49" fontId="5" fillId="29" borderId="0" xfId="166" applyNumberFormat="1" applyFont="1" applyFill="1" applyProtection="1"/>
    <xf numFmtId="169" fontId="5" fillId="29" borderId="0" xfId="166" applyNumberFormat="1" applyFont="1" applyFill="1" applyAlignment="1" applyProtection="1">
      <alignment horizontal="right"/>
    </xf>
    <xf numFmtId="1" fontId="8" fillId="29" borderId="0" xfId="166" applyNumberFormat="1" applyFont="1" applyFill="1" applyAlignment="1">
      <alignment horizontal="right"/>
    </xf>
    <xf numFmtId="1" fontId="8" fillId="29" borderId="0" xfId="166" applyNumberFormat="1" applyFont="1" applyFill="1" applyAlignment="1" applyProtection="1">
      <alignment horizontal="right"/>
    </xf>
    <xf numFmtId="1" fontId="8" fillId="29" borderId="0" xfId="166" applyNumberFormat="1" applyFont="1" applyFill="1"/>
    <xf numFmtId="1" fontId="62" fillId="29" borderId="0" xfId="166" applyNumberFormat="1" applyFont="1" applyFill="1" applyAlignment="1">
      <alignment horizontal="right"/>
    </xf>
    <xf numFmtId="169" fontId="7" fillId="29" borderId="0" xfId="166" applyNumberFormat="1" applyFont="1" applyFill="1" applyAlignment="1" applyProtection="1">
      <alignment horizontal="right"/>
    </xf>
    <xf numFmtId="2" fontId="7" fillId="29" borderId="0" xfId="166" applyNumberFormat="1" applyFont="1" applyFill="1" applyAlignment="1" applyProtection="1">
      <alignment horizontal="right"/>
    </xf>
    <xf numFmtId="49" fontId="60" fillId="29" borderId="0" xfId="166" applyNumberFormat="1" applyFont="1" applyFill="1"/>
    <xf numFmtId="169" fontId="60" fillId="29" borderId="0" xfId="166" applyNumberFormat="1" applyFont="1" applyFill="1" applyAlignment="1" applyProtection="1">
      <alignment horizontal="right"/>
    </xf>
    <xf numFmtId="169" fontId="60" fillId="29" borderId="0" xfId="166" applyFont="1" applyFill="1"/>
    <xf numFmtId="2" fontId="60" fillId="29" borderId="0" xfId="166" applyNumberFormat="1" applyFont="1" applyFill="1" applyAlignment="1" applyProtection="1">
      <alignment horizontal="center"/>
    </xf>
    <xf numFmtId="2" fontId="60" fillId="29" borderId="0" xfId="166" applyNumberFormat="1" applyFont="1" applyFill="1" applyAlignment="1" applyProtection="1">
      <alignment horizontal="right"/>
    </xf>
    <xf numFmtId="49" fontId="58" fillId="29" borderId="0" xfId="166" applyNumberFormat="1" applyFont="1" applyFill="1"/>
    <xf numFmtId="169" fontId="58" fillId="29" borderId="0" xfId="166" applyNumberFormat="1" applyFont="1" applyFill="1" applyAlignment="1" applyProtection="1">
      <alignment horizontal="right"/>
    </xf>
    <xf numFmtId="2" fontId="58" fillId="29" borderId="0" xfId="166" applyNumberFormat="1" applyFont="1" applyFill="1" applyAlignment="1" applyProtection="1">
      <alignment horizontal="right"/>
    </xf>
    <xf numFmtId="1" fontId="5" fillId="29" borderId="0" xfId="157" applyNumberFormat="1" applyFont="1" applyFill="1" applyAlignment="1">
      <alignment horizontal="center"/>
    </xf>
    <xf numFmtId="1" fontId="5" fillId="29" borderId="0" xfId="157" applyNumberFormat="1" applyFont="1" applyFill="1" applyAlignment="1">
      <alignment horizontal="right"/>
    </xf>
    <xf numFmtId="2" fontId="5" fillId="29" borderId="0" xfId="166" applyNumberFormat="1" applyFont="1" applyFill="1" applyAlignment="1" applyProtection="1">
      <alignment horizontal="right"/>
    </xf>
    <xf numFmtId="2" fontId="7" fillId="29" borderId="0" xfId="166" applyNumberFormat="1" applyFont="1" applyFill="1" applyAlignment="1" applyProtection="1">
      <alignment horizontal="center"/>
    </xf>
    <xf numFmtId="2" fontId="58" fillId="29" borderId="0" xfId="166" applyNumberFormat="1" applyFont="1" applyFill="1" applyAlignment="1" applyProtection="1">
      <alignment horizontal="center"/>
    </xf>
    <xf numFmtId="169" fontId="5" fillId="29" borderId="0" xfId="186" applyNumberFormat="1" applyFont="1" applyFill="1" applyAlignment="1">
      <alignment horizontal="left"/>
    </xf>
    <xf numFmtId="10" fontId="5" fillId="29" borderId="0" xfId="166" applyNumberFormat="1" applyFont="1" applyFill="1" applyAlignment="1" applyProtection="1">
      <alignment horizontal="right"/>
    </xf>
    <xf numFmtId="169" fontId="8" fillId="29" borderId="0" xfId="166" applyNumberFormat="1" applyFont="1" applyFill="1" applyAlignment="1" applyProtection="1"/>
    <xf numFmtId="169" fontId="5" fillId="29" borderId="0" xfId="166" applyFont="1" applyFill="1" applyAlignment="1">
      <alignment horizontal="right"/>
    </xf>
    <xf numFmtId="191" fontId="5" fillId="29" borderId="0" xfId="166" applyNumberFormat="1" applyFont="1" applyFill="1" applyAlignment="1" applyProtection="1">
      <alignment horizontal="center"/>
    </xf>
    <xf numFmtId="191" fontId="5" fillId="29" borderId="0" xfId="166" applyNumberFormat="1" applyFont="1" applyFill="1" applyAlignment="1" applyProtection="1">
      <alignment horizontal="right"/>
    </xf>
    <xf numFmtId="169" fontId="5" fillId="29" borderId="0" xfId="166" applyFont="1" applyFill="1" applyAlignment="1" applyProtection="1">
      <alignment horizontal="center"/>
    </xf>
    <xf numFmtId="169" fontId="5" fillId="29" borderId="0" xfId="166" applyFont="1" applyFill="1" applyAlignment="1" applyProtection="1">
      <alignment horizontal="right"/>
    </xf>
    <xf numFmtId="192" fontId="5" fillId="29" borderId="0" xfId="166" applyNumberFormat="1" applyFont="1" applyFill="1" applyAlignment="1" applyProtection="1">
      <alignment horizontal="center"/>
    </xf>
    <xf numFmtId="192" fontId="5" fillId="29" borderId="0" xfId="166" applyNumberFormat="1" applyFont="1" applyFill="1" applyAlignment="1" applyProtection="1">
      <alignment horizontal="right"/>
    </xf>
    <xf numFmtId="191" fontId="5" fillId="29" borderId="0" xfId="166" applyNumberFormat="1" applyFont="1" applyFill="1" applyProtection="1"/>
    <xf numFmtId="192" fontId="5" fillId="29" borderId="0" xfId="166" applyNumberFormat="1" applyFont="1" applyFill="1" applyProtection="1"/>
    <xf numFmtId="169" fontId="5" fillId="29" borderId="0" xfId="166" applyNumberFormat="1" applyFont="1" applyFill="1" applyAlignment="1" applyProtection="1">
      <alignment horizontal="center"/>
    </xf>
    <xf numFmtId="169" fontId="0" fillId="29" borderId="0" xfId="0" applyFill="1"/>
    <xf numFmtId="1" fontId="5" fillId="29" borderId="9" xfId="0" applyNumberFormat="1" applyFont="1" applyFill="1" applyBorder="1" applyAlignment="1">
      <alignment horizontal="center"/>
    </xf>
    <xf numFmtId="169" fontId="5" fillId="29" borderId="0" xfId="0" applyFont="1" applyFill="1" applyAlignment="1"/>
    <xf numFmtId="169" fontId="5" fillId="29" borderId="0" xfId="97" applyNumberFormat="1" applyFont="1" applyFill="1" applyAlignment="1">
      <alignment horizontal="left" vertical="top"/>
    </xf>
    <xf numFmtId="169" fontId="4" fillId="29" borderId="0" xfId="97" applyNumberFormat="1" applyFill="1" applyAlignment="1">
      <alignment horizontal="left" vertical="top"/>
    </xf>
    <xf numFmtId="171" fontId="5" fillId="29" borderId="0" xfId="0" applyNumberFormat="1" applyFont="1" applyFill="1" applyBorder="1" applyAlignment="1">
      <alignment horizontal="center"/>
    </xf>
    <xf numFmtId="169" fontId="0" fillId="29" borderId="0" xfId="0" applyFill="1" applyAlignment="1">
      <alignment horizontal="center" vertical="top" wrapText="1"/>
    </xf>
    <xf numFmtId="169" fontId="5" fillId="29" borderId="0" xfId="0" applyFont="1" applyFill="1" applyAlignment="1">
      <alignment vertical="center"/>
    </xf>
    <xf numFmtId="169" fontId="5" fillId="29" borderId="0" xfId="0" applyFont="1" applyFill="1" applyAlignment="1">
      <alignment horizontal="left" vertical="center" wrapText="1"/>
    </xf>
    <xf numFmtId="3" fontId="5" fillId="29" borderId="0" xfId="0" applyNumberFormat="1" applyFont="1" applyFill="1" applyAlignment="1">
      <alignment vertical="center"/>
    </xf>
    <xf numFmtId="171" fontId="5" fillId="29" borderId="0" xfId="0" applyNumberFormat="1" applyFont="1" applyFill="1"/>
    <xf numFmtId="171" fontId="7" fillId="29" borderId="0" xfId="0" applyNumberFormat="1" applyFont="1" applyFill="1"/>
    <xf numFmtId="164" fontId="7" fillId="29" borderId="0" xfId="35" applyFont="1" applyFill="1" applyAlignment="1"/>
    <xf numFmtId="1" fontId="5" fillId="29" borderId="0" xfId="162" applyNumberFormat="1" applyFont="1" applyFill="1" applyBorder="1" applyAlignment="1">
      <alignment horizontal="center"/>
    </xf>
    <xf numFmtId="169" fontId="5" fillId="29" borderId="8" xfId="78" applyFont="1" applyFill="1" applyBorder="1"/>
    <xf numFmtId="0" fontId="5" fillId="29" borderId="8" xfId="189" applyFont="1" applyFill="1" applyBorder="1"/>
    <xf numFmtId="3" fontId="5" fillId="29" borderId="7" xfId="189" applyNumberFormat="1" applyFont="1" applyFill="1" applyBorder="1"/>
    <xf numFmtId="0" fontId="5" fillId="29" borderId="7" xfId="189" applyFont="1" applyFill="1" applyBorder="1"/>
    <xf numFmtId="169" fontId="5" fillId="29" borderId="7" xfId="78" applyFont="1" applyFill="1" applyBorder="1" applyAlignment="1">
      <alignment horizontal="center"/>
    </xf>
    <xf numFmtId="3" fontId="5" fillId="29" borderId="0" xfId="189" applyNumberFormat="1" applyFont="1" applyFill="1" applyBorder="1" applyAlignment="1">
      <alignment horizontal="center"/>
    </xf>
    <xf numFmtId="3" fontId="5" fillId="29" borderId="0" xfId="189" applyNumberFormat="1" applyFont="1" applyFill="1" applyAlignment="1">
      <alignment horizontal="center"/>
    </xf>
    <xf numFmtId="171" fontId="7" fillId="29" borderId="0" xfId="189" applyNumberFormat="1" applyFont="1" applyFill="1" applyBorder="1" applyAlignment="1">
      <alignment horizontal="center"/>
    </xf>
    <xf numFmtId="171" fontId="7" fillId="29" borderId="0" xfId="189" applyNumberFormat="1" applyFont="1" applyFill="1" applyAlignment="1">
      <alignment horizontal="center"/>
    </xf>
    <xf numFmtId="171" fontId="5" fillId="29" borderId="0" xfId="189" applyNumberFormat="1" applyFont="1" applyFill="1" applyBorder="1" applyAlignment="1">
      <alignment horizontal="center"/>
    </xf>
    <xf numFmtId="171" fontId="5" fillId="29" borderId="0" xfId="189" applyNumberFormat="1" applyFont="1" applyFill="1" applyAlignment="1">
      <alignment horizontal="center"/>
    </xf>
    <xf numFmtId="169" fontId="5" fillId="29" borderId="9" xfId="78" applyFont="1" applyFill="1" applyBorder="1"/>
    <xf numFmtId="3" fontId="7" fillId="29" borderId="0" xfId="166" applyNumberFormat="1" applyFont="1" applyFill="1" applyAlignment="1">
      <alignment horizontal="center"/>
    </xf>
    <xf numFmtId="3" fontId="7" fillId="29" borderId="0" xfId="166" quotePrefix="1" applyNumberFormat="1" applyFont="1" applyFill="1" applyAlignment="1">
      <alignment horizontal="center"/>
    </xf>
    <xf numFmtId="169" fontId="7" fillId="29" borderId="0" xfId="166" applyFont="1" applyFill="1" applyAlignment="1">
      <alignment horizontal="center"/>
    </xf>
    <xf numFmtId="188" fontId="5" fillId="30" borderId="0" xfId="166" applyNumberFormat="1" applyFont="1" applyFill="1" applyAlignment="1" applyProtection="1">
      <alignment horizontal="right"/>
    </xf>
    <xf numFmtId="188" fontId="5" fillId="30" borderId="0" xfId="166" applyNumberFormat="1" applyFont="1" applyFill="1" applyAlignment="1" applyProtection="1">
      <alignment horizontal="left"/>
    </xf>
    <xf numFmtId="169" fontId="5" fillId="29" borderId="0" xfId="166" applyFont="1" applyFill="1" applyAlignment="1">
      <alignment horizontal="left"/>
    </xf>
    <xf numFmtId="1" fontId="5" fillId="29" borderId="8" xfId="166" applyNumberFormat="1" applyFont="1" applyFill="1" applyBorder="1" applyAlignment="1">
      <alignment horizontal="center"/>
    </xf>
    <xf numFmtId="169" fontId="5" fillId="29" borderId="0" xfId="0" applyFont="1" applyFill="1" applyAlignment="1">
      <alignment horizontal="left"/>
    </xf>
    <xf numFmtId="3" fontId="7" fillId="29" borderId="0" xfId="80" applyNumberFormat="1" applyFont="1" applyFill="1" applyAlignment="1">
      <alignment horizontal="left"/>
    </xf>
    <xf numFmtId="3" fontId="8" fillId="29" borderId="0" xfId="0" applyNumberFormat="1" applyFont="1" applyFill="1" applyAlignment="1">
      <alignment horizontal="left" vertical="center"/>
    </xf>
    <xf numFmtId="3" fontId="5" fillId="29" borderId="0" xfId="80" applyNumberFormat="1" applyFont="1" applyFill="1" applyBorder="1" applyAlignment="1">
      <alignment horizontal="left" vertical="center"/>
    </xf>
    <xf numFmtId="3" fontId="5" fillId="29" borderId="0" xfId="80" applyNumberFormat="1" applyFont="1" applyFill="1" applyAlignment="1">
      <alignment horizontal="left" vertical="center"/>
    </xf>
    <xf numFmtId="3" fontId="5" fillId="29" borderId="0" xfId="0" applyNumberFormat="1" applyFont="1" applyFill="1" applyAlignment="1">
      <alignment horizontal="left"/>
    </xf>
    <xf numFmtId="3" fontId="5" fillId="29" borderId="0" xfId="80" applyNumberFormat="1" applyFont="1" applyFill="1" applyAlignment="1">
      <alignment horizontal="left"/>
    </xf>
    <xf numFmtId="1" fontId="5" fillId="29" borderId="8" xfId="189" applyNumberFormat="1" applyFont="1" applyFill="1" applyBorder="1" applyAlignment="1">
      <alignment horizontal="left"/>
    </xf>
    <xf numFmtId="170" fontId="5" fillId="29" borderId="0" xfId="189" applyNumberFormat="1" applyFont="1" applyFill="1" applyBorder="1" applyAlignment="1">
      <alignment horizontal="left"/>
    </xf>
    <xf numFmtId="1" fontId="5" fillId="29" borderId="9" xfId="189" applyNumberFormat="1" applyFont="1" applyFill="1" applyBorder="1" applyAlignment="1">
      <alignment horizontal="left"/>
    </xf>
    <xf numFmtId="170" fontId="5" fillId="29" borderId="0" xfId="0" applyNumberFormat="1" applyFont="1" applyFill="1" applyAlignment="1">
      <alignment horizontal="left"/>
    </xf>
    <xf numFmtId="3" fontId="7" fillId="29" borderId="0" xfId="0" applyNumberFormat="1" applyFont="1" applyFill="1" applyAlignment="1">
      <alignment horizontal="left"/>
    </xf>
    <xf numFmtId="3" fontId="5" fillId="29" borderId="0" xfId="0" applyNumberFormat="1" applyFont="1" applyFill="1" applyAlignment="1">
      <alignment horizontal="left" vertical="center"/>
    </xf>
    <xf numFmtId="3" fontId="5" fillId="29" borderId="0" xfId="0" applyNumberFormat="1" applyFont="1" applyFill="1" applyBorder="1" applyAlignment="1">
      <alignment horizontal="left" vertical="center"/>
    </xf>
    <xf numFmtId="169" fontId="5" fillId="29" borderId="7" xfId="0" applyFont="1" applyFill="1" applyBorder="1" applyAlignment="1">
      <alignment horizontal="left"/>
    </xf>
    <xf numFmtId="169" fontId="5" fillId="29" borderId="0" xfId="0" applyFont="1" applyFill="1" applyAlignment="1">
      <alignment horizontal="left" vertical="top" wrapText="1"/>
    </xf>
    <xf numFmtId="169" fontId="0" fillId="29" borderId="0" xfId="0" applyFill="1" applyAlignment="1">
      <alignment horizontal="left" vertical="top" wrapText="1"/>
    </xf>
    <xf numFmtId="169" fontId="5" fillId="29" borderId="27" xfId="78" applyFont="1" applyFill="1" applyBorder="1" applyAlignment="1">
      <alignment horizontal="right"/>
    </xf>
    <xf numFmtId="3" fontId="5" fillId="29" borderId="27" xfId="78" applyNumberFormat="1" applyFont="1" applyFill="1" applyBorder="1" applyAlignment="1">
      <alignment horizontal="center"/>
    </xf>
    <xf numFmtId="169" fontId="5" fillId="29" borderId="27" xfId="78" applyFont="1" applyFill="1" applyBorder="1" applyAlignment="1">
      <alignment horizontal="center"/>
    </xf>
    <xf numFmtId="171" fontId="7" fillId="29" borderId="27" xfId="78" applyNumberFormat="1" applyFont="1" applyFill="1" applyBorder="1" applyAlignment="1">
      <alignment horizontal="center"/>
    </xf>
    <xf numFmtId="171" fontId="5" fillId="29" borderId="27" xfId="78" applyNumberFormat="1" applyFont="1" applyFill="1" applyBorder="1" applyAlignment="1">
      <alignment horizontal="center"/>
    </xf>
    <xf numFmtId="169" fontId="8" fillId="29" borderId="0" xfId="0" applyFont="1" applyFill="1"/>
    <xf numFmtId="169" fontId="5" fillId="0" borderId="0" xfId="162" applyFont="1"/>
    <xf numFmtId="169" fontId="5" fillId="0" borderId="0" xfId="78" applyFont="1" applyFill="1" applyAlignment="1">
      <alignment horizontal="left" vertical="top" wrapText="1"/>
    </xf>
    <xf numFmtId="169" fontId="4" fillId="0" borderId="0" xfId="78" applyFill="1" applyAlignment="1">
      <alignment horizontal="left" vertical="top" wrapText="1"/>
    </xf>
    <xf numFmtId="0" fontId="132" fillId="29" borderId="0" xfId="187" applyFont="1" applyFill="1" applyAlignment="1">
      <alignment horizontal="center"/>
    </xf>
    <xf numFmtId="169" fontId="5" fillId="0" borderId="0" xfId="162" applyFont="1" applyBorder="1" applyAlignment="1">
      <alignment horizontal="center" wrapText="1"/>
    </xf>
    <xf numFmtId="3" fontId="5" fillId="0" borderId="8" xfId="162" applyNumberFormat="1" applyFont="1" applyBorder="1" applyAlignment="1">
      <alignment wrapText="1"/>
    </xf>
    <xf numFmtId="186" fontId="5" fillId="0" borderId="0" xfId="162" applyNumberFormat="1" applyFont="1" applyBorder="1" applyAlignment="1">
      <alignment horizontal="left"/>
    </xf>
    <xf numFmtId="169" fontId="12" fillId="0" borderId="0" xfId="78" applyFont="1"/>
    <xf numFmtId="169" fontId="4" fillId="0" borderId="0" xfId="78"/>
    <xf numFmtId="169" fontId="5" fillId="0" borderId="0" xfId="162" quotePrefix="1" applyFont="1" applyAlignment="1">
      <alignment horizontal="center"/>
    </xf>
    <xf numFmtId="4" fontId="5" fillId="0" borderId="0" xfId="162" applyNumberFormat="1" applyFont="1" applyFill="1" applyAlignment="1">
      <alignment horizontal="center"/>
    </xf>
    <xf numFmtId="171" fontId="7" fillId="0" borderId="0" xfId="189" applyNumberFormat="1" applyFont="1" applyFill="1" applyBorder="1"/>
    <xf numFmtId="171" fontId="5" fillId="0" borderId="0" xfId="189" applyNumberFormat="1" applyFont="1" applyFill="1" applyBorder="1"/>
    <xf numFmtId="169" fontId="5" fillId="0" borderId="0" xfId="0" applyFont="1" applyAlignment="1">
      <alignment horizontal="left" vertical="top" wrapText="1"/>
    </xf>
    <xf numFmtId="169" fontId="5" fillId="0" borderId="0" xfId="0" applyFont="1" applyAlignment="1">
      <alignment wrapText="1"/>
    </xf>
    <xf numFmtId="0" fontId="5" fillId="0" borderId="0" xfId="0" applyNumberFormat="1" applyFont="1" applyAlignment="1">
      <alignment wrapText="1"/>
    </xf>
    <xf numFmtId="0" fontId="15" fillId="0" borderId="0" xfId="0" applyNumberFormat="1" applyFont="1" applyAlignment="1">
      <alignment wrapText="1"/>
    </xf>
    <xf numFmtId="0" fontId="12" fillId="0" borderId="0" xfId="0" applyNumberFormat="1" applyFont="1" applyAlignment="1">
      <alignment wrapText="1"/>
    </xf>
    <xf numFmtId="0" fontId="23" fillId="0" borderId="0" xfId="0" applyNumberFormat="1" applyFont="1" applyAlignment="1">
      <alignment wrapText="1"/>
    </xf>
    <xf numFmtId="169" fontId="25" fillId="0" borderId="0" xfId="0" applyFont="1" applyAlignment="1">
      <alignment wrapText="1"/>
    </xf>
    <xf numFmtId="172" fontId="5" fillId="29" borderId="0" xfId="0" applyNumberFormat="1" applyFont="1" applyFill="1" applyAlignment="1">
      <alignment horizontal="center"/>
    </xf>
    <xf numFmtId="172" fontId="5" fillId="29" borderId="0" xfId="0" applyNumberFormat="1" applyFont="1" applyFill="1" applyBorder="1" applyAlignment="1">
      <alignment horizontal="center"/>
    </xf>
    <xf numFmtId="169" fontId="5" fillId="29" borderId="0" xfId="0" applyFont="1" applyFill="1" applyBorder="1"/>
    <xf numFmtId="0" fontId="115" fillId="0" borderId="0" xfId="189" applyFont="1" applyFill="1"/>
    <xf numFmtId="170" fontId="21" fillId="29" borderId="0" xfId="0" applyNumberFormat="1" applyFont="1" applyFill="1" applyAlignment="1">
      <alignment horizontal="center"/>
    </xf>
    <xf numFmtId="170" fontId="5" fillId="29" borderId="0" xfId="0" applyNumberFormat="1" applyFont="1" applyFill="1" applyAlignment="1">
      <alignment horizontal="center" vertical="center"/>
    </xf>
    <xf numFmtId="169" fontId="5" fillId="29" borderId="0" xfId="0" applyFont="1" applyFill="1" applyAlignment="1">
      <alignment horizontal="center" vertical="top"/>
    </xf>
    <xf numFmtId="169" fontId="5" fillId="29" borderId="0" xfId="80" applyFont="1" applyFill="1" applyAlignment="1">
      <alignment horizontal="left" vertical="top" wrapText="1"/>
    </xf>
    <xf numFmtId="169" fontId="4" fillId="29" borderId="0" xfId="80" applyFill="1" applyAlignment="1">
      <alignment horizontal="left" vertical="top" wrapText="1"/>
    </xf>
    <xf numFmtId="169" fontId="5" fillId="29" borderId="9" xfId="166" applyFont="1" applyFill="1" applyBorder="1"/>
    <xf numFmtId="0" fontId="5" fillId="29" borderId="9" xfId="167" applyFont="1" applyFill="1" applyBorder="1"/>
    <xf numFmtId="3" fontId="5" fillId="29" borderId="9" xfId="166" applyNumberFormat="1" applyFont="1" applyFill="1" applyBorder="1" applyAlignment="1" applyProtection="1">
      <alignment horizontal="center"/>
    </xf>
    <xf numFmtId="172" fontId="5" fillId="29" borderId="0" xfId="80" applyNumberFormat="1" applyFont="1" applyFill="1" applyBorder="1" applyAlignment="1">
      <alignment horizontal="center"/>
    </xf>
    <xf numFmtId="172" fontId="5" fillId="29" borderId="0" xfId="80" applyNumberFormat="1" applyFont="1" applyFill="1" applyAlignment="1">
      <alignment horizontal="center"/>
    </xf>
    <xf numFmtId="172" fontId="5" fillId="29" borderId="0" xfId="166" applyNumberFormat="1" applyFont="1" applyFill="1" applyAlignment="1">
      <alignment horizontal="center"/>
    </xf>
    <xf numFmtId="172" fontId="8" fillId="29" borderId="0" xfId="80" applyNumberFormat="1" applyFont="1" applyFill="1" applyBorder="1" applyAlignment="1">
      <alignment horizontal="center"/>
    </xf>
    <xf numFmtId="3" fontId="5" fillId="29" borderId="8" xfId="189" applyNumberFormat="1" applyFont="1" applyFill="1" applyBorder="1"/>
    <xf numFmtId="170" fontId="5" fillId="29" borderId="8" xfId="189" applyNumberFormat="1" applyFont="1" applyFill="1" applyBorder="1"/>
    <xf numFmtId="171" fontId="5" fillId="29" borderId="7" xfId="78" applyNumberFormat="1" applyFont="1" applyFill="1" applyBorder="1" applyAlignment="1">
      <alignment horizontal="center"/>
    </xf>
    <xf numFmtId="171" fontId="5" fillId="29" borderId="7" xfId="189" applyNumberFormat="1" applyFont="1" applyFill="1" applyBorder="1"/>
    <xf numFmtId="3" fontId="7" fillId="29" borderId="0" xfId="78" applyNumberFormat="1" applyFont="1" applyFill="1" applyAlignment="1">
      <alignment horizontal="center"/>
    </xf>
    <xf numFmtId="169" fontId="83" fillId="29" borderId="0" xfId="78" applyFont="1" applyFill="1"/>
    <xf numFmtId="169" fontId="83" fillId="29" borderId="0" xfId="78" applyFont="1" applyFill="1" applyAlignment="1"/>
    <xf numFmtId="169" fontId="83" fillId="29" borderId="0" xfId="78" applyFont="1" applyFill="1" applyAlignment="1">
      <alignment horizontal="center"/>
    </xf>
    <xf numFmtId="169" fontId="83" fillId="29" borderId="9" xfId="78" applyFont="1" applyFill="1" applyBorder="1"/>
    <xf numFmtId="169" fontId="83" fillId="29" borderId="9" xfId="78" applyFont="1" applyFill="1" applyBorder="1" applyAlignment="1"/>
    <xf numFmtId="169" fontId="83" fillId="29" borderId="9" xfId="78" applyFont="1" applyFill="1" applyBorder="1" applyAlignment="1">
      <alignment horizontal="center"/>
    </xf>
    <xf numFmtId="169" fontId="83" fillId="29" borderId="8" xfId="78" applyFont="1" applyFill="1" applyBorder="1" applyAlignment="1">
      <alignment horizontal="center"/>
    </xf>
    <xf numFmtId="0" fontId="83" fillId="29" borderId="0" xfId="158" applyFont="1" applyFill="1"/>
    <xf numFmtId="169" fontId="83" fillId="29" borderId="0" xfId="166" applyNumberFormat="1" applyFont="1" applyFill="1" applyAlignment="1" applyProtection="1"/>
    <xf numFmtId="169" fontId="83" fillId="29" borderId="0" xfId="166" applyFont="1" applyFill="1"/>
    <xf numFmtId="170" fontId="83" fillId="29" borderId="0" xfId="78" applyNumberFormat="1" applyFont="1" applyFill="1" applyAlignment="1">
      <alignment horizontal="center"/>
    </xf>
    <xf numFmtId="3" fontId="83" fillId="29" borderId="0" xfId="78" applyNumberFormat="1" applyFont="1" applyFill="1" applyAlignment="1">
      <alignment horizontal="center"/>
    </xf>
    <xf numFmtId="3" fontId="83" fillId="29" borderId="0" xfId="78" applyNumberFormat="1" applyFont="1" applyFill="1"/>
    <xf numFmtId="3" fontId="83" fillId="29" borderId="0" xfId="78" applyNumberFormat="1" applyFont="1" applyFill="1" applyBorder="1" applyAlignment="1">
      <alignment horizontal="center"/>
    </xf>
    <xf numFmtId="169" fontId="84" fillId="29" borderId="0" xfId="78" applyFont="1" applyFill="1" applyAlignment="1">
      <alignment horizontal="left"/>
    </xf>
    <xf numFmtId="169" fontId="84" fillId="29" borderId="0" xfId="78" applyFont="1" applyFill="1" applyAlignment="1"/>
    <xf numFmtId="169" fontId="84" fillId="29" borderId="0" xfId="78" applyFont="1" applyFill="1" applyAlignment="1">
      <alignment horizontal="center"/>
    </xf>
    <xf numFmtId="169" fontId="83" fillId="29" borderId="7" xfId="78" applyFont="1" applyFill="1" applyBorder="1"/>
    <xf numFmtId="169" fontId="83" fillId="29" borderId="7" xfId="78" applyFont="1" applyFill="1" applyBorder="1" applyAlignment="1"/>
    <xf numFmtId="3" fontId="83" fillId="29" borderId="7" xfId="78" applyNumberFormat="1" applyFont="1" applyFill="1" applyBorder="1"/>
    <xf numFmtId="3" fontId="83" fillId="29" borderId="7" xfId="78" applyNumberFormat="1" applyFont="1" applyFill="1" applyBorder="1" applyAlignment="1">
      <alignment horizontal="center"/>
    </xf>
    <xf numFmtId="169" fontId="83" fillId="29" borderId="0" xfId="78" applyFont="1" applyFill="1" applyBorder="1"/>
    <xf numFmtId="1" fontId="83" fillId="29" borderId="7" xfId="78" applyNumberFormat="1" applyFont="1" applyFill="1" applyBorder="1" applyAlignment="1">
      <alignment horizontal="center"/>
    </xf>
    <xf numFmtId="1" fontId="83" fillId="29" borderId="0" xfId="78" applyNumberFormat="1" applyFont="1" applyFill="1" applyBorder="1" applyAlignment="1">
      <alignment horizontal="center"/>
    </xf>
    <xf numFmtId="1" fontId="83" fillId="29" borderId="7" xfId="78" applyNumberFormat="1" applyFont="1" applyFill="1" applyBorder="1" applyAlignment="1">
      <alignment horizontal="right"/>
    </xf>
    <xf numFmtId="1" fontId="83" fillId="29" borderId="0" xfId="78" applyNumberFormat="1" applyFont="1" applyFill="1" applyBorder="1" applyAlignment="1">
      <alignment horizontal="right"/>
    </xf>
    <xf numFmtId="169" fontId="83" fillId="29" borderId="8" xfId="78" applyFont="1" applyFill="1" applyBorder="1" applyAlignment="1">
      <alignment horizontal="right"/>
    </xf>
    <xf numFmtId="169" fontId="83" fillId="29" borderId="0" xfId="78" quotePrefix="1" applyFont="1" applyFill="1" applyBorder="1" applyAlignment="1">
      <alignment horizontal="left"/>
    </xf>
    <xf numFmtId="169" fontId="83" fillId="29" borderId="0" xfId="78" applyFont="1" applyFill="1" applyBorder="1" applyAlignment="1"/>
    <xf numFmtId="169" fontId="83" fillId="29" borderId="0" xfId="78" applyFont="1" applyFill="1" applyAlignment="1">
      <alignment horizontal="right"/>
    </xf>
    <xf numFmtId="169" fontId="83" fillId="29" borderId="0" xfId="80" applyFont="1" applyFill="1" applyAlignment="1"/>
    <xf numFmtId="169" fontId="83" fillId="29" borderId="0" xfId="80" applyFont="1" applyFill="1"/>
    <xf numFmtId="172" fontId="83" fillId="29" borderId="0" xfId="80" applyNumberFormat="1" applyFont="1" applyFill="1" applyAlignment="1">
      <alignment horizontal="center"/>
    </xf>
    <xf numFmtId="169" fontId="83" fillId="29" borderId="0" xfId="80" applyFont="1" applyFill="1" applyAlignment="1">
      <alignment horizontal="center"/>
    </xf>
    <xf numFmtId="170" fontId="83" fillId="29" borderId="0" xfId="80" applyNumberFormat="1" applyFont="1" applyFill="1" applyAlignment="1">
      <alignment horizontal="right"/>
    </xf>
    <xf numFmtId="170" fontId="83" fillId="29" borderId="0" xfId="78" applyNumberFormat="1" applyFont="1" applyFill="1" applyAlignment="1">
      <alignment horizontal="right"/>
    </xf>
    <xf numFmtId="170" fontId="83" fillId="29" borderId="0" xfId="78" applyNumberFormat="1" applyFont="1" applyFill="1" applyBorder="1" applyAlignment="1">
      <alignment horizontal="right"/>
    </xf>
    <xf numFmtId="172" fontId="83" fillId="29" borderId="0" xfId="78" applyNumberFormat="1" applyFont="1" applyFill="1"/>
    <xf numFmtId="172" fontId="83" fillId="29" borderId="0" xfId="71" applyNumberFormat="1" applyFont="1" applyFill="1" applyBorder="1" applyAlignment="1">
      <alignment horizontal="center"/>
    </xf>
    <xf numFmtId="169" fontId="83" fillId="29" borderId="0" xfId="71" applyNumberFormat="1" applyFont="1" applyFill="1" applyBorder="1" applyAlignment="1">
      <alignment horizontal="center"/>
    </xf>
    <xf numFmtId="170" fontId="83" fillId="29" borderId="0" xfId="71" applyNumberFormat="1" applyFont="1" applyFill="1" applyBorder="1" applyAlignment="1">
      <alignment horizontal="right"/>
    </xf>
    <xf numFmtId="170" fontId="126" fillId="29" borderId="0" xfId="71" applyNumberFormat="1" applyFont="1" applyFill="1" applyBorder="1" applyAlignment="1">
      <alignment horizontal="right"/>
    </xf>
    <xf numFmtId="172" fontId="83" fillId="29" borderId="0" xfId="80" applyNumberFormat="1" applyFont="1" applyFill="1" applyAlignment="1">
      <alignment horizontal="right"/>
    </xf>
    <xf numFmtId="169" fontId="83" fillId="29" borderId="0" xfId="80" applyFont="1" applyFill="1" applyBorder="1" applyAlignment="1"/>
    <xf numFmtId="169" fontId="83" fillId="29" borderId="0" xfId="80" applyFont="1" applyFill="1" applyBorder="1"/>
    <xf numFmtId="172" fontId="83" fillId="29" borderId="0" xfId="80" applyNumberFormat="1" applyFont="1" applyFill="1" applyBorder="1" applyAlignment="1">
      <alignment horizontal="center"/>
    </xf>
    <xf numFmtId="169" fontId="83" fillId="29" borderId="0" xfId="80" applyFont="1" applyFill="1" applyBorder="1" applyAlignment="1">
      <alignment horizontal="center"/>
    </xf>
    <xf numFmtId="170" fontId="83" fillId="29" borderId="0" xfId="80" applyNumberFormat="1" applyFont="1" applyFill="1" applyBorder="1" applyAlignment="1">
      <alignment horizontal="right"/>
    </xf>
    <xf numFmtId="169" fontId="83" fillId="29" borderId="7" xfId="78" applyFont="1" applyFill="1" applyBorder="1" applyAlignment="1">
      <alignment horizontal="center"/>
    </xf>
    <xf numFmtId="170" fontId="83" fillId="29" borderId="7" xfId="78" applyNumberFormat="1" applyFont="1" applyFill="1" applyBorder="1" applyAlignment="1">
      <alignment horizontal="right"/>
    </xf>
    <xf numFmtId="170" fontId="83" fillId="29" borderId="7" xfId="80" applyNumberFormat="1" applyFont="1" applyFill="1" applyBorder="1" applyAlignment="1">
      <alignment horizontal="right"/>
    </xf>
    <xf numFmtId="169" fontId="83" fillId="29" borderId="0" xfId="78" applyFont="1" applyFill="1" applyBorder="1" applyAlignment="1">
      <alignment horizontal="center"/>
    </xf>
    <xf numFmtId="169" fontId="83" fillId="29" borderId="0" xfId="78" applyFont="1" applyFill="1" applyAlignment="1">
      <alignment horizontal="left" vertical="center"/>
    </xf>
    <xf numFmtId="0" fontId="83" fillId="29" borderId="0" xfId="136" applyFont="1" applyFill="1" applyAlignment="1"/>
    <xf numFmtId="0" fontId="83" fillId="29" borderId="0" xfId="136" applyFont="1" applyFill="1"/>
    <xf numFmtId="0" fontId="83" fillId="29" borderId="0" xfId="136" applyFont="1" applyFill="1" applyAlignment="1">
      <alignment horizontal="left" vertical="center"/>
    </xf>
    <xf numFmtId="0" fontId="83" fillId="29" borderId="0" xfId="189" applyFont="1" applyFill="1" applyAlignment="1">
      <alignment horizontal="left"/>
    </xf>
    <xf numFmtId="0" fontId="83" fillId="29" borderId="0" xfId="189" applyFont="1" applyFill="1" applyAlignment="1"/>
    <xf numFmtId="0" fontId="83" fillId="29" borderId="0" xfId="189" applyFont="1" applyFill="1" applyAlignment="1">
      <alignment horizontal="center"/>
    </xf>
    <xf numFmtId="0" fontId="83" fillId="29" borderId="7" xfId="189" applyFont="1" applyFill="1" applyBorder="1"/>
    <xf numFmtId="0" fontId="83" fillId="29" borderId="7" xfId="189" applyFont="1" applyFill="1" applyBorder="1" applyAlignment="1"/>
    <xf numFmtId="3" fontId="83" fillId="29" borderId="7" xfId="189" applyNumberFormat="1" applyFont="1" applyFill="1" applyBorder="1"/>
    <xf numFmtId="170" fontId="83" fillId="29" borderId="7" xfId="189" applyNumberFormat="1" applyFont="1" applyFill="1" applyBorder="1"/>
    <xf numFmtId="170" fontId="83" fillId="29" borderId="7" xfId="189" applyNumberFormat="1" applyFont="1" applyFill="1" applyBorder="1" applyAlignment="1">
      <alignment horizontal="center"/>
    </xf>
    <xf numFmtId="170" fontId="83" fillId="29" borderId="0" xfId="189" applyNumberFormat="1" applyFont="1" applyFill="1" applyBorder="1" applyAlignment="1">
      <alignment horizontal="center"/>
    </xf>
    <xf numFmtId="0" fontId="83" fillId="29" borderId="0" xfId="189" applyFont="1" applyFill="1"/>
    <xf numFmtId="3" fontId="83" fillId="29" borderId="0" xfId="189" applyNumberFormat="1" applyFont="1" applyFill="1"/>
    <xf numFmtId="170" fontId="83" fillId="29" borderId="0" xfId="189" applyNumberFormat="1" applyFont="1" applyFill="1" applyBorder="1"/>
    <xf numFmtId="170" fontId="83" fillId="29" borderId="0" xfId="189" applyNumberFormat="1" applyFont="1" applyFill="1"/>
    <xf numFmtId="169" fontId="83" fillId="29" borderId="9" xfId="78" applyFont="1" applyFill="1" applyBorder="1" applyAlignment="1">
      <alignment horizontal="right"/>
    </xf>
    <xf numFmtId="169" fontId="83" fillId="29" borderId="0" xfId="78" applyFont="1" applyFill="1" applyBorder="1" applyAlignment="1">
      <alignment horizontal="right"/>
    </xf>
    <xf numFmtId="169" fontId="83" fillId="29" borderId="0" xfId="78" quotePrefix="1" applyFont="1" applyFill="1" applyAlignment="1">
      <alignment horizontal="center"/>
    </xf>
    <xf numFmtId="3" fontId="83" fillId="29" borderId="0" xfId="78" applyNumberFormat="1" applyFont="1" applyFill="1" applyAlignment="1">
      <alignment horizontal="right"/>
    </xf>
    <xf numFmtId="169" fontId="84" fillId="29" borderId="0" xfId="78" quotePrefix="1" applyFont="1" applyFill="1" applyAlignment="1">
      <alignment horizontal="center"/>
    </xf>
    <xf numFmtId="169" fontId="84" fillId="29" borderId="0" xfId="78" applyFont="1" applyFill="1"/>
    <xf numFmtId="171" fontId="84" fillId="29" borderId="0" xfId="78" applyNumberFormat="1" applyFont="1" applyFill="1" applyAlignment="1">
      <alignment horizontal="center"/>
    </xf>
    <xf numFmtId="171" fontId="84" fillId="29" borderId="0" xfId="78" applyNumberFormat="1" applyFont="1" applyFill="1" applyAlignment="1">
      <alignment horizontal="right"/>
    </xf>
    <xf numFmtId="169" fontId="84" fillId="29" borderId="0" xfId="78" applyFont="1" applyFill="1" applyAlignment="1">
      <alignment horizontal="right"/>
    </xf>
    <xf numFmtId="171" fontId="83" fillId="29" borderId="0" xfId="78" applyNumberFormat="1" applyFont="1" applyFill="1" applyAlignment="1">
      <alignment horizontal="center"/>
    </xf>
    <xf numFmtId="171" fontId="83" fillId="29" borderId="0" xfId="78" applyNumberFormat="1" applyFont="1" applyFill="1" applyAlignment="1">
      <alignment horizontal="right"/>
    </xf>
    <xf numFmtId="169" fontId="83" fillId="29" borderId="7" xfId="78" applyFont="1" applyFill="1" applyBorder="1" applyAlignment="1">
      <alignment horizontal="right"/>
    </xf>
    <xf numFmtId="0" fontId="83" fillId="29" borderId="7" xfId="189" applyFont="1" applyFill="1" applyBorder="1" applyAlignment="1">
      <alignment horizontal="left"/>
    </xf>
    <xf numFmtId="0" fontId="83" fillId="29" borderId="0" xfId="189" applyFont="1" applyFill="1" applyBorder="1"/>
    <xf numFmtId="0" fontId="83" fillId="29" borderId="0" xfId="189" applyFont="1" applyFill="1" applyBorder="1" applyAlignment="1"/>
    <xf numFmtId="3" fontId="83" fillId="29" borderId="0" xfId="189" applyNumberFormat="1" applyFont="1" applyFill="1" applyBorder="1"/>
    <xf numFmtId="1" fontId="83" fillId="29" borderId="8" xfId="189" applyNumberFormat="1" applyFont="1" applyFill="1" applyBorder="1" applyAlignment="1">
      <alignment horizontal="center"/>
    </xf>
    <xf numFmtId="1" fontId="83" fillId="29" borderId="8" xfId="189" applyNumberFormat="1" applyFont="1" applyFill="1" applyBorder="1" applyAlignment="1">
      <alignment horizontal="right"/>
    </xf>
    <xf numFmtId="170" fontId="83" fillId="29" borderId="0" xfId="189" applyNumberFormat="1" applyFont="1" applyFill="1" applyBorder="1" applyAlignment="1">
      <alignment horizontal="right"/>
    </xf>
    <xf numFmtId="170" fontId="83" fillId="29" borderId="0" xfId="78" applyNumberFormat="1" applyFont="1" applyFill="1"/>
    <xf numFmtId="169" fontId="84" fillId="29" borderId="0" xfId="166" applyFont="1" applyFill="1"/>
    <xf numFmtId="172" fontId="84" fillId="29" borderId="0" xfId="80" applyNumberFormat="1" applyFont="1" applyFill="1" applyAlignment="1">
      <alignment horizontal="center"/>
    </xf>
    <xf numFmtId="1" fontId="84" fillId="29" borderId="0" xfId="80" applyNumberFormat="1" applyFont="1" applyFill="1" applyAlignment="1">
      <alignment horizontal="right"/>
    </xf>
    <xf numFmtId="1" fontId="83" fillId="29" borderId="0" xfId="80" applyNumberFormat="1" applyFont="1" applyFill="1" applyAlignment="1">
      <alignment horizontal="right"/>
    </xf>
    <xf numFmtId="1" fontId="127" fillId="29" borderId="0" xfId="78" applyNumberFormat="1" applyFont="1" applyFill="1" applyAlignment="1">
      <alignment horizontal="right"/>
    </xf>
    <xf numFmtId="1" fontId="83" fillId="29" borderId="0" xfId="78" applyNumberFormat="1" applyFont="1" applyFill="1" applyAlignment="1">
      <alignment horizontal="right"/>
    </xf>
    <xf numFmtId="170" fontId="83" fillId="29" borderId="0" xfId="80" applyNumberFormat="1" applyFont="1" applyFill="1" applyAlignment="1">
      <alignment horizontal="center"/>
    </xf>
    <xf numFmtId="172" fontId="85" fillId="29" borderId="0" xfId="80" applyNumberFormat="1" applyFont="1" applyFill="1" applyAlignment="1">
      <alignment horizontal="center"/>
    </xf>
    <xf numFmtId="1" fontId="85" fillId="29" borderId="0" xfId="80" applyNumberFormat="1" applyFont="1" applyFill="1" applyAlignment="1">
      <alignment horizontal="right"/>
    </xf>
    <xf numFmtId="1" fontId="84" fillId="29" borderId="0" xfId="78" applyNumberFormat="1" applyFont="1" applyFill="1" applyAlignment="1">
      <alignment horizontal="right"/>
    </xf>
    <xf numFmtId="169" fontId="83" fillId="29" borderId="0" xfId="78" applyFont="1" applyFill="1" applyAlignment="1">
      <alignment wrapText="1"/>
    </xf>
    <xf numFmtId="169" fontId="5" fillId="29" borderId="0" xfId="78" applyFont="1" applyFill="1" applyAlignment="1">
      <alignment horizontal="center" vertical="center" wrapText="1"/>
    </xf>
    <xf numFmtId="169" fontId="5" fillId="29" borderId="0" xfId="78" applyFont="1" applyFill="1" applyAlignment="1"/>
    <xf numFmtId="169" fontId="115" fillId="29" borderId="0" xfId="78" applyFont="1" applyFill="1" applyAlignment="1"/>
    <xf numFmtId="169" fontId="5" fillId="29" borderId="8" xfId="78" applyFont="1" applyFill="1" applyBorder="1" applyAlignment="1"/>
    <xf numFmtId="170" fontId="5" fillId="29" borderId="0" xfId="78" applyNumberFormat="1" applyFont="1" applyFill="1" applyAlignment="1"/>
    <xf numFmtId="3" fontId="5" fillId="29" borderId="0" xfId="78" applyNumberFormat="1" applyFont="1" applyFill="1" applyAlignment="1"/>
    <xf numFmtId="169" fontId="7" fillId="29" borderId="0" xfId="78" applyFont="1" applyFill="1" applyAlignment="1"/>
    <xf numFmtId="170" fontId="5" fillId="29" borderId="0" xfId="189" applyNumberFormat="1" applyFont="1" applyFill="1" applyBorder="1" applyAlignment="1"/>
    <xf numFmtId="169" fontId="5" fillId="29" borderId="7" xfId="78" applyFont="1" applyFill="1" applyBorder="1" applyAlignment="1"/>
    <xf numFmtId="170" fontId="5" fillId="29" borderId="7" xfId="189" applyNumberFormat="1" applyFont="1" applyFill="1" applyBorder="1" applyAlignment="1"/>
    <xf numFmtId="1" fontId="5" fillId="29" borderId="8" xfId="189" applyNumberFormat="1" applyFont="1" applyFill="1" applyBorder="1" applyAlignment="1"/>
    <xf numFmtId="170" fontId="7" fillId="29" borderId="7" xfId="78" applyNumberFormat="1" applyFont="1" applyFill="1" applyBorder="1" applyAlignment="1"/>
    <xf numFmtId="170" fontId="5" fillId="29" borderId="0" xfId="78" applyNumberFormat="1" applyFont="1" applyFill="1" applyAlignment="1">
      <alignment vertical="center"/>
    </xf>
    <xf numFmtId="170" fontId="7" fillId="29" borderId="0" xfId="78" applyNumberFormat="1" applyFont="1" applyFill="1" applyAlignment="1"/>
    <xf numFmtId="170" fontId="7" fillId="29" borderId="0" xfId="78" applyNumberFormat="1" applyFont="1" applyFill="1" applyBorder="1" applyAlignment="1"/>
    <xf numFmtId="3" fontId="81" fillId="29" borderId="9" xfId="136" applyNumberFormat="1" applyFont="1" applyFill="1" applyBorder="1" applyAlignment="1">
      <alignment vertical="center" wrapText="1"/>
    </xf>
    <xf numFmtId="3" fontId="5" fillId="29" borderId="9" xfId="136" applyNumberFormat="1" applyFill="1" applyBorder="1" applyAlignment="1">
      <alignment vertical="center"/>
    </xf>
    <xf numFmtId="3" fontId="5" fillId="29" borderId="0" xfId="136" applyNumberFormat="1" applyFill="1" applyBorder="1" applyAlignment="1">
      <alignment vertical="center"/>
    </xf>
    <xf numFmtId="169" fontId="5" fillId="29" borderId="0" xfId="78" applyFont="1" applyFill="1" applyBorder="1" applyAlignment="1"/>
    <xf numFmtId="3" fontId="117" fillId="29" borderId="0" xfId="78" applyNumberFormat="1" applyFont="1" applyFill="1" applyAlignment="1">
      <alignment horizontal="center"/>
    </xf>
    <xf numFmtId="169" fontId="117" fillId="29" borderId="0" xfId="78" applyFont="1" applyFill="1" applyAlignment="1">
      <alignment horizontal="center"/>
    </xf>
    <xf numFmtId="3" fontId="117" fillId="29" borderId="0" xfId="78" applyNumberFormat="1" applyFont="1" applyFill="1" applyAlignment="1"/>
    <xf numFmtId="169" fontId="117" fillId="29" borderId="0" xfId="78" applyFont="1" applyFill="1" applyAlignment="1"/>
    <xf numFmtId="171" fontId="129" fillId="29" borderId="0" xfId="78" applyNumberFormat="1" applyFont="1" applyFill="1" applyAlignment="1">
      <alignment horizontal="center"/>
    </xf>
    <xf numFmtId="169" fontId="129" fillId="29" borderId="0" xfId="78" applyFont="1" applyFill="1" applyAlignment="1">
      <alignment horizontal="center"/>
    </xf>
    <xf numFmtId="171" fontId="129" fillId="29" borderId="0" xfId="78" applyNumberFormat="1" applyFont="1" applyFill="1" applyAlignment="1"/>
    <xf numFmtId="171" fontId="117" fillId="29" borderId="0" xfId="78" applyNumberFormat="1" applyFont="1" applyFill="1" applyAlignment="1">
      <alignment horizontal="center"/>
    </xf>
    <xf numFmtId="171" fontId="117" fillId="29" borderId="0" xfId="78" applyNumberFormat="1" applyFont="1" applyFill="1" applyAlignment="1"/>
    <xf numFmtId="169" fontId="117" fillId="29" borderId="7" xfId="78" applyFont="1" applyFill="1" applyBorder="1" applyAlignment="1">
      <alignment horizontal="center"/>
    </xf>
    <xf numFmtId="169" fontId="117" fillId="29" borderId="7" xfId="78" applyFont="1" applyFill="1" applyBorder="1" applyAlignment="1"/>
    <xf numFmtId="169" fontId="117" fillId="29" borderId="8" xfId="78" applyFont="1" applyFill="1" applyBorder="1" applyAlignment="1"/>
    <xf numFmtId="170" fontId="117" fillId="29" borderId="0" xfId="78" applyNumberFormat="1" applyFont="1" applyFill="1" applyAlignment="1"/>
    <xf numFmtId="170" fontId="117" fillId="29" borderId="7" xfId="78" applyNumberFormat="1" applyFont="1" applyFill="1" applyBorder="1" applyAlignment="1"/>
    <xf numFmtId="3" fontId="117" fillId="29" borderId="7" xfId="78" applyNumberFormat="1" applyFont="1" applyFill="1" applyBorder="1" applyAlignment="1"/>
    <xf numFmtId="3" fontId="117" fillId="29" borderId="9" xfId="136" applyNumberFormat="1" applyFont="1" applyFill="1" applyBorder="1" applyAlignment="1">
      <alignment vertical="center"/>
    </xf>
    <xf numFmtId="3" fontId="117" fillId="29" borderId="0" xfId="136" applyNumberFormat="1" applyFont="1" applyFill="1" applyBorder="1" applyAlignment="1">
      <alignment vertical="center"/>
    </xf>
    <xf numFmtId="3" fontId="117" fillId="29" borderId="10" xfId="136" applyNumberFormat="1" applyFont="1" applyFill="1" applyBorder="1" applyAlignment="1">
      <alignment vertical="center"/>
    </xf>
    <xf numFmtId="3" fontId="117" fillId="29" borderId="12" xfId="136" applyNumberFormat="1" applyFont="1" applyFill="1" applyBorder="1" applyAlignment="1">
      <alignment vertical="center"/>
    </xf>
    <xf numFmtId="3" fontId="7" fillId="29" borderId="7" xfId="78" applyNumberFormat="1" applyFont="1" applyFill="1" applyBorder="1" applyAlignment="1"/>
    <xf numFmtId="3" fontId="129" fillId="29" borderId="7" xfId="78" applyNumberFormat="1" applyFont="1" applyFill="1" applyBorder="1" applyAlignment="1"/>
    <xf numFmtId="3" fontId="129" fillId="29" borderId="13" xfId="78" applyNumberFormat="1" applyFont="1" applyFill="1" applyBorder="1" applyAlignment="1"/>
    <xf numFmtId="3" fontId="5" fillId="29" borderId="0" xfId="78" applyNumberFormat="1" applyFont="1" applyFill="1" applyAlignment="1">
      <alignment vertical="center"/>
    </xf>
    <xf numFmtId="3" fontId="117" fillId="29" borderId="0" xfId="78" applyNumberFormat="1" applyFont="1" applyFill="1" applyAlignment="1">
      <alignment vertical="center"/>
    </xf>
    <xf numFmtId="3" fontId="117" fillId="29" borderId="12" xfId="78" applyNumberFormat="1" applyFont="1" applyFill="1" applyBorder="1" applyAlignment="1">
      <alignment vertical="center"/>
    </xf>
    <xf numFmtId="3" fontId="117" fillId="29" borderId="0" xfId="78" applyNumberFormat="1" applyFont="1" applyFill="1" applyBorder="1" applyAlignment="1">
      <alignment vertical="center"/>
    </xf>
    <xf numFmtId="3" fontId="7" fillId="29" borderId="0" xfId="78" applyNumberFormat="1" applyFont="1" applyFill="1" applyAlignment="1">
      <alignment vertical="center"/>
    </xf>
    <xf numFmtId="3" fontId="129" fillId="29" borderId="0" xfId="78" applyNumberFormat="1" applyFont="1" applyFill="1" applyAlignment="1">
      <alignment vertical="center"/>
    </xf>
    <xf numFmtId="3" fontId="129" fillId="29" borderId="12" xfId="78" applyNumberFormat="1" applyFont="1" applyFill="1" applyBorder="1" applyAlignment="1">
      <alignment vertical="center"/>
    </xf>
    <xf numFmtId="3" fontId="129" fillId="29" borderId="0" xfId="78" applyNumberFormat="1" applyFont="1" applyFill="1" applyBorder="1" applyAlignment="1">
      <alignment vertical="center"/>
    </xf>
    <xf numFmtId="3" fontId="7" fillId="29" borderId="0" xfId="78" applyNumberFormat="1" applyFont="1" applyFill="1" applyAlignment="1"/>
    <xf numFmtId="3" fontId="129" fillId="29" borderId="0" xfId="78" applyNumberFormat="1" applyFont="1" applyFill="1" applyAlignment="1"/>
    <xf numFmtId="3" fontId="129" fillId="29" borderId="12" xfId="78" applyNumberFormat="1" applyFont="1" applyFill="1" applyBorder="1" applyAlignment="1"/>
    <xf numFmtId="3" fontId="129" fillId="29" borderId="0" xfId="78" applyNumberFormat="1" applyFont="1" applyFill="1" applyBorder="1" applyAlignment="1"/>
    <xf numFmtId="3" fontId="81" fillId="29" borderId="0" xfId="248" applyNumberFormat="1" applyFont="1" applyFill="1" applyBorder="1" applyAlignment="1">
      <alignment vertical="center" shrinkToFit="1"/>
    </xf>
    <xf numFmtId="3" fontId="117" fillId="29" borderId="0" xfId="248" applyNumberFormat="1" applyFont="1" applyFill="1" applyBorder="1" applyAlignment="1">
      <alignment vertical="center" shrinkToFit="1"/>
    </xf>
    <xf numFmtId="3" fontId="117" fillId="29" borderId="12" xfId="78" applyNumberFormat="1" applyFont="1" applyFill="1" applyBorder="1" applyAlignment="1"/>
    <xf numFmtId="3" fontId="117" fillId="29" borderId="0" xfId="78" applyNumberFormat="1" applyFont="1" applyFill="1" applyBorder="1" applyAlignment="1"/>
    <xf numFmtId="3" fontId="117" fillId="29" borderId="12" xfId="248" applyNumberFormat="1" applyFont="1" applyFill="1" applyBorder="1" applyAlignment="1">
      <alignment vertical="center" shrinkToFit="1"/>
    </xf>
    <xf numFmtId="3" fontId="81" fillId="29" borderId="0" xfId="248" applyNumberFormat="1" applyFont="1" applyFill="1" applyBorder="1" applyAlignment="1">
      <alignment vertical="center"/>
    </xf>
    <xf numFmtId="3" fontId="117" fillId="29" borderId="0" xfId="248" applyNumberFormat="1" applyFont="1" applyFill="1" applyBorder="1" applyAlignment="1">
      <alignment vertical="center"/>
    </xf>
    <xf numFmtId="3" fontId="117" fillId="29" borderId="12" xfId="248" applyNumberFormat="1" applyFont="1" applyFill="1" applyBorder="1" applyAlignment="1">
      <alignment vertical="center"/>
    </xf>
    <xf numFmtId="3" fontId="7" fillId="29" borderId="0" xfId="78" applyNumberFormat="1" applyFont="1" applyFill="1" applyBorder="1" applyAlignment="1"/>
    <xf numFmtId="3" fontId="81" fillId="29" borderId="9" xfId="248" applyNumberFormat="1" applyFont="1" applyFill="1" applyBorder="1" applyAlignment="1">
      <alignment vertical="center"/>
    </xf>
    <xf numFmtId="3" fontId="81" fillId="29" borderId="9" xfId="248" applyNumberFormat="1" applyFont="1" applyFill="1" applyBorder="1" applyAlignment="1">
      <alignment vertical="center" wrapText="1"/>
    </xf>
    <xf numFmtId="3" fontId="117" fillId="29" borderId="9" xfId="248" applyNumberFormat="1" applyFont="1" applyFill="1" applyBorder="1" applyAlignment="1">
      <alignment vertical="center" wrapText="1"/>
    </xf>
    <xf numFmtId="3" fontId="117" fillId="29" borderId="10" xfId="248" applyNumberFormat="1" applyFont="1" applyFill="1" applyBorder="1" applyAlignment="1">
      <alignment vertical="center" wrapText="1"/>
    </xf>
    <xf numFmtId="3" fontId="81" fillId="29" borderId="0" xfId="248" applyNumberFormat="1" applyFont="1" applyFill="1" applyBorder="1" applyAlignment="1">
      <alignment vertical="center" wrapText="1"/>
    </xf>
    <xf numFmtId="3" fontId="117" fillId="29" borderId="0" xfId="248" applyNumberFormat="1" applyFont="1" applyFill="1" applyBorder="1" applyAlignment="1">
      <alignment vertical="center" wrapText="1"/>
    </xf>
    <xf numFmtId="3" fontId="117" fillId="29" borderId="12" xfId="248" applyNumberFormat="1" applyFont="1" applyFill="1" applyBorder="1" applyAlignment="1">
      <alignment vertical="center" wrapText="1"/>
    </xf>
    <xf numFmtId="169" fontId="22" fillId="29" borderId="0" xfId="78" applyFont="1" applyFill="1" applyBorder="1"/>
    <xf numFmtId="3" fontId="8" fillId="29" borderId="0" xfId="0" applyNumberFormat="1" applyFont="1" applyFill="1" applyAlignment="1">
      <alignment horizontal="center" vertical="center"/>
    </xf>
    <xf numFmtId="3" fontId="5" fillId="29" borderId="0" xfId="80" applyNumberFormat="1" applyFont="1" applyFill="1" applyBorder="1" applyAlignment="1">
      <alignment horizontal="center" vertical="center"/>
    </xf>
    <xf numFmtId="3" fontId="5" fillId="29" borderId="0" xfId="80" applyNumberFormat="1" applyFont="1" applyFill="1" applyAlignment="1">
      <alignment horizontal="center" vertical="center"/>
    </xf>
    <xf numFmtId="169" fontId="0" fillId="29" borderId="0" xfId="0" applyFill="1" applyAlignment="1">
      <alignment horizontal="center"/>
    </xf>
    <xf numFmtId="1" fontId="0" fillId="29" borderId="0" xfId="0" applyNumberFormat="1" applyFill="1" applyAlignment="1">
      <alignment horizontal="center"/>
    </xf>
    <xf numFmtId="1" fontId="5" fillId="29" borderId="8" xfId="0" applyNumberFormat="1" applyFont="1" applyFill="1" applyBorder="1" applyAlignment="1">
      <alignment horizontal="center" vertical="center" wrapText="1"/>
    </xf>
    <xf numFmtId="9" fontId="5" fillId="29" borderId="0" xfId="177" applyFont="1" applyFill="1" applyAlignment="1">
      <alignment horizontal="center"/>
    </xf>
    <xf numFmtId="3" fontId="115" fillId="29" borderId="0" xfId="0" applyNumberFormat="1" applyFont="1" applyFill="1" applyAlignment="1">
      <alignment horizontal="center"/>
    </xf>
    <xf numFmtId="3" fontId="5" fillId="29" borderId="0" xfId="0" applyNumberFormat="1" applyFont="1" applyFill="1" applyAlignment="1">
      <alignment horizontal="center" vertical="center"/>
    </xf>
    <xf numFmtId="3" fontId="8" fillId="29" borderId="0" xfId="0" applyNumberFormat="1" applyFont="1" applyFill="1" applyAlignment="1">
      <alignment horizontal="left"/>
    </xf>
    <xf numFmtId="3" fontId="8" fillId="29" borderId="0" xfId="80" applyNumberFormat="1" applyFont="1" applyFill="1" applyBorder="1" applyAlignment="1">
      <alignment horizontal="left" vertical="center"/>
    </xf>
    <xf numFmtId="3" fontId="8" fillId="29" borderId="0" xfId="80" applyNumberFormat="1" applyFont="1" applyFill="1" applyBorder="1" applyAlignment="1">
      <alignment horizontal="center" vertical="center"/>
    </xf>
    <xf numFmtId="169" fontId="8" fillId="29" borderId="0" xfId="0" applyFont="1" applyFill="1" applyAlignment="1">
      <alignment horizontal="center"/>
    </xf>
    <xf numFmtId="169" fontId="5" fillId="29" borderId="0" xfId="0" applyFont="1" applyFill="1" applyAlignment="1">
      <alignment horizontal="left" vertical="top" wrapText="1"/>
    </xf>
    <xf numFmtId="169" fontId="0" fillId="29" borderId="0" xfId="0" applyFill="1" applyAlignment="1">
      <alignment horizontal="left" vertical="top" wrapText="1"/>
    </xf>
    <xf numFmtId="169" fontId="5" fillId="29" borderId="0" xfId="0" applyFont="1" applyFill="1" applyAlignment="1">
      <alignment vertical="center" wrapText="1"/>
    </xf>
    <xf numFmtId="169" fontId="5" fillId="29" borderId="0" xfId="80" applyFont="1" applyFill="1" applyAlignment="1">
      <alignment horizontal="left" vertical="top" wrapText="1"/>
    </xf>
    <xf numFmtId="169" fontId="0" fillId="29" borderId="0" xfId="0" applyFill="1" applyAlignment="1">
      <alignment wrapText="1"/>
    </xf>
    <xf numFmtId="169" fontId="5" fillId="29" borderId="0" xfId="78" applyFont="1" applyFill="1" applyAlignment="1">
      <alignment horizontal="left" vertical="top" wrapText="1"/>
    </xf>
    <xf numFmtId="169" fontId="4" fillId="29" borderId="0" xfId="78" applyFill="1" applyAlignment="1">
      <alignment horizontal="left" vertical="top" wrapText="1"/>
    </xf>
    <xf numFmtId="169" fontId="5" fillId="29" borderId="0" xfId="78" applyFont="1" applyFill="1" applyAlignment="1">
      <alignment wrapText="1"/>
    </xf>
    <xf numFmtId="169" fontId="7" fillId="29" borderId="0" xfId="0" applyFont="1" applyFill="1" applyAlignment="1">
      <alignment horizontal="center" vertical="center" wrapText="1"/>
    </xf>
    <xf numFmtId="169" fontId="5" fillId="29" borderId="0" xfId="0" applyFont="1" applyFill="1" applyAlignment="1">
      <alignment horizontal="left" vertical="top" wrapText="1"/>
    </xf>
    <xf numFmtId="169" fontId="0" fillId="29" borderId="0" xfId="0" applyFill="1" applyAlignment="1">
      <alignment horizontal="left" vertical="top" wrapText="1"/>
    </xf>
    <xf numFmtId="169" fontId="5" fillId="29" borderId="0" xfId="0" applyFont="1" applyFill="1" applyAlignment="1">
      <alignment wrapText="1"/>
    </xf>
    <xf numFmtId="169" fontId="5" fillId="29" borderId="0" xfId="0" applyFont="1" applyFill="1" applyAlignment="1">
      <alignment horizontal="left" vertical="center" wrapText="1"/>
    </xf>
    <xf numFmtId="169" fontId="4" fillId="29" borderId="0" xfId="80" applyFill="1" applyAlignment="1">
      <alignment horizontal="left" vertical="top" wrapText="1"/>
    </xf>
    <xf numFmtId="169" fontId="0" fillId="29" borderId="0" xfId="0" applyFill="1" applyAlignment="1">
      <alignment wrapText="1"/>
    </xf>
    <xf numFmtId="169" fontId="5" fillId="29" borderId="0" xfId="78" applyFont="1" applyFill="1" applyAlignment="1">
      <alignment horizontal="left" vertical="top" wrapText="1"/>
    </xf>
    <xf numFmtId="169" fontId="4" fillId="29" borderId="0" xfId="78" applyFill="1" applyAlignment="1">
      <alignment horizontal="left" vertical="top" wrapText="1"/>
    </xf>
    <xf numFmtId="169" fontId="97" fillId="29" borderId="0" xfId="78" applyFont="1" applyFill="1" applyAlignment="1">
      <alignment horizontal="center"/>
    </xf>
    <xf numFmtId="169" fontId="4" fillId="29" borderId="0" xfId="78" applyFill="1"/>
    <xf numFmtId="169" fontId="6" fillId="29" borderId="0" xfId="78" applyFont="1" applyFill="1"/>
    <xf numFmtId="169" fontId="113" fillId="29" borderId="0" xfId="78" applyFont="1" applyFill="1" applyAlignment="1">
      <alignment horizontal="left" vertical="top" wrapText="1"/>
    </xf>
    <xf numFmtId="169" fontId="6" fillId="29" borderId="0" xfId="78" applyFont="1" applyFill="1" applyAlignment="1">
      <alignment horizontal="right"/>
    </xf>
    <xf numFmtId="169" fontId="98" fillId="29" borderId="0" xfId="78" applyFont="1" applyFill="1"/>
    <xf numFmtId="0" fontId="5" fillId="29" borderId="0" xfId="158" applyFont="1" applyFill="1" applyAlignment="1">
      <alignment horizontal="center"/>
    </xf>
    <xf numFmtId="0" fontId="5" fillId="29" borderId="9" xfId="158" applyFont="1" applyFill="1" applyBorder="1"/>
    <xf numFmtId="0" fontId="5" fillId="29" borderId="0" xfId="158" applyFont="1" applyFill="1" applyBorder="1" applyAlignment="1">
      <alignment horizontal="center"/>
    </xf>
    <xf numFmtId="3" fontId="5" fillId="29" borderId="0" xfId="158" applyNumberFormat="1" applyFont="1" applyFill="1" applyBorder="1"/>
    <xf numFmtId="3" fontId="5" fillId="29" borderId="12" xfId="158" applyNumberFormat="1" applyFont="1" applyFill="1" applyBorder="1" applyAlignment="1">
      <alignment horizontal="center"/>
    </xf>
    <xf numFmtId="3" fontId="5" fillId="29" borderId="0" xfId="158" applyNumberFormat="1" applyFont="1" applyFill="1" applyBorder="1" applyAlignment="1">
      <alignment horizontal="center"/>
    </xf>
    <xf numFmtId="3" fontId="5" fillId="29" borderId="13" xfId="158" applyNumberFormat="1" applyFont="1" applyFill="1" applyBorder="1" applyAlignment="1">
      <alignment horizontal="center"/>
    </xf>
    <xf numFmtId="3" fontId="5" fillId="29" borderId="0" xfId="158" applyNumberFormat="1" applyFont="1" applyFill="1"/>
    <xf numFmtId="0" fontId="5" fillId="29" borderId="12" xfId="158" applyFont="1" applyFill="1" applyBorder="1" applyAlignment="1">
      <alignment horizontal="center"/>
    </xf>
    <xf numFmtId="3" fontId="5" fillId="29" borderId="14" xfId="158" applyNumberFormat="1" applyFont="1" applyFill="1" applyBorder="1" applyAlignment="1">
      <alignment horizontal="center"/>
    </xf>
    <xf numFmtId="169" fontId="7" fillId="29" borderId="0" xfId="78" applyFont="1" applyFill="1" applyAlignment="1">
      <alignment horizontal="center" vertical="top"/>
    </xf>
    <xf numFmtId="3" fontId="5" fillId="29" borderId="7" xfId="78" applyNumberFormat="1" applyFont="1" applyFill="1" applyBorder="1"/>
    <xf numFmtId="3" fontId="5" fillId="29" borderId="7" xfId="78" applyNumberFormat="1" applyFont="1" applyFill="1" applyBorder="1" applyAlignment="1">
      <alignment horizontal="center"/>
    </xf>
    <xf numFmtId="1" fontId="5" fillId="29" borderId="7" xfId="97" applyNumberFormat="1" applyFont="1" applyFill="1" applyBorder="1" applyAlignment="1">
      <alignment horizontal="right"/>
    </xf>
    <xf numFmtId="1" fontId="5" fillId="29" borderId="0" xfId="97" applyNumberFormat="1" applyFont="1" applyFill="1" applyBorder="1" applyAlignment="1">
      <alignment horizontal="right"/>
    </xf>
    <xf numFmtId="0" fontId="5" fillId="29" borderId="8" xfId="158" applyFont="1" applyFill="1" applyBorder="1" applyAlignment="1">
      <alignment horizontal="right"/>
    </xf>
    <xf numFmtId="49" fontId="5" fillId="29" borderId="8" xfId="158" applyNumberFormat="1" applyFont="1" applyFill="1" applyBorder="1" applyAlignment="1">
      <alignment horizontal="right"/>
    </xf>
    <xf numFmtId="169" fontId="5" fillId="29" borderId="0" xfId="78" quotePrefix="1" applyFont="1" applyFill="1" applyBorder="1" applyAlignment="1">
      <alignment horizontal="left"/>
    </xf>
    <xf numFmtId="10" fontId="5" fillId="29" borderId="0" xfId="78" applyNumberFormat="1" applyFont="1" applyFill="1" applyAlignment="1">
      <alignment horizontal="right"/>
    </xf>
    <xf numFmtId="0" fontId="5" fillId="29" borderId="0" xfId="158" applyFont="1" applyFill="1" applyAlignment="1">
      <alignment horizontal="right"/>
    </xf>
    <xf numFmtId="169" fontId="5" fillId="29" borderId="0" xfId="78" applyFont="1" applyFill="1" applyBorder="1" applyAlignment="1">
      <alignment horizontal="left" indent="2"/>
    </xf>
    <xf numFmtId="4" fontId="5" fillId="29" borderId="0" xfId="78" applyNumberFormat="1" applyFont="1" applyFill="1" applyAlignment="1">
      <alignment horizontal="right"/>
    </xf>
    <xf numFmtId="4" fontId="5" fillId="29" borderId="0" xfId="158" applyNumberFormat="1" applyFont="1" applyFill="1" applyAlignment="1">
      <alignment horizontal="right"/>
    </xf>
    <xf numFmtId="4" fontId="8" fillId="29" borderId="0" xfId="158" applyNumberFormat="1" applyFont="1" applyFill="1"/>
    <xf numFmtId="2" fontId="5" fillId="29" borderId="0" xfId="158" applyNumberFormat="1" applyFont="1" applyFill="1"/>
    <xf numFmtId="2" fontId="5" fillId="29" borderId="0" xfId="158" applyNumberFormat="1" applyFont="1" applyFill="1" applyAlignment="1">
      <alignment horizontal="right"/>
    </xf>
    <xf numFmtId="2" fontId="5" fillId="29" borderId="12" xfId="158" applyNumberFormat="1" applyFont="1" applyFill="1" applyBorder="1" applyAlignment="1">
      <alignment horizontal="right"/>
    </xf>
    <xf numFmtId="4" fontId="5" fillId="29" borderId="0" xfId="78" applyNumberFormat="1" applyFont="1" applyFill="1" applyBorder="1" applyAlignment="1">
      <alignment horizontal="right"/>
    </xf>
    <xf numFmtId="4" fontId="8" fillId="29" borderId="0" xfId="97" applyNumberFormat="1" applyFont="1" applyFill="1" applyAlignment="1">
      <alignment horizontal="right"/>
    </xf>
    <xf numFmtId="169" fontId="4" fillId="29" borderId="0" xfId="78" applyFont="1" applyFill="1"/>
    <xf numFmtId="4" fontId="5" fillId="29" borderId="0" xfId="158" applyNumberFormat="1" applyFont="1" applyFill="1"/>
    <xf numFmtId="4" fontId="5" fillId="29" borderId="0" xfId="97" applyNumberFormat="1" applyFont="1" applyFill="1" applyAlignment="1">
      <alignment horizontal="right"/>
    </xf>
    <xf numFmtId="169" fontId="5" fillId="29" borderId="0" xfId="97" applyFont="1" applyFill="1" applyBorder="1"/>
    <xf numFmtId="4" fontId="5" fillId="29" borderId="0" xfId="97" applyNumberFormat="1" applyFont="1" applyFill="1" applyBorder="1" applyAlignment="1">
      <alignment horizontal="right"/>
    </xf>
    <xf numFmtId="0" fontId="5" fillId="29" borderId="0" xfId="130" applyFont="1" applyFill="1" applyAlignment="1">
      <alignment horizontal="left" indent="1"/>
    </xf>
    <xf numFmtId="169" fontId="5" fillId="29" borderId="7" xfId="78" applyFont="1" applyFill="1" applyBorder="1" applyAlignment="1">
      <alignment horizontal="center" vertical="center"/>
    </xf>
    <xf numFmtId="169" fontId="5" fillId="29" borderId="7" xfId="78" applyFont="1" applyFill="1" applyBorder="1" applyAlignment="1">
      <alignment vertical="center"/>
    </xf>
    <xf numFmtId="3" fontId="5" fillId="29" borderId="7" xfId="78" applyNumberFormat="1" applyFont="1" applyFill="1" applyBorder="1" applyAlignment="1">
      <alignment vertical="center"/>
    </xf>
    <xf numFmtId="4" fontId="5" fillId="29" borderId="7" xfId="78" applyNumberFormat="1" applyFont="1" applyFill="1" applyBorder="1" applyAlignment="1">
      <alignment horizontal="right" vertical="center"/>
    </xf>
    <xf numFmtId="4" fontId="5" fillId="29" borderId="7" xfId="97" applyNumberFormat="1" applyFont="1" applyFill="1" applyBorder="1" applyAlignment="1">
      <alignment horizontal="right" vertical="center"/>
    </xf>
    <xf numFmtId="4" fontId="5" fillId="29" borderId="7" xfId="158" applyNumberFormat="1" applyFont="1" applyFill="1" applyBorder="1" applyAlignment="1">
      <alignment horizontal="right" vertical="center"/>
    </xf>
    <xf numFmtId="4" fontId="8" fillId="29" borderId="7" xfId="158" applyNumberFormat="1" applyFont="1" applyFill="1" applyBorder="1"/>
    <xf numFmtId="2" fontId="5" fillId="29" borderId="7" xfId="158" applyNumberFormat="1" applyFont="1" applyFill="1" applyBorder="1" applyAlignment="1">
      <alignment vertical="center"/>
    </xf>
    <xf numFmtId="4" fontId="5" fillId="29" borderId="7" xfId="158" applyNumberFormat="1" applyFont="1" applyFill="1" applyBorder="1" applyAlignment="1">
      <alignment vertical="center"/>
    </xf>
    <xf numFmtId="2" fontId="5" fillId="29" borderId="7" xfId="158" applyNumberFormat="1" applyFont="1" applyFill="1" applyBorder="1" applyAlignment="1">
      <alignment horizontal="right" vertical="center"/>
    </xf>
    <xf numFmtId="2" fontId="5" fillId="29" borderId="13" xfId="158" applyNumberFormat="1" applyFont="1" applyFill="1" applyBorder="1" applyAlignment="1">
      <alignment horizontal="right"/>
    </xf>
    <xf numFmtId="0" fontId="5" fillId="29" borderId="0" xfId="158" applyFont="1" applyFill="1" applyAlignment="1">
      <alignment vertical="center"/>
    </xf>
    <xf numFmtId="0" fontId="5" fillId="29" borderId="0" xfId="158" applyFont="1" applyFill="1" applyAlignment="1"/>
    <xf numFmtId="169" fontId="5" fillId="29" borderId="8" xfId="0" applyFont="1" applyFill="1" applyBorder="1"/>
    <xf numFmtId="169" fontId="7" fillId="29" borderId="7" xfId="78" applyFont="1" applyFill="1" applyBorder="1" applyAlignment="1">
      <alignment horizontal="center"/>
    </xf>
    <xf numFmtId="0" fontId="5" fillId="29" borderId="0" xfId="158" applyFont="1" applyFill="1" applyBorder="1" applyAlignment="1">
      <alignment horizontal="right"/>
    </xf>
    <xf numFmtId="3" fontId="7" fillId="29" borderId="0" xfId="158" applyNumberFormat="1" applyFont="1" applyFill="1"/>
    <xf numFmtId="3" fontId="7" fillId="29" borderId="0" xfId="158" applyNumberFormat="1" applyFont="1" applyFill="1" applyAlignment="1">
      <alignment horizontal="right"/>
    </xf>
    <xf numFmtId="0" fontId="7" fillId="29" borderId="0" xfId="158" applyFont="1" applyFill="1" applyAlignment="1">
      <alignment horizontal="right"/>
    </xf>
    <xf numFmtId="3" fontId="5" fillId="29" borderId="0" xfId="158" applyNumberFormat="1" applyFont="1" applyFill="1" applyAlignment="1">
      <alignment horizontal="right"/>
    </xf>
    <xf numFmtId="0" fontId="5" fillId="29" borderId="0" xfId="158" applyFont="1" applyFill="1" applyAlignment="1">
      <alignment wrapText="1"/>
    </xf>
    <xf numFmtId="0" fontId="5" fillId="29" borderId="7" xfId="158" applyFont="1" applyFill="1" applyBorder="1"/>
    <xf numFmtId="0" fontId="5" fillId="29" borderId="7" xfId="158" applyFont="1" applyFill="1" applyBorder="1" applyAlignment="1"/>
    <xf numFmtId="3" fontId="5" fillId="29" borderId="7" xfId="158" applyNumberFormat="1" applyFont="1" applyFill="1" applyBorder="1" applyAlignment="1">
      <alignment horizontal="right"/>
    </xf>
    <xf numFmtId="0" fontId="123" fillId="29" borderId="0" xfId="158" applyFont="1" applyFill="1"/>
    <xf numFmtId="0" fontId="5" fillId="29" borderId="9" xfId="158" applyFont="1" applyFill="1" applyBorder="1" applyAlignment="1">
      <alignment horizontal="left" wrapText="1" indent="1"/>
    </xf>
    <xf numFmtId="3" fontId="5" fillId="29" borderId="9" xfId="158" applyNumberFormat="1" applyFont="1" applyFill="1" applyBorder="1" applyAlignment="1">
      <alignment horizontal="right"/>
    </xf>
    <xf numFmtId="0" fontId="5" fillId="29" borderId="0" xfId="158" applyFont="1" applyFill="1" applyBorder="1" applyAlignment="1">
      <alignment horizontal="left" indent="1"/>
    </xf>
    <xf numFmtId="3" fontId="5" fillId="29" borderId="0" xfId="158" applyNumberFormat="1" applyFont="1" applyFill="1" applyBorder="1" applyAlignment="1">
      <alignment horizontal="right"/>
    </xf>
    <xf numFmtId="0" fontId="5" fillId="29" borderId="0" xfId="158" applyFont="1" applyFill="1" applyBorder="1" applyAlignment="1">
      <alignment horizontal="left" wrapText="1" indent="1"/>
    </xf>
    <xf numFmtId="0" fontId="5" fillId="29" borderId="7" xfId="158" applyFont="1" applyFill="1" applyBorder="1" applyAlignment="1">
      <alignment horizontal="left" wrapText="1" indent="1"/>
    </xf>
    <xf numFmtId="0" fontId="5" fillId="29" borderId="0" xfId="158" applyFont="1" applyFill="1" applyAlignment="1">
      <alignment vertical="top"/>
    </xf>
    <xf numFmtId="3" fontId="5" fillId="29" borderId="0" xfId="158" applyNumberFormat="1" applyFont="1" applyFill="1" applyAlignment="1">
      <alignment horizontal="center"/>
    </xf>
    <xf numFmtId="3" fontId="5" fillId="29" borderId="9" xfId="158" applyNumberFormat="1" applyFont="1" applyFill="1" applyBorder="1"/>
    <xf numFmtId="0" fontId="5" fillId="29" borderId="9" xfId="158" applyFont="1" applyFill="1" applyBorder="1" applyAlignment="1">
      <alignment horizontal="left"/>
    </xf>
    <xf numFmtId="0" fontId="5" fillId="29" borderId="0" xfId="158" applyFont="1" applyFill="1" applyBorder="1" applyAlignment="1">
      <alignment horizontal="left"/>
    </xf>
    <xf numFmtId="0" fontId="5" fillId="29" borderId="0" xfId="158" applyFont="1" applyFill="1" applyAlignment="1">
      <alignment horizontal="left" wrapText="1"/>
    </xf>
    <xf numFmtId="169" fontId="4" fillId="29" borderId="0" xfId="78" applyFont="1" applyFill="1" applyAlignment="1">
      <alignment wrapText="1"/>
    </xf>
    <xf numFmtId="0" fontId="8" fillId="29" borderId="0" xfId="158" applyFont="1" applyFill="1" applyAlignment="1">
      <alignment horizontal="left" indent="2"/>
    </xf>
    <xf numFmtId="0" fontId="5" fillId="29" borderId="0" xfId="158" applyFont="1" applyFill="1" applyAlignment="1">
      <alignment horizontal="left" indent="2"/>
    </xf>
    <xf numFmtId="0" fontId="5" fillId="29" borderId="0" xfId="158" applyFont="1" applyFill="1" applyAlignment="1">
      <alignment horizontal="left" vertical="top"/>
    </xf>
    <xf numFmtId="0" fontId="5" fillId="29" borderId="0" xfId="158" applyFont="1" applyFill="1" applyAlignment="1">
      <alignment horizontal="left" vertical="top" wrapText="1"/>
    </xf>
    <xf numFmtId="0" fontId="22" fillId="29" borderId="0" xfId="189" applyFont="1" applyFill="1"/>
    <xf numFmtId="3" fontId="5" fillId="29" borderId="0" xfId="158" applyNumberFormat="1" applyFont="1" applyFill="1" applyAlignment="1">
      <alignment horizontal="right" vertical="center"/>
    </xf>
    <xf numFmtId="3" fontId="5" fillId="29" borderId="0" xfId="158" applyNumberFormat="1" applyFont="1" applyFill="1" applyBorder="1" applyAlignment="1">
      <alignment horizontal="right" vertical="center"/>
    </xf>
    <xf numFmtId="3" fontId="5" fillId="29" borderId="7" xfId="158" applyNumberFormat="1" applyFont="1" applyFill="1" applyBorder="1" applyAlignment="1">
      <alignment horizontal="center"/>
    </xf>
    <xf numFmtId="0" fontId="5" fillId="29" borderId="0" xfId="158" applyFont="1" applyFill="1" applyBorder="1" applyAlignment="1">
      <alignment vertical="top"/>
    </xf>
    <xf numFmtId="3" fontId="5" fillId="29" borderId="0" xfId="158" applyNumberFormat="1" applyFont="1" applyFill="1" applyAlignment="1">
      <alignment horizontal="center" vertical="top"/>
    </xf>
    <xf numFmtId="170" fontId="5" fillId="29" borderId="7" xfId="0" applyNumberFormat="1" applyFont="1" applyFill="1" applyBorder="1" applyAlignment="1">
      <alignment horizontal="center"/>
    </xf>
    <xf numFmtId="170" fontId="5" fillId="29" borderId="0" xfId="0" applyNumberFormat="1" applyFont="1" applyFill="1" applyBorder="1" applyAlignment="1">
      <alignment horizontal="center"/>
    </xf>
    <xf numFmtId="169" fontId="5" fillId="29" borderId="0" xfId="0" quotePrefix="1" applyFont="1" applyFill="1" applyBorder="1" applyAlignment="1">
      <alignment horizontal="left"/>
    </xf>
    <xf numFmtId="10" fontId="5" fillId="29" borderId="0" xfId="0" applyNumberFormat="1" applyFont="1" applyFill="1" applyAlignment="1">
      <alignment horizontal="center"/>
    </xf>
    <xf numFmtId="171" fontId="5" fillId="29" borderId="0" xfId="97" applyNumberFormat="1" applyFont="1" applyFill="1" applyAlignment="1">
      <alignment horizontal="center"/>
    </xf>
    <xf numFmtId="171" fontId="5" fillId="29" borderId="0" xfId="177" applyNumberFormat="1" applyFont="1" applyFill="1" applyAlignment="1">
      <alignment horizontal="center"/>
    </xf>
    <xf numFmtId="169" fontId="5" fillId="29" borderId="0" xfId="0" applyFont="1" applyFill="1" applyBorder="1" applyAlignment="1">
      <alignment vertical="center"/>
    </xf>
    <xf numFmtId="171" fontId="5" fillId="29" borderId="0" xfId="97" applyNumberFormat="1" applyFont="1" applyFill="1" applyBorder="1" applyAlignment="1">
      <alignment horizontal="center"/>
    </xf>
    <xf numFmtId="169" fontId="5" fillId="29" borderId="7" xfId="0" applyFont="1" applyFill="1" applyBorder="1" applyAlignment="1">
      <alignment vertical="center"/>
    </xf>
    <xf numFmtId="171" fontId="5" fillId="29" borderId="7" xfId="0" applyNumberFormat="1" applyFont="1" applyFill="1" applyBorder="1" applyAlignment="1">
      <alignment horizontal="center"/>
    </xf>
    <xf numFmtId="169" fontId="5" fillId="29" borderId="0" xfId="97" applyNumberFormat="1" applyFont="1" applyFill="1" applyAlignment="1">
      <alignment horizontal="left" vertical="top" wrapText="1"/>
    </xf>
    <xf numFmtId="169" fontId="4" fillId="29" borderId="0" xfId="97" applyNumberFormat="1" applyFill="1" applyAlignment="1">
      <alignment horizontal="left" vertical="top" wrapText="1"/>
    </xf>
    <xf numFmtId="169" fontId="8" fillId="29" borderId="0" xfId="0" applyFont="1" applyFill="1" applyAlignment="1"/>
    <xf numFmtId="1" fontId="5" fillId="29" borderId="0" xfId="189" applyNumberFormat="1" applyFont="1" applyFill="1" applyBorder="1" applyAlignment="1">
      <alignment horizontal="center"/>
    </xf>
    <xf numFmtId="169" fontId="7" fillId="29" borderId="0" xfId="0" applyFont="1" applyFill="1" applyAlignment="1">
      <alignment horizontal="right"/>
    </xf>
    <xf numFmtId="169" fontId="5" fillId="29" borderId="0" xfId="0" applyFont="1" applyFill="1" applyAlignment="1">
      <alignment horizontal="right"/>
    </xf>
    <xf numFmtId="3" fontId="5" fillId="29" borderId="0" xfId="97" applyNumberFormat="1" applyFont="1" applyFill="1" applyAlignment="1">
      <alignment horizontal="center"/>
    </xf>
    <xf numFmtId="3" fontId="7" fillId="29" borderId="0" xfId="0" applyNumberFormat="1" applyFont="1" applyFill="1"/>
    <xf numFmtId="3" fontId="7" fillId="29" borderId="0" xfId="0" applyNumberFormat="1" applyFont="1" applyFill="1" applyAlignment="1">
      <alignment horizontal="right"/>
    </xf>
    <xf numFmtId="3" fontId="5" fillId="29" borderId="0" xfId="0" applyNumberFormat="1" applyFont="1" applyFill="1" applyAlignment="1"/>
    <xf numFmtId="3" fontId="5" fillId="29" borderId="0" xfId="156" applyNumberFormat="1" applyFont="1" applyFill="1" applyAlignment="1">
      <alignment horizontal="left"/>
    </xf>
    <xf numFmtId="3" fontId="5" fillId="29" borderId="0" xfId="97" applyNumberFormat="1" applyFont="1" applyFill="1" applyBorder="1" applyAlignment="1">
      <alignment horizontal="center"/>
    </xf>
    <xf numFmtId="3" fontId="0" fillId="29" borderId="0" xfId="0" applyNumberFormat="1" applyFill="1" applyAlignment="1">
      <alignment horizontal="center" vertical="top" wrapText="1"/>
    </xf>
    <xf numFmtId="3" fontId="0" fillId="29" borderId="0" xfId="0" applyNumberFormat="1" applyFill="1" applyAlignment="1">
      <alignment horizontal="center" vertical="top"/>
    </xf>
    <xf numFmtId="169" fontId="4" fillId="29" borderId="0" xfId="0" applyFont="1" applyFill="1" applyAlignment="1">
      <alignment horizontal="left" vertical="top" wrapText="1"/>
    </xf>
    <xf numFmtId="3" fontId="0" fillId="29" borderId="0" xfId="0" applyNumberFormat="1" applyFill="1" applyAlignment="1">
      <alignment horizontal="left" vertical="top" wrapText="1"/>
    </xf>
    <xf numFmtId="0" fontId="7" fillId="29" borderId="7" xfId="158" applyFont="1" applyFill="1" applyBorder="1"/>
    <xf numFmtId="169" fontId="4" fillId="29" borderId="7" xfId="0" applyFont="1" applyFill="1" applyBorder="1" applyAlignment="1">
      <alignment horizontal="left" vertical="top" wrapText="1"/>
    </xf>
    <xf numFmtId="169" fontId="0" fillId="29" borderId="7" xfId="0" applyFill="1" applyBorder="1" applyAlignment="1">
      <alignment horizontal="left" vertical="top" wrapText="1"/>
    </xf>
    <xf numFmtId="3" fontId="0" fillId="29" borderId="7" xfId="0" applyNumberFormat="1" applyFill="1" applyBorder="1" applyAlignment="1">
      <alignment horizontal="center" vertical="top" wrapText="1"/>
    </xf>
    <xf numFmtId="3" fontId="5" fillId="29" borderId="7" xfId="97" applyNumberFormat="1" applyFont="1" applyFill="1" applyBorder="1" applyAlignment="1">
      <alignment horizontal="center"/>
    </xf>
    <xf numFmtId="169" fontId="5" fillId="29" borderId="7" xfId="0" applyFont="1" applyFill="1" applyBorder="1" applyAlignment="1">
      <alignment horizontal="right"/>
    </xf>
    <xf numFmtId="3" fontId="5" fillId="29" borderId="0" xfId="156" applyNumberFormat="1" applyFont="1" applyFill="1"/>
    <xf numFmtId="170" fontId="10" fillId="29" borderId="0" xfId="0" applyNumberFormat="1" applyFont="1" applyFill="1" applyAlignment="1">
      <alignment horizontal="center"/>
    </xf>
    <xf numFmtId="170" fontId="10" fillId="29" borderId="0" xfId="0" applyNumberFormat="1" applyFont="1" applyFill="1"/>
    <xf numFmtId="169" fontId="5" fillId="29" borderId="9" xfId="0" applyFont="1" applyFill="1" applyBorder="1"/>
    <xf numFmtId="169" fontId="5" fillId="29" borderId="8" xfId="0" applyFont="1" applyFill="1" applyBorder="1" applyAlignment="1"/>
    <xf numFmtId="170" fontId="5" fillId="29" borderId="0" xfId="0" applyNumberFormat="1" applyFont="1" applyFill="1" applyAlignment="1">
      <alignment horizontal="right"/>
    </xf>
    <xf numFmtId="170" fontId="5" fillId="29" borderId="0" xfId="0" applyNumberFormat="1" applyFont="1" applyFill="1" applyAlignment="1"/>
    <xf numFmtId="3" fontId="5" fillId="29" borderId="0" xfId="0" applyNumberFormat="1" applyFont="1" applyFill="1" applyAlignment="1">
      <alignment horizontal="right"/>
    </xf>
    <xf numFmtId="169" fontId="7" fillId="29" borderId="0" xfId="0" applyFont="1" applyFill="1" applyAlignment="1"/>
    <xf numFmtId="169" fontId="7" fillId="29" borderId="0" xfId="0" applyFont="1" applyFill="1" applyBorder="1" applyAlignment="1">
      <alignment horizontal="right"/>
    </xf>
    <xf numFmtId="3" fontId="5" fillId="29" borderId="7" xfId="0" applyNumberFormat="1" applyFont="1" applyFill="1" applyBorder="1" applyAlignment="1">
      <alignment horizontal="right"/>
    </xf>
    <xf numFmtId="3" fontId="5" fillId="29" borderId="0" xfId="0" applyNumberFormat="1" applyFont="1" applyFill="1" applyBorder="1" applyAlignment="1">
      <alignment horizontal="right"/>
    </xf>
    <xf numFmtId="3" fontId="5" fillId="29" borderId="0" xfId="0" applyNumberFormat="1" applyFont="1" applyFill="1" applyBorder="1" applyAlignment="1"/>
    <xf numFmtId="1" fontId="5" fillId="29" borderId="7" xfId="0" applyNumberFormat="1" applyFont="1" applyFill="1" applyBorder="1" applyAlignment="1">
      <alignment horizontal="right"/>
    </xf>
    <xf numFmtId="1" fontId="5" fillId="29" borderId="8" xfId="0" applyNumberFormat="1" applyFont="1" applyFill="1" applyBorder="1" applyAlignment="1">
      <alignment horizontal="right"/>
    </xf>
    <xf numFmtId="1" fontId="5" fillId="29" borderId="8" xfId="0" applyNumberFormat="1" applyFont="1" applyFill="1" applyBorder="1" applyAlignment="1"/>
    <xf numFmtId="170" fontId="5" fillId="29" borderId="0" xfId="0" applyNumberFormat="1" applyFont="1" applyFill="1" applyBorder="1" applyAlignment="1">
      <alignment horizontal="right"/>
    </xf>
    <xf numFmtId="170" fontId="5" fillId="29" borderId="0" xfId="97" applyNumberFormat="1" applyFont="1" applyFill="1" applyBorder="1" applyAlignment="1"/>
    <xf numFmtId="170" fontId="5" fillId="29" borderId="0" xfId="0" applyNumberFormat="1" applyFont="1" applyFill="1" applyBorder="1" applyAlignment="1"/>
    <xf numFmtId="170" fontId="5" fillId="29" borderId="0" xfId="80" applyNumberFormat="1" applyFont="1" applyFill="1" applyAlignment="1">
      <alignment horizontal="right"/>
    </xf>
    <xf numFmtId="1" fontId="5" fillId="29" borderId="0" xfId="78" applyNumberFormat="1" applyFont="1" applyFill="1"/>
    <xf numFmtId="2" fontId="5" fillId="29" borderId="0" xfId="78" applyNumberFormat="1" applyFont="1" applyFill="1"/>
    <xf numFmtId="170" fontId="5" fillId="29" borderId="9" xfId="0" applyNumberFormat="1" applyFont="1" applyFill="1" applyBorder="1" applyAlignment="1">
      <alignment horizontal="center"/>
    </xf>
    <xf numFmtId="170" fontId="5" fillId="29" borderId="9" xfId="0" applyNumberFormat="1" applyFont="1" applyFill="1" applyBorder="1" applyAlignment="1">
      <alignment horizontal="right"/>
    </xf>
    <xf numFmtId="170" fontId="5" fillId="29" borderId="9" xfId="78" applyNumberFormat="1" applyFont="1" applyFill="1" applyBorder="1" applyAlignment="1"/>
    <xf numFmtId="170" fontId="5" fillId="29" borderId="0" xfId="97" applyNumberFormat="1" applyFont="1" applyFill="1" applyAlignment="1">
      <alignment horizontal="right"/>
    </xf>
    <xf numFmtId="170" fontId="5" fillId="29" borderId="0" xfId="97" applyNumberFormat="1" applyFont="1" applyFill="1" applyAlignment="1"/>
    <xf numFmtId="170" fontId="5" fillId="29" borderId="0" xfId="0" applyNumberFormat="1" applyFont="1" applyFill="1" applyBorder="1"/>
    <xf numFmtId="170" fontId="5" fillId="29" borderId="0" xfId="97" applyNumberFormat="1" applyFont="1" applyFill="1" applyBorder="1" applyAlignment="1">
      <alignment horizontal="right"/>
    </xf>
    <xf numFmtId="170" fontId="5" fillId="29" borderId="9" xfId="97" applyNumberFormat="1" applyFont="1" applyFill="1" applyBorder="1" applyAlignment="1">
      <alignment horizontal="right"/>
    </xf>
    <xf numFmtId="170" fontId="5" fillId="29" borderId="9" xfId="97" applyNumberFormat="1" applyFont="1" applyFill="1" applyBorder="1" applyAlignment="1"/>
    <xf numFmtId="169" fontId="5" fillId="29" borderId="0" xfId="0" applyFont="1" applyFill="1" applyBorder="1" applyAlignment="1"/>
    <xf numFmtId="171" fontId="5" fillId="29" borderId="0" xfId="0" applyNumberFormat="1" applyFont="1" applyFill="1" applyBorder="1" applyAlignment="1">
      <alignment horizontal="right"/>
    </xf>
    <xf numFmtId="171" fontId="5" fillId="29" borderId="0" xfId="80" applyNumberFormat="1" applyFont="1" applyFill="1" applyBorder="1" applyAlignment="1">
      <alignment horizontal="right"/>
    </xf>
    <xf numFmtId="171" fontId="5" fillId="29" borderId="0" xfId="80" applyNumberFormat="1" applyFont="1" applyFill="1" applyBorder="1" applyAlignment="1"/>
    <xf numFmtId="171" fontId="5" fillId="29" borderId="0" xfId="0" applyNumberFormat="1" applyFont="1" applyFill="1" applyBorder="1" applyAlignment="1"/>
    <xf numFmtId="171" fontId="5" fillId="29" borderId="0" xfId="0" applyNumberFormat="1" applyFont="1" applyFill="1" applyBorder="1"/>
    <xf numFmtId="170" fontId="5" fillId="29" borderId="0" xfId="80" applyNumberFormat="1" applyFont="1" applyFill="1" applyAlignment="1"/>
    <xf numFmtId="172" fontId="5" fillId="29" borderId="0" xfId="0" applyNumberFormat="1" applyFont="1" applyFill="1"/>
    <xf numFmtId="170" fontId="5" fillId="29" borderId="7" xfId="0" applyNumberFormat="1" applyFont="1" applyFill="1" applyBorder="1" applyAlignment="1">
      <alignment horizontal="right"/>
    </xf>
    <xf numFmtId="169" fontId="5" fillId="29" borderId="7" xfId="0" applyFont="1" applyFill="1" applyBorder="1" applyAlignment="1"/>
    <xf numFmtId="170" fontId="5" fillId="29" borderId="7" xfId="0" applyNumberFormat="1" applyFont="1" applyFill="1" applyBorder="1"/>
    <xf numFmtId="170" fontId="5" fillId="29" borderId="7" xfId="0" applyNumberFormat="1" applyFont="1" applyFill="1" applyBorder="1" applyAlignment="1"/>
    <xf numFmtId="170" fontId="5" fillId="29" borderId="0" xfId="189" applyNumberFormat="1" applyFont="1" applyFill="1" applyBorder="1" applyAlignment="1">
      <alignment horizontal="right"/>
    </xf>
    <xf numFmtId="0" fontId="5" fillId="29" borderId="0" xfId="189" applyFont="1" applyFill="1" applyAlignment="1">
      <alignment horizontal="right"/>
    </xf>
    <xf numFmtId="171" fontId="7" fillId="29" borderId="0" xfId="0" applyNumberFormat="1" applyFont="1" applyFill="1" applyAlignment="1">
      <alignment horizontal="right"/>
    </xf>
    <xf numFmtId="171" fontId="5" fillId="29" borderId="0" xfId="0" applyNumberFormat="1" applyFont="1" applyFill="1" applyAlignment="1">
      <alignment horizontal="right"/>
    </xf>
    <xf numFmtId="169" fontId="0" fillId="29" borderId="0" xfId="0" applyFill="1" applyAlignment="1">
      <alignment vertical="top" wrapText="1"/>
    </xf>
    <xf numFmtId="170" fontId="5" fillId="29" borderId="7" xfId="189" applyNumberFormat="1" applyFont="1" applyFill="1" applyBorder="1" applyAlignment="1">
      <alignment horizontal="right"/>
    </xf>
    <xf numFmtId="1" fontId="5" fillId="29" borderId="8" xfId="189" applyNumberFormat="1" applyFont="1" applyFill="1" applyBorder="1" applyAlignment="1">
      <alignment horizontal="right"/>
    </xf>
    <xf numFmtId="170" fontId="7" fillId="29" borderId="7" xfId="0" applyNumberFormat="1" applyFont="1" applyFill="1" applyBorder="1"/>
    <xf numFmtId="170" fontId="7" fillId="29" borderId="7" xfId="0" applyNumberFormat="1" applyFont="1" applyFill="1" applyBorder="1" applyAlignment="1">
      <alignment horizontal="center"/>
    </xf>
    <xf numFmtId="170" fontId="7" fillId="29" borderId="7" xfId="0" applyNumberFormat="1" applyFont="1" applyFill="1" applyBorder="1" applyAlignment="1">
      <alignment horizontal="right"/>
    </xf>
    <xf numFmtId="170" fontId="7" fillId="29" borderId="7" xfId="0" applyNumberFormat="1" applyFont="1" applyFill="1" applyBorder="1" applyAlignment="1"/>
    <xf numFmtId="170" fontId="7" fillId="29" borderId="0" xfId="0" applyNumberFormat="1" applyFont="1" applyFill="1" applyBorder="1"/>
    <xf numFmtId="170" fontId="7" fillId="29" borderId="0" xfId="0" applyNumberFormat="1" applyFont="1" applyFill="1" applyBorder="1" applyAlignment="1">
      <alignment horizontal="center"/>
    </xf>
    <xf numFmtId="170" fontId="7" fillId="29" borderId="0" xfId="0" applyNumberFormat="1" applyFont="1" applyFill="1" applyBorder="1" applyAlignment="1">
      <alignment horizontal="right"/>
    </xf>
    <xf numFmtId="170" fontId="7" fillId="29" borderId="0" xfId="0" applyNumberFormat="1" applyFont="1" applyFill="1" applyBorder="1" applyAlignment="1"/>
    <xf numFmtId="170" fontId="7" fillId="29" borderId="0" xfId="0" applyNumberFormat="1" applyFont="1" applyFill="1"/>
    <xf numFmtId="2" fontId="5" fillId="29" borderId="0" xfId="0" applyNumberFormat="1" applyFont="1" applyFill="1"/>
    <xf numFmtId="2" fontId="5" fillId="29" borderId="0" xfId="189" applyNumberFormat="1" applyFont="1" applyFill="1"/>
    <xf numFmtId="3" fontId="5" fillId="29" borderId="0" xfId="78" applyNumberFormat="1" applyFont="1" applyFill="1" applyBorder="1"/>
    <xf numFmtId="3" fontId="5" fillId="29" borderId="0" xfId="78" applyNumberFormat="1" applyFont="1" applyFill="1" applyBorder="1" applyAlignment="1"/>
    <xf numFmtId="3" fontId="5" fillId="29" borderId="7" xfId="78" applyNumberFormat="1" applyFont="1" applyFill="1" applyBorder="1" applyAlignment="1"/>
    <xf numFmtId="1" fontId="5" fillId="29" borderId="7" xfId="78" applyNumberFormat="1" applyFont="1" applyFill="1" applyBorder="1" applyAlignment="1">
      <alignment horizontal="center"/>
    </xf>
    <xf numFmtId="1" fontId="5" fillId="29" borderId="9" xfId="78" applyNumberFormat="1" applyFont="1" applyFill="1" applyBorder="1" applyAlignment="1">
      <alignment horizontal="center"/>
    </xf>
    <xf numFmtId="1" fontId="5" fillId="29" borderId="0" xfId="78" applyNumberFormat="1" applyFont="1" applyFill="1" applyBorder="1" applyAlignment="1">
      <alignment horizontal="center"/>
    </xf>
    <xf numFmtId="169" fontId="5" fillId="29" borderId="0" xfId="78" applyFont="1" applyFill="1" applyAlignment="1">
      <alignment horizontal="right"/>
    </xf>
    <xf numFmtId="172" fontId="5" fillId="29" borderId="0" xfId="78" applyNumberFormat="1" applyFont="1" applyFill="1" applyAlignment="1">
      <alignment horizontal="center"/>
    </xf>
    <xf numFmtId="172" fontId="117" fillId="29" borderId="0" xfId="12" applyNumberFormat="1" applyFont="1" applyFill="1" applyAlignment="1">
      <alignment horizontal="center"/>
    </xf>
    <xf numFmtId="172" fontId="117" fillId="29" borderId="0" xfId="40" applyNumberFormat="1" applyFont="1" applyFill="1" applyAlignment="1">
      <alignment horizontal="center"/>
    </xf>
    <xf numFmtId="187" fontId="5" fillId="29" borderId="0" xfId="40" applyNumberFormat="1" applyFont="1" applyFill="1" applyAlignment="1">
      <alignment horizontal="center"/>
    </xf>
    <xf numFmtId="10" fontId="5" fillId="29" borderId="7" xfId="78" applyNumberFormat="1" applyFont="1" applyFill="1" applyBorder="1" applyAlignment="1"/>
    <xf numFmtId="10" fontId="5" fillId="29" borderId="0" xfId="78" applyNumberFormat="1" applyFont="1" applyFill="1" applyAlignment="1"/>
    <xf numFmtId="169" fontId="5" fillId="29" borderId="9" xfId="78" applyFont="1" applyFill="1" applyBorder="1" applyAlignment="1"/>
    <xf numFmtId="3" fontId="5" fillId="29" borderId="0" xfId="78" applyNumberFormat="1" applyFont="1" applyFill="1" applyAlignment="1">
      <alignment horizontal="left"/>
    </xf>
    <xf numFmtId="3" fontId="5" fillId="29" borderId="0" xfId="189" applyNumberFormat="1" applyFont="1" applyFill="1" applyBorder="1" applyAlignment="1"/>
    <xf numFmtId="171" fontId="7" fillId="29" borderId="0" xfId="78" applyNumberFormat="1" applyFont="1" applyFill="1" applyAlignment="1"/>
    <xf numFmtId="171" fontId="5" fillId="29" borderId="0" xfId="78" applyNumberFormat="1" applyFont="1" applyFill="1" applyAlignment="1"/>
    <xf numFmtId="3" fontId="5" fillId="29" borderId="7" xfId="189" applyNumberFormat="1" applyFont="1" applyFill="1" applyBorder="1" applyAlignment="1"/>
    <xf numFmtId="0" fontId="5" fillId="29" borderId="7" xfId="189" applyFont="1" applyFill="1" applyBorder="1" applyAlignment="1"/>
    <xf numFmtId="3" fontId="7" fillId="29" borderId="0" xfId="78" applyNumberFormat="1" applyFont="1" applyFill="1"/>
    <xf numFmtId="3" fontId="5" fillId="29" borderId="0" xfId="78" applyNumberFormat="1" applyFont="1" applyFill="1" applyAlignment="1">
      <alignment horizontal="right"/>
    </xf>
    <xf numFmtId="3" fontId="117" fillId="29" borderId="0" xfId="12" applyNumberFormat="1" applyFont="1" applyFill="1" applyAlignment="1">
      <alignment horizontal="center"/>
    </xf>
    <xf numFmtId="3" fontId="117" fillId="29" borderId="0" xfId="40" applyNumberFormat="1" applyFont="1" applyFill="1" applyAlignment="1">
      <alignment horizontal="center"/>
    </xf>
    <xf numFmtId="3" fontId="5" fillId="29" borderId="0" xfId="40" applyNumberFormat="1" applyFont="1" applyFill="1" applyAlignment="1">
      <alignment horizontal="center"/>
    </xf>
    <xf numFmtId="3" fontId="52" fillId="29" borderId="0" xfId="78" applyNumberFormat="1" applyFont="1" applyFill="1" applyAlignment="1">
      <alignment horizontal="center"/>
    </xf>
    <xf numFmtId="169" fontId="117" fillId="29" borderId="0" xfId="242" applyNumberFormat="1" applyFont="1" applyFill="1"/>
    <xf numFmtId="169" fontId="5" fillId="29" borderId="0" xfId="80" applyFont="1" applyFill="1" applyBorder="1" applyAlignment="1">
      <alignment vertical="top"/>
    </xf>
    <xf numFmtId="169" fontId="117" fillId="29" borderId="0" xfId="242" applyNumberFormat="1" applyFont="1" applyFill="1" applyBorder="1" applyAlignment="1">
      <alignment vertical="top" wrapText="1"/>
    </xf>
    <xf numFmtId="169" fontId="16" fillId="29" borderId="0" xfId="78" applyFont="1" applyFill="1"/>
    <xf numFmtId="169" fontId="16" fillId="29" borderId="0" xfId="78" applyFont="1" applyFill="1" applyAlignment="1">
      <alignment wrapText="1"/>
    </xf>
    <xf numFmtId="169" fontId="115" fillId="29" borderId="0" xfId="78" applyFont="1" applyFill="1"/>
    <xf numFmtId="3" fontId="115" fillId="29" borderId="0" xfId="78" applyNumberFormat="1" applyFont="1" applyFill="1"/>
    <xf numFmtId="3" fontId="115" fillId="29" borderId="0" xfId="78" applyNumberFormat="1" applyFont="1" applyFill="1" applyAlignment="1">
      <alignment horizontal="right"/>
    </xf>
    <xf numFmtId="3" fontId="7" fillId="29" borderId="0" xfId="40" applyNumberFormat="1" applyFont="1" applyFill="1" applyAlignment="1">
      <alignment horizontal="center"/>
    </xf>
    <xf numFmtId="3" fontId="117" fillId="29" borderId="0" xfId="12" applyNumberFormat="1" applyFont="1" applyFill="1" applyBorder="1" applyAlignment="1">
      <alignment horizontal="center"/>
    </xf>
    <xf numFmtId="0" fontId="5" fillId="29" borderId="0" xfId="139" applyFont="1" applyFill="1"/>
    <xf numFmtId="3" fontId="117" fillId="29" borderId="0" xfId="14" applyNumberFormat="1" applyFont="1" applyFill="1" applyAlignment="1">
      <alignment horizontal="center"/>
    </xf>
    <xf numFmtId="3" fontId="5" fillId="29" borderId="0" xfId="139" applyNumberFormat="1" applyFont="1" applyFill="1" applyAlignment="1">
      <alignment horizontal="center"/>
    </xf>
    <xf numFmtId="0" fontId="5" fillId="29" borderId="0" xfId="139" applyFont="1" applyFill="1" applyAlignment="1">
      <alignment horizontal="left" indent="2"/>
    </xf>
    <xf numFmtId="169" fontId="118" fillId="29" borderId="0" xfId="242" applyNumberFormat="1" applyFont="1" applyFill="1"/>
    <xf numFmtId="3" fontId="117" fillId="29" borderId="7" xfId="40" applyNumberFormat="1" applyFont="1" applyFill="1" applyBorder="1" applyAlignment="1">
      <alignment horizontal="center"/>
    </xf>
    <xf numFmtId="169" fontId="8" fillId="29" borderId="0" xfId="78" applyFont="1" applyFill="1" applyBorder="1" applyAlignment="1">
      <alignment vertical="center"/>
    </xf>
    <xf numFmtId="169" fontId="117" fillId="29" borderId="0" xfId="242" applyNumberFormat="1" applyFont="1" applyFill="1" applyBorder="1" applyAlignment="1">
      <alignment vertical="center"/>
    </xf>
    <xf numFmtId="169" fontId="1" fillId="29" borderId="0" xfId="242" applyNumberFormat="1" applyFill="1"/>
    <xf numFmtId="169" fontId="5" fillId="29" borderId="7" xfId="78" applyFont="1" applyFill="1" applyBorder="1" applyAlignment="1">
      <alignment horizontal="left" vertical="top" wrapText="1"/>
    </xf>
    <xf numFmtId="169" fontId="5" fillId="29" borderId="7" xfId="78" applyFont="1" applyFill="1" applyBorder="1" applyAlignment="1">
      <alignment vertical="top" wrapText="1"/>
    </xf>
    <xf numFmtId="169" fontId="5" fillId="29" borderId="7" xfId="78" applyFont="1" applyFill="1" applyBorder="1" applyAlignment="1">
      <alignment vertical="top"/>
    </xf>
    <xf numFmtId="169" fontId="53" fillId="29" borderId="0" xfId="78" applyFont="1" applyFill="1"/>
    <xf numFmtId="169" fontId="5" fillId="29" borderId="0" xfId="78" applyFont="1" applyFill="1" applyAlignment="1">
      <alignment vertical="top" wrapText="1"/>
    </xf>
    <xf numFmtId="169" fontId="5" fillId="29" borderId="0" xfId="78" applyFont="1" applyFill="1" applyAlignment="1">
      <alignment vertical="top"/>
    </xf>
    <xf numFmtId="169" fontId="5" fillId="29" borderId="0" xfId="78" applyFont="1" applyFill="1" applyAlignment="1">
      <alignment horizontal="left" vertical="top"/>
    </xf>
    <xf numFmtId="3" fontId="10" fillId="29" borderId="0" xfId="78" applyNumberFormat="1" applyFont="1" applyFill="1" applyBorder="1" applyAlignment="1"/>
    <xf numFmtId="169" fontId="10" fillId="29" borderId="0" xfId="78" applyFont="1" applyFill="1"/>
    <xf numFmtId="172" fontId="5" fillId="29" borderId="0" xfId="78" applyNumberFormat="1" applyFont="1" applyFill="1" applyAlignment="1"/>
    <xf numFmtId="0" fontId="5" fillId="29" borderId="0" xfId="165" applyFont="1" applyFill="1" applyAlignment="1">
      <alignment horizontal="center"/>
    </xf>
    <xf numFmtId="0" fontId="5" fillId="29" borderId="9" xfId="165" applyFont="1" applyFill="1" applyBorder="1"/>
    <xf numFmtId="0" fontId="5" fillId="29" borderId="7" xfId="165" applyFont="1" applyFill="1" applyBorder="1"/>
    <xf numFmtId="0" fontId="5" fillId="29" borderId="8" xfId="165" applyFont="1" applyFill="1" applyBorder="1" applyAlignment="1">
      <alignment horizontal="center"/>
    </xf>
    <xf numFmtId="0" fontId="5" fillId="29" borderId="8" xfId="165" applyFont="1" applyFill="1" applyBorder="1"/>
    <xf numFmtId="170" fontId="5" fillId="29" borderId="0" xfId="165" applyNumberFormat="1" applyFont="1" applyFill="1"/>
    <xf numFmtId="3" fontId="5" fillId="29" borderId="0" xfId="165" applyNumberFormat="1" applyFont="1" applyFill="1" applyAlignment="1">
      <alignment horizontal="center"/>
    </xf>
    <xf numFmtId="3" fontId="5" fillId="29" borderId="0" xfId="165" applyNumberFormat="1" applyFont="1" applyFill="1"/>
    <xf numFmtId="0" fontId="5" fillId="29" borderId="0" xfId="125" applyNumberFormat="1" applyFont="1" applyFill="1"/>
    <xf numFmtId="3" fontId="8" fillId="29" borderId="0" xfId="165" applyNumberFormat="1" applyFont="1" applyFill="1" applyAlignment="1">
      <alignment horizontal="center"/>
    </xf>
    <xf numFmtId="0" fontId="130" fillId="29" borderId="0" xfId="69" applyFont="1" applyFill="1" applyAlignment="1" applyProtection="1"/>
    <xf numFmtId="170" fontId="5" fillId="29" borderId="0" xfId="165" applyNumberFormat="1" applyFont="1" applyFill="1" applyAlignment="1">
      <alignment horizontal="center"/>
    </xf>
    <xf numFmtId="170" fontId="5" fillId="29" borderId="7" xfId="165" applyNumberFormat="1" applyFont="1" applyFill="1" applyBorder="1"/>
    <xf numFmtId="169" fontId="7" fillId="29" borderId="0" xfId="0" applyFont="1" applyFill="1" applyBorder="1" applyAlignment="1">
      <alignment horizontal="left" vertical="center"/>
    </xf>
    <xf numFmtId="169" fontId="5" fillId="29" borderId="0" xfId="0" applyFont="1" applyFill="1" applyBorder="1" applyAlignment="1">
      <alignment horizontal="center" vertical="center"/>
    </xf>
    <xf numFmtId="0" fontId="8" fillId="29" borderId="0" xfId="165" applyFont="1" applyFill="1"/>
    <xf numFmtId="169" fontId="4" fillId="29" borderId="0" xfId="97" applyNumberFormat="1" applyFont="1" applyFill="1" applyAlignment="1">
      <alignment horizontal="left" vertical="top" wrapText="1"/>
    </xf>
    <xf numFmtId="169" fontId="4" fillId="29" borderId="0" xfId="0" applyFont="1" applyFill="1"/>
    <xf numFmtId="169" fontId="4" fillId="29" borderId="0" xfId="0" applyFont="1" applyFill="1" applyAlignment="1">
      <alignment horizontal="left" vertical="top" wrapText="1"/>
    </xf>
    <xf numFmtId="1" fontId="5" fillId="29" borderId="7" xfId="189" applyNumberFormat="1" applyFont="1" applyFill="1" applyBorder="1" applyAlignment="1">
      <alignment horizontal="center"/>
    </xf>
    <xf numFmtId="169" fontId="5" fillId="29" borderId="0" xfId="97" applyFont="1" applyFill="1"/>
    <xf numFmtId="170" fontId="5" fillId="29" borderId="0" xfId="97" applyNumberFormat="1" applyFont="1" applyFill="1"/>
    <xf numFmtId="170" fontId="5" fillId="29" borderId="0" xfId="97" applyNumberFormat="1" applyFont="1" applyFill="1" applyAlignment="1">
      <alignment horizontal="center"/>
    </xf>
    <xf numFmtId="0" fontId="7" fillId="29" borderId="0" xfId="165" applyFont="1" applyFill="1"/>
    <xf numFmtId="170" fontId="7" fillId="29" borderId="0" xfId="165" applyNumberFormat="1" applyFont="1" applyFill="1"/>
    <xf numFmtId="3" fontId="7" fillId="29" borderId="0" xfId="165" applyNumberFormat="1" applyFont="1" applyFill="1" applyAlignment="1">
      <alignment horizontal="center"/>
    </xf>
    <xf numFmtId="3" fontId="5" fillId="29" borderId="0" xfId="165" applyNumberFormat="1" applyFont="1" applyFill="1" applyBorder="1" applyAlignment="1">
      <alignment horizontal="center"/>
    </xf>
    <xf numFmtId="170" fontId="5" fillId="29" borderId="0" xfId="165" applyNumberFormat="1" applyFont="1" applyFill="1" applyBorder="1" applyAlignment="1">
      <alignment horizontal="center"/>
    </xf>
    <xf numFmtId="0" fontId="125" fillId="29" borderId="0" xfId="125" applyNumberFormat="1" applyFont="1" applyFill="1"/>
    <xf numFmtId="0" fontId="5" fillId="29" borderId="0" xfId="0" applyNumberFormat="1" applyFont="1" applyFill="1"/>
    <xf numFmtId="3" fontId="8" fillId="29" borderId="0" xfId="165" applyNumberFormat="1" applyFont="1" applyFill="1" applyBorder="1" applyAlignment="1">
      <alignment horizontal="center"/>
    </xf>
    <xf numFmtId="170" fontId="8" fillId="29" borderId="0" xfId="165" applyNumberFormat="1" applyFont="1" applyFill="1" applyBorder="1" applyAlignment="1">
      <alignment horizontal="center"/>
    </xf>
    <xf numFmtId="0" fontId="5" fillId="29" borderId="0" xfId="0" applyNumberFormat="1" applyFont="1" applyFill="1" applyAlignment="1">
      <alignment wrapText="1"/>
    </xf>
    <xf numFmtId="169" fontId="22" fillId="29" borderId="0" xfId="97" applyFont="1" applyFill="1"/>
    <xf numFmtId="3" fontId="7" fillId="29" borderId="0" xfId="165" applyNumberFormat="1" applyFont="1" applyFill="1" applyBorder="1" applyAlignment="1">
      <alignment horizontal="center"/>
    </xf>
    <xf numFmtId="0" fontId="5" fillId="29" borderId="0" xfId="165" applyFont="1" applyFill="1" applyBorder="1" applyAlignment="1">
      <alignment horizontal="center"/>
    </xf>
    <xf numFmtId="0" fontId="5" fillId="29" borderId="7" xfId="165" applyFont="1" applyFill="1" applyBorder="1" applyAlignment="1">
      <alignment horizontal="center"/>
    </xf>
    <xf numFmtId="0" fontId="5" fillId="29" borderId="0" xfId="165" applyFont="1" applyFill="1" applyAlignment="1">
      <alignment horizontal="left" vertical="top" wrapText="1"/>
    </xf>
    <xf numFmtId="0" fontId="35" fillId="29" borderId="0" xfId="69" applyFill="1" applyAlignment="1" applyProtection="1"/>
    <xf numFmtId="170" fontId="5" fillId="29" borderId="7" xfId="78" applyNumberFormat="1" applyFont="1" applyFill="1" applyBorder="1"/>
    <xf numFmtId="170" fontId="5" fillId="29" borderId="0" xfId="78" applyNumberFormat="1" applyFont="1" applyFill="1" applyBorder="1" applyAlignment="1">
      <alignment horizontal="center"/>
    </xf>
    <xf numFmtId="170" fontId="115" fillId="29" borderId="0" xfId="78" applyNumberFormat="1" applyFont="1" applyFill="1" applyAlignment="1">
      <alignment horizontal="center"/>
    </xf>
    <xf numFmtId="1" fontId="5" fillId="29" borderId="8" xfId="78" applyNumberFormat="1" applyFont="1" applyFill="1" applyBorder="1" applyAlignment="1">
      <alignment horizontal="center"/>
    </xf>
    <xf numFmtId="10" fontId="5" fillId="29" borderId="0" xfId="78" applyNumberFormat="1" applyFont="1" applyFill="1" applyAlignment="1">
      <alignment horizontal="center"/>
    </xf>
    <xf numFmtId="3" fontId="108" fillId="29" borderId="0" xfId="243" applyNumberFormat="1" applyFill="1" applyAlignment="1">
      <alignment horizontal="center"/>
    </xf>
    <xf numFmtId="170" fontId="108" fillId="29" borderId="0" xfId="243" applyNumberFormat="1" applyFill="1" applyAlignment="1">
      <alignment horizontal="center"/>
    </xf>
    <xf numFmtId="3" fontId="119" fillId="29" borderId="0" xfId="78" applyNumberFormat="1" applyFont="1" applyFill="1" applyAlignment="1">
      <alignment horizontal="center"/>
    </xf>
    <xf numFmtId="169" fontId="5" fillId="29" borderId="0" xfId="78" applyFont="1" applyFill="1" applyBorder="1" applyAlignment="1">
      <alignment vertical="center"/>
    </xf>
    <xf numFmtId="0" fontId="5" fillId="29" borderId="0" xfId="78" applyNumberFormat="1" applyFont="1" applyFill="1"/>
    <xf numFmtId="3" fontId="54" fillId="29" borderId="0" xfId="80" applyNumberFormat="1" applyFont="1" applyFill="1" applyAlignment="1">
      <alignment horizontal="center"/>
    </xf>
    <xf numFmtId="171" fontId="131" fillId="29" borderId="0" xfId="80" applyNumberFormat="1" applyFont="1" applyFill="1" applyAlignment="1">
      <alignment horizontal="center"/>
    </xf>
    <xf numFmtId="171" fontId="54" fillId="29" borderId="0" xfId="80" applyNumberFormat="1" applyFont="1" applyFill="1" applyAlignment="1">
      <alignment horizontal="center"/>
    </xf>
    <xf numFmtId="171" fontId="5" fillId="29" borderId="0" xfId="78" applyNumberFormat="1" applyFont="1" applyFill="1" applyBorder="1" applyAlignment="1">
      <alignment horizontal="center"/>
    </xf>
    <xf numFmtId="169" fontId="8" fillId="29" borderId="0" xfId="78" applyFont="1" applyFill="1" applyAlignment="1"/>
    <xf numFmtId="170" fontId="7" fillId="29" borderId="0" xfId="78" applyNumberFormat="1" applyFont="1" applyFill="1"/>
    <xf numFmtId="0" fontId="8" fillId="29" borderId="0" xfId="134" applyFont="1" applyFill="1"/>
    <xf numFmtId="0" fontId="5" fillId="29" borderId="0" xfId="134" applyFont="1" applyFill="1"/>
    <xf numFmtId="0" fontId="8" fillId="29" borderId="0" xfId="78" applyNumberFormat="1" applyFont="1" applyFill="1"/>
    <xf numFmtId="4" fontId="5" fillId="29" borderId="0" xfId="78" applyNumberFormat="1" applyFont="1" applyFill="1" applyAlignment="1">
      <alignment horizontal="center"/>
    </xf>
    <xf numFmtId="169" fontId="136" fillId="29" borderId="0" xfId="78" applyFont="1" applyFill="1"/>
    <xf numFmtId="170" fontId="5" fillId="31" borderId="0" xfId="78" applyNumberFormat="1" applyFont="1" applyFill="1" applyAlignment="1">
      <alignment horizontal="center"/>
    </xf>
    <xf numFmtId="3" fontId="5" fillId="31" borderId="0" xfId="78" applyNumberFormat="1" applyFont="1" applyFill="1" applyAlignment="1">
      <alignment horizontal="center"/>
    </xf>
    <xf numFmtId="3" fontId="5" fillId="29" borderId="0" xfId="136" applyNumberFormat="1" applyFont="1" applyFill="1" applyAlignment="1">
      <alignment horizontal="center"/>
    </xf>
    <xf numFmtId="169" fontId="4" fillId="29" borderId="0" xfId="78" applyFont="1" applyFill="1" applyAlignment="1">
      <alignment horizontal="left" vertical="top" wrapText="1"/>
    </xf>
    <xf numFmtId="169" fontId="4" fillId="29" borderId="0" xfId="78" applyFont="1" applyFill="1" applyAlignment="1">
      <alignment horizontal="center" vertical="top" wrapText="1"/>
    </xf>
    <xf numFmtId="169" fontId="4" fillId="29" borderId="0" xfId="78" applyFont="1" applyFill="1" applyAlignment="1">
      <alignment horizontal="center" vertical="top"/>
    </xf>
    <xf numFmtId="169" fontId="12" fillId="29" borderId="0" xfId="78" applyFont="1" applyFill="1" applyAlignment="1">
      <alignment horizontal="left" vertical="top" wrapText="1"/>
    </xf>
    <xf numFmtId="3" fontId="5" fillId="29" borderId="0" xfId="78" applyNumberFormat="1" applyFont="1" applyFill="1" applyAlignment="1">
      <alignment horizontal="center" vertical="center"/>
    </xf>
    <xf numFmtId="169" fontId="5" fillId="29" borderId="0" xfId="78" applyFont="1" applyFill="1" applyAlignment="1">
      <alignment horizontal="center" vertical="top" wrapText="1"/>
    </xf>
    <xf numFmtId="169" fontId="5" fillId="29" borderId="0" xfId="78" applyFont="1" applyFill="1" applyAlignment="1">
      <alignment horizontal="center" vertical="top"/>
    </xf>
    <xf numFmtId="3" fontId="5" fillId="29" borderId="0" xfId="136" applyNumberFormat="1" applyFont="1" applyFill="1" applyAlignment="1">
      <alignment horizontal="center" vertical="center"/>
    </xf>
    <xf numFmtId="0" fontId="12" fillId="29" borderId="0" xfId="78" applyNumberFormat="1" applyFont="1" applyFill="1"/>
    <xf numFmtId="0" fontId="7" fillId="29" borderId="0" xfId="78" applyNumberFormat="1" applyFont="1" applyFill="1"/>
    <xf numFmtId="170" fontId="10" fillId="29" borderId="0" xfId="78" applyNumberFormat="1" applyFont="1" applyFill="1"/>
    <xf numFmtId="170" fontId="10" fillId="29" borderId="0" xfId="78" applyNumberFormat="1" applyFont="1" applyFill="1" applyAlignment="1">
      <alignment horizontal="center"/>
    </xf>
    <xf numFmtId="0" fontId="12" fillId="29" borderId="7" xfId="78" applyNumberFormat="1" applyFont="1" applyFill="1" applyBorder="1"/>
    <xf numFmtId="170" fontId="10" fillId="29" borderId="7" xfId="78" applyNumberFormat="1" applyFont="1" applyFill="1" applyBorder="1"/>
    <xf numFmtId="170" fontId="10" fillId="29" borderId="7" xfId="78" applyNumberFormat="1" applyFont="1" applyFill="1" applyBorder="1" applyAlignment="1">
      <alignment horizontal="center"/>
    </xf>
    <xf numFmtId="0" fontId="54" fillId="29" borderId="0" xfId="78" applyNumberFormat="1" applyFont="1" applyFill="1"/>
    <xf numFmtId="169" fontId="54" fillId="29" borderId="0" xfId="78" applyFont="1" applyFill="1"/>
    <xf numFmtId="169" fontId="54" fillId="29" borderId="0" xfId="78" applyFont="1" applyFill="1" applyAlignment="1">
      <alignment horizontal="center"/>
    </xf>
    <xf numFmtId="169" fontId="54" fillId="29" borderId="0" xfId="78" quotePrefix="1" applyFont="1" applyFill="1"/>
    <xf numFmtId="169" fontId="56" fillId="29" borderId="0" xfId="78" applyFont="1" applyFill="1"/>
    <xf numFmtId="170" fontId="54" fillId="29" borderId="0" xfId="78" applyNumberFormat="1" applyFont="1" applyFill="1"/>
    <xf numFmtId="170" fontId="54" fillId="29" borderId="0" xfId="78" applyNumberFormat="1" applyFont="1" applyFill="1" applyAlignment="1">
      <alignment horizontal="center"/>
    </xf>
    <xf numFmtId="0" fontId="5" fillId="29" borderId="0" xfId="172" applyFont="1" applyFill="1"/>
    <xf numFmtId="170" fontId="5" fillId="29" borderId="0" xfId="78" applyNumberFormat="1" applyFont="1" applyFill="1" applyBorder="1"/>
    <xf numFmtId="169" fontId="120" fillId="29" borderId="0" xfId="78" applyFont="1" applyFill="1"/>
    <xf numFmtId="3" fontId="4" fillId="29" borderId="0" xfId="78" applyNumberFormat="1" applyFill="1"/>
    <xf numFmtId="171" fontId="7" fillId="29" borderId="0" xfId="189" applyNumberFormat="1" applyFont="1" applyFill="1" applyBorder="1"/>
    <xf numFmtId="171" fontId="7" fillId="29" borderId="0" xfId="78" applyNumberFormat="1" applyFont="1" applyFill="1"/>
    <xf numFmtId="171" fontId="5" fillId="29" borderId="0" xfId="78" applyNumberFormat="1" applyFont="1" applyFill="1"/>
    <xf numFmtId="171" fontId="5" fillId="29" borderId="0" xfId="189" applyNumberFormat="1" applyFont="1" applyFill="1"/>
    <xf numFmtId="171" fontId="5" fillId="29" borderId="0" xfId="189" applyNumberFormat="1" applyFont="1" applyFill="1" applyBorder="1"/>
    <xf numFmtId="169" fontId="4" fillId="29" borderId="7" xfId="78" applyFill="1" applyBorder="1"/>
    <xf numFmtId="0" fontId="7" fillId="29" borderId="0" xfId="158" applyFont="1" applyFill="1" applyAlignment="1">
      <alignment horizontal="center"/>
    </xf>
    <xf numFmtId="0" fontId="8" fillId="29" borderId="0" xfId="78" applyNumberFormat="1" applyFont="1" applyFill="1" applyAlignment="1">
      <alignment horizontal="left" vertical="center"/>
    </xf>
    <xf numFmtId="0" fontId="8" fillId="29" borderId="0" xfId="78" applyNumberFormat="1" applyFont="1" applyFill="1" applyAlignment="1">
      <alignment horizontal="center" vertical="center" wrapText="1"/>
    </xf>
    <xf numFmtId="165" fontId="117" fillId="29" borderId="0" xfId="245" applyFont="1" applyFill="1" applyBorder="1" applyAlignment="1">
      <alignment horizontal="center"/>
    </xf>
    <xf numFmtId="165" fontId="117" fillId="29" borderId="0" xfId="245" applyFont="1" applyFill="1" applyBorder="1" applyAlignment="1">
      <alignment horizontal="center" vertical="top"/>
    </xf>
    <xf numFmtId="165" fontId="117" fillId="29" borderId="0" xfId="245" applyFont="1" applyFill="1" applyAlignment="1">
      <alignment horizontal="center"/>
    </xf>
    <xf numFmtId="0" fontId="5" fillId="29" borderId="0" xfId="172" applyFont="1" applyFill="1" applyAlignment="1">
      <alignment horizontal="center"/>
    </xf>
    <xf numFmtId="0" fontId="8" fillId="29" borderId="0" xfId="78" applyNumberFormat="1" applyFont="1" applyFill="1" applyAlignment="1">
      <alignment horizontal="left"/>
    </xf>
    <xf numFmtId="0" fontId="8" fillId="29" borderId="0" xfId="78" applyNumberFormat="1" applyFont="1" applyFill="1" applyAlignment="1">
      <alignment horizontal="center"/>
    </xf>
    <xf numFmtId="0" fontId="7" fillId="29" borderId="0" xfId="78" applyNumberFormat="1" applyFont="1" applyFill="1" applyAlignment="1">
      <alignment horizontal="center"/>
    </xf>
    <xf numFmtId="170" fontId="117" fillId="29" borderId="0" xfId="245" applyNumberFormat="1" applyFont="1" applyFill="1" applyBorder="1" applyAlignment="1">
      <alignment horizontal="center" vertical="center"/>
    </xf>
    <xf numFmtId="170" fontId="117" fillId="29" borderId="0" xfId="245" applyNumberFormat="1" applyFont="1" applyFill="1" applyBorder="1" applyAlignment="1">
      <alignment horizontal="center"/>
    </xf>
    <xf numFmtId="170" fontId="117" fillId="29" borderId="0" xfId="245" applyNumberFormat="1" applyFont="1" applyFill="1" applyAlignment="1">
      <alignment horizontal="center"/>
    </xf>
    <xf numFmtId="0" fontId="7" fillId="29" borderId="0" xfId="158" applyFont="1" applyFill="1" applyAlignment="1">
      <alignment horizontal="left"/>
    </xf>
    <xf numFmtId="193" fontId="5" fillId="29" borderId="0" xfId="246" applyNumberFormat="1" applyFont="1" applyFill="1" applyAlignment="1">
      <alignment horizontal="center"/>
    </xf>
    <xf numFmtId="170" fontId="5" fillId="29" borderId="0" xfId="246" applyNumberFormat="1" applyFont="1" applyFill="1" applyAlignment="1">
      <alignment horizontal="center"/>
    </xf>
    <xf numFmtId="0" fontId="22" fillId="29" borderId="0" xfId="189" applyFont="1" applyFill="1" applyAlignment="1">
      <alignment horizontal="center"/>
    </xf>
    <xf numFmtId="0" fontId="5" fillId="29" borderId="0" xfId="172" applyFont="1" applyFill="1" applyAlignment="1">
      <alignment horizontal="left"/>
    </xf>
    <xf numFmtId="169" fontId="4" fillId="29" borderId="0" xfId="78" applyFill="1" applyAlignment="1">
      <alignment horizontal="center" vertical="top" wrapText="1"/>
    </xf>
    <xf numFmtId="169" fontId="5" fillId="29" borderId="0" xfId="78" applyFont="1" applyFill="1" applyAlignment="1">
      <alignment horizontal="right" readingOrder="1"/>
    </xf>
    <xf numFmtId="0" fontId="117" fillId="29" borderId="0" xfId="132" applyFont="1" applyFill="1" applyBorder="1" applyAlignment="1">
      <alignment horizontal="left"/>
    </xf>
    <xf numFmtId="4" fontId="7" fillId="29" borderId="0" xfId="132" applyNumberFormat="1" applyFont="1" applyFill="1" applyBorder="1"/>
    <xf numFmtId="0" fontId="117" fillId="29" borderId="0" xfId="132" applyFont="1" applyFill="1"/>
    <xf numFmtId="0" fontId="5" fillId="29" borderId="0" xfId="78" applyNumberFormat="1" applyFont="1" applyFill="1" applyAlignment="1">
      <alignment horizontal="left"/>
    </xf>
    <xf numFmtId="0" fontId="117" fillId="29" borderId="0" xfId="132" applyFont="1" applyFill="1" applyBorder="1" applyAlignment="1">
      <alignment horizontal="left" vertical="top"/>
    </xf>
    <xf numFmtId="0" fontId="5" fillId="29" borderId="0" xfId="78" applyNumberFormat="1" applyFont="1" applyFill="1" applyAlignment="1">
      <alignment horizontal="left" vertical="top"/>
    </xf>
    <xf numFmtId="0" fontId="117" fillId="29" borderId="0" xfId="132" applyFont="1" applyFill="1" applyAlignment="1">
      <alignment horizontal="left" vertical="top"/>
    </xf>
    <xf numFmtId="172" fontId="8" fillId="29" borderId="0" xfId="0" applyNumberFormat="1" applyFont="1" applyFill="1" applyAlignment="1">
      <alignment horizontal="center"/>
    </xf>
    <xf numFmtId="0" fontId="5" fillId="29" borderId="0" xfId="189" applyFont="1" applyFill="1" applyBorder="1" applyAlignment="1">
      <alignment horizontal="center"/>
    </xf>
    <xf numFmtId="0" fontId="5" fillId="29" borderId="0" xfId="189" applyFont="1" applyFill="1" applyBorder="1" applyAlignment="1"/>
    <xf numFmtId="3" fontId="5" fillId="29" borderId="0" xfId="189" applyNumberFormat="1" applyFont="1" applyFill="1" applyAlignment="1"/>
    <xf numFmtId="3" fontId="8" fillId="29" borderId="0" xfId="189" applyNumberFormat="1" applyFont="1" applyFill="1" applyAlignment="1"/>
    <xf numFmtId="3" fontId="8" fillId="29" borderId="0" xfId="189" applyNumberFormat="1" applyFont="1" applyFill="1" applyAlignment="1">
      <alignment horizontal="center"/>
    </xf>
    <xf numFmtId="3" fontId="5" fillId="29" borderId="9" xfId="189" applyNumberFormat="1" applyFont="1" applyFill="1" applyBorder="1" applyAlignment="1"/>
    <xf numFmtId="3" fontId="5" fillId="29" borderId="9" xfId="189" applyNumberFormat="1" applyFont="1" applyFill="1" applyBorder="1"/>
    <xf numFmtId="0" fontId="5" fillId="29" borderId="8" xfId="189" applyFont="1" applyFill="1" applyBorder="1" applyAlignment="1">
      <alignment horizontal="center" vertical="center"/>
    </xf>
    <xf numFmtId="1" fontId="5" fillId="29" borderId="8" xfId="80" applyNumberFormat="1" applyFont="1" applyFill="1" applyBorder="1" applyAlignment="1">
      <alignment horizontal="center" vertical="center"/>
    </xf>
    <xf numFmtId="170" fontId="7" fillId="29" borderId="0" xfId="80" applyNumberFormat="1" applyFont="1" applyFill="1" applyBorder="1" applyAlignment="1"/>
    <xf numFmtId="172" fontId="7" fillId="29" borderId="0" xfId="80" applyNumberFormat="1" applyFont="1" applyFill="1" applyBorder="1" applyAlignment="1"/>
    <xf numFmtId="196" fontId="5" fillId="29" borderId="0" xfId="189" applyNumberFormat="1" applyFont="1" applyFill="1" applyBorder="1" applyAlignment="1"/>
    <xf numFmtId="170" fontId="16" fillId="29" borderId="0" xfId="80" applyNumberFormat="1" applyFont="1" applyFill="1" applyAlignment="1"/>
    <xf numFmtId="196" fontId="5" fillId="29" borderId="0" xfId="80" applyNumberFormat="1" applyFont="1" applyFill="1" applyAlignment="1"/>
    <xf numFmtId="170" fontId="5" fillId="29" borderId="0" xfId="80" applyNumberFormat="1" applyFont="1" applyFill="1" applyBorder="1" applyAlignment="1"/>
    <xf numFmtId="196" fontId="16" fillId="29" borderId="0" xfId="189" applyNumberFormat="1" applyFont="1" applyFill="1" applyBorder="1" applyAlignment="1"/>
    <xf numFmtId="170" fontId="5" fillId="29" borderId="7" xfId="80" applyNumberFormat="1" applyFont="1" applyFill="1" applyBorder="1" applyAlignment="1"/>
    <xf numFmtId="169" fontId="5" fillId="29" borderId="0" xfId="80" quotePrefix="1" applyFont="1" applyFill="1"/>
    <xf numFmtId="169" fontId="7" fillId="29" borderId="0" xfId="80" quotePrefix="1" applyFont="1" applyFill="1"/>
    <xf numFmtId="169" fontId="7" fillId="29" borderId="0" xfId="80" applyFont="1" applyFill="1" applyAlignment="1"/>
    <xf numFmtId="1" fontId="5" fillId="29" borderId="8" xfId="80" applyNumberFormat="1" applyFont="1" applyFill="1" applyBorder="1" applyAlignment="1">
      <alignment vertical="center"/>
    </xf>
    <xf numFmtId="170" fontId="7" fillId="29" borderId="0" xfId="189" applyNumberFormat="1" applyFont="1" applyFill="1" applyBorder="1" applyAlignment="1"/>
    <xf numFmtId="196" fontId="5" fillId="29" borderId="0" xfId="164" applyNumberFormat="1" applyFont="1" applyFill="1" applyBorder="1" applyAlignment="1"/>
    <xf numFmtId="170" fontId="5" fillId="29" borderId="0" xfId="164" applyNumberFormat="1" applyFont="1" applyFill="1" applyBorder="1" applyAlignment="1"/>
    <xf numFmtId="0" fontId="8" fillId="29" borderId="0" xfId="189" applyFont="1" applyFill="1"/>
    <xf numFmtId="170" fontId="8" fillId="29" borderId="0" xfId="189" applyNumberFormat="1" applyFont="1" applyFill="1" applyAlignment="1"/>
    <xf numFmtId="196" fontId="8" fillId="29" borderId="0" xfId="189" quotePrefix="1" applyNumberFormat="1" applyFont="1" applyFill="1" applyBorder="1" applyAlignment="1"/>
    <xf numFmtId="0" fontId="8" fillId="29" borderId="0" xfId="189" applyFont="1" applyFill="1" applyAlignment="1"/>
    <xf numFmtId="170" fontId="8" fillId="29" borderId="0" xfId="189" applyNumberFormat="1" applyFont="1" applyFill="1" applyBorder="1" applyAlignment="1"/>
    <xf numFmtId="0" fontId="8" fillId="29" borderId="0" xfId="189" applyFont="1" applyFill="1" applyAlignment="1">
      <alignment horizontal="center"/>
    </xf>
    <xf numFmtId="3" fontId="8" fillId="29" borderId="0" xfId="189" applyNumberFormat="1" applyFont="1" applyFill="1"/>
    <xf numFmtId="3" fontId="8" fillId="29" borderId="0" xfId="189" applyNumberFormat="1" applyFont="1" applyFill="1" applyBorder="1" applyAlignment="1">
      <alignment horizontal="center"/>
    </xf>
    <xf numFmtId="0" fontId="5" fillId="29" borderId="0" xfId="189" applyFont="1" applyFill="1" applyBorder="1" applyAlignment="1">
      <alignment horizontal="right"/>
    </xf>
    <xf numFmtId="197" fontId="5" fillId="29" borderId="0" xfId="189" applyNumberFormat="1" applyFont="1" applyFill="1"/>
    <xf numFmtId="0" fontId="5" fillId="29" borderId="0" xfId="189" quotePrefix="1" applyFont="1" applyFill="1"/>
    <xf numFmtId="49" fontId="5" fillId="29" borderId="0" xfId="158" applyNumberFormat="1" applyFont="1" applyFill="1" applyAlignment="1">
      <alignment horizontal="left" vertical="top"/>
    </xf>
    <xf numFmtId="49" fontId="7" fillId="29" borderId="0" xfId="185" applyNumberFormat="1" applyFont="1" applyFill="1" applyBorder="1" applyAlignment="1">
      <alignment horizontal="left"/>
    </xf>
    <xf numFmtId="169" fontId="7" fillId="29" borderId="0" xfId="185" applyNumberFormat="1" applyFont="1" applyFill="1" applyBorder="1"/>
    <xf numFmtId="10" fontId="5" fillId="29" borderId="0" xfId="166" applyNumberFormat="1" applyFont="1" applyFill="1" applyBorder="1"/>
    <xf numFmtId="49" fontId="5" fillId="29" borderId="0" xfId="185" applyNumberFormat="1" applyFont="1" applyFill="1" applyBorder="1" applyAlignment="1">
      <alignment horizontal="left"/>
    </xf>
    <xf numFmtId="169" fontId="5" fillId="29" borderId="9" xfId="185" applyNumberFormat="1" applyFont="1" applyFill="1" applyBorder="1" applyAlignment="1">
      <alignment horizontal="left"/>
    </xf>
    <xf numFmtId="1" fontId="5" fillId="29" borderId="9" xfId="166" applyNumberFormat="1" applyFont="1" applyFill="1" applyBorder="1" applyAlignment="1">
      <alignment horizontal="right"/>
    </xf>
    <xf numFmtId="169" fontId="5" fillId="29" borderId="0" xfId="166" applyFont="1" applyFill="1" applyBorder="1" applyAlignment="1">
      <alignment horizontal="center"/>
    </xf>
    <xf numFmtId="169" fontId="5" fillId="29" borderId="0" xfId="185" applyNumberFormat="1" applyFont="1" applyFill="1" applyBorder="1"/>
    <xf numFmtId="169" fontId="5" fillId="29" borderId="0" xfId="185" applyNumberFormat="1" applyFont="1" applyFill="1" applyBorder="1" applyAlignment="1">
      <alignment horizontal="left"/>
    </xf>
    <xf numFmtId="172" fontId="5" fillId="29" borderId="0" xfId="166" applyNumberFormat="1" applyFont="1" applyFill="1" applyBorder="1" applyAlignment="1">
      <alignment horizontal="right"/>
    </xf>
    <xf numFmtId="169" fontId="5" fillId="29" borderId="0" xfId="185" applyNumberFormat="1" applyFont="1" applyFill="1" applyBorder="1" applyAlignment="1"/>
    <xf numFmtId="172" fontId="5" fillId="29" borderId="0" xfId="167" applyNumberFormat="1" applyFont="1" applyFill="1" applyBorder="1"/>
    <xf numFmtId="169" fontId="7" fillId="29" borderId="0" xfId="0" applyFont="1" applyFill="1" applyAlignment="1">
      <alignment horizontal="left" vertical="center"/>
    </xf>
    <xf numFmtId="169" fontId="7" fillId="29" borderId="0" xfId="0" applyFont="1" applyFill="1" applyAlignment="1">
      <alignment horizontal="center" vertical="center"/>
    </xf>
    <xf numFmtId="0" fontId="7" fillId="29" borderId="0" xfId="158" applyFont="1" applyFill="1" applyBorder="1" applyAlignment="1">
      <alignment horizontal="left" vertical="center"/>
    </xf>
    <xf numFmtId="190" fontId="7" fillId="29" borderId="0" xfId="34" applyNumberFormat="1" applyFont="1" applyFill="1" applyBorder="1" applyAlignment="1">
      <alignment horizontal="center" vertical="center"/>
    </xf>
    <xf numFmtId="190" fontId="5" fillId="29" borderId="0" xfId="34" applyNumberFormat="1" applyFont="1" applyFill="1" applyBorder="1" applyAlignment="1">
      <alignment horizontal="center"/>
    </xf>
    <xf numFmtId="190" fontId="5" fillId="29" borderId="0" xfId="34" applyNumberFormat="1" applyFont="1" applyFill="1" applyBorder="1" applyAlignment="1" applyProtection="1">
      <alignment horizontal="center"/>
    </xf>
    <xf numFmtId="190" fontId="7" fillId="29" borderId="0" xfId="34" applyNumberFormat="1" applyFont="1" applyFill="1" applyBorder="1" applyAlignment="1">
      <alignment horizontal="center"/>
    </xf>
    <xf numFmtId="0" fontId="5" fillId="29" borderId="0" xfId="158" applyFont="1" applyFill="1" applyBorder="1" applyAlignment="1">
      <alignment vertical="center"/>
    </xf>
    <xf numFmtId="190" fontId="5" fillId="29" borderId="0" xfId="34" applyNumberFormat="1" applyFont="1" applyFill="1" applyBorder="1" applyAlignment="1">
      <alignment horizontal="center" vertical="center"/>
    </xf>
    <xf numFmtId="190" fontId="5" fillId="29" borderId="7" xfId="34" applyNumberFormat="1" applyFont="1" applyFill="1" applyBorder="1" applyAlignment="1">
      <alignment horizontal="center" vertical="center"/>
    </xf>
    <xf numFmtId="0" fontId="7" fillId="29" borderId="7" xfId="158" applyFont="1" applyFill="1" applyBorder="1" applyAlignment="1">
      <alignment horizontal="left" vertical="center"/>
    </xf>
    <xf numFmtId="0" fontId="5" fillId="29" borderId="7" xfId="158" applyFont="1" applyFill="1" applyBorder="1" applyAlignment="1">
      <alignment vertical="center"/>
    </xf>
    <xf numFmtId="190" fontId="7" fillId="29" borderId="7" xfId="34" applyNumberFormat="1" applyFont="1" applyFill="1" applyBorder="1" applyAlignment="1">
      <alignment horizontal="center" vertical="center"/>
    </xf>
    <xf numFmtId="0" fontId="5" fillId="29" borderId="0" xfId="158" applyFont="1" applyFill="1" applyBorder="1" applyAlignment="1">
      <alignment horizontal="center" vertical="center"/>
    </xf>
    <xf numFmtId="169" fontId="4" fillId="29" borderId="0" xfId="0" applyFont="1" applyFill="1" applyAlignment="1">
      <alignment horizontal="center" vertical="top" wrapText="1"/>
    </xf>
    <xf numFmtId="169" fontId="4" fillId="29" borderId="0" xfId="0" applyFont="1" applyFill="1" applyAlignment="1">
      <alignment horizontal="center" vertical="top"/>
    </xf>
    <xf numFmtId="169" fontId="8" fillId="29" borderId="0" xfId="0" applyFont="1" applyFill="1" applyBorder="1"/>
    <xf numFmtId="190" fontId="7" fillId="29" borderId="0" xfId="34" applyNumberFormat="1" applyFont="1" applyFill="1" applyBorder="1" applyAlignment="1" applyProtection="1">
      <alignment horizontal="center"/>
    </xf>
    <xf numFmtId="190" fontId="5" fillId="29" borderId="0" xfId="34" applyNumberFormat="1" applyFont="1" applyFill="1" applyBorder="1" applyAlignment="1" applyProtection="1">
      <alignment horizontal="right"/>
    </xf>
    <xf numFmtId="169" fontId="7" fillId="29" borderId="0" xfId="166" applyFont="1" applyFill="1" applyBorder="1"/>
    <xf numFmtId="169" fontId="5" fillId="29" borderId="0" xfId="166" applyFont="1" applyFill="1" applyBorder="1" applyAlignment="1">
      <alignment wrapText="1"/>
    </xf>
    <xf numFmtId="169" fontId="5" fillId="29" borderId="0" xfId="0" applyFont="1" applyFill="1" applyBorder="1" applyAlignment="1">
      <alignment horizontal="left" wrapText="1" indent="1"/>
    </xf>
    <xf numFmtId="169" fontId="5" fillId="29" borderId="0" xfId="166" applyFont="1" applyFill="1" applyBorder="1" applyAlignment="1">
      <alignment horizontal="left" wrapText="1" indent="1"/>
    </xf>
    <xf numFmtId="169" fontId="5" fillId="29" borderId="0" xfId="166" applyFont="1" applyFill="1" applyBorder="1" applyAlignment="1">
      <alignment horizontal="left" indent="1"/>
    </xf>
    <xf numFmtId="190" fontId="5" fillId="29" borderId="0" xfId="34" quotePrefix="1" applyNumberFormat="1" applyFont="1" applyFill="1" applyBorder="1" applyAlignment="1" applyProtection="1">
      <alignment horizontal="center"/>
    </xf>
    <xf numFmtId="49" fontId="5" fillId="29" borderId="0" xfId="166" applyNumberFormat="1" applyFont="1" applyFill="1" applyBorder="1"/>
    <xf numFmtId="169" fontId="7" fillId="29" borderId="0" xfId="185" applyNumberFormat="1" applyFont="1" applyFill="1" applyBorder="1" applyAlignment="1"/>
    <xf numFmtId="49" fontId="5" fillId="29" borderId="0" xfId="169" applyNumberFormat="1" applyFont="1" applyFill="1" applyBorder="1" applyAlignment="1" applyProtection="1">
      <alignment horizontal="left"/>
    </xf>
    <xf numFmtId="169" fontId="5" fillId="29" borderId="0" xfId="169" applyNumberFormat="1" applyFont="1" applyFill="1" applyBorder="1" applyAlignment="1" applyProtection="1">
      <alignment horizontal="left"/>
    </xf>
    <xf numFmtId="169" fontId="5" fillId="29" borderId="0" xfId="183" applyFont="1" applyFill="1" applyBorder="1"/>
    <xf numFmtId="0" fontId="5" fillId="29" borderId="0" xfId="169" applyFont="1" applyFill="1" applyBorder="1"/>
    <xf numFmtId="49" fontId="5" fillId="29" borderId="0" xfId="166" applyNumberFormat="1" applyFont="1" applyFill="1" applyBorder="1" applyAlignment="1" applyProtection="1">
      <alignment horizontal="left"/>
    </xf>
    <xf numFmtId="169" fontId="5" fillId="29" borderId="0" xfId="166" applyNumberFormat="1" applyFont="1" applyFill="1" applyBorder="1" applyAlignment="1" applyProtection="1"/>
    <xf numFmtId="1" fontId="5" fillId="29" borderId="0" xfId="185" applyNumberFormat="1" applyFont="1" applyFill="1" applyBorder="1"/>
    <xf numFmtId="1" fontId="7" fillId="29" borderId="0" xfId="185" applyNumberFormat="1" applyFont="1" applyFill="1" applyBorder="1" applyAlignment="1"/>
    <xf numFmtId="169" fontId="7" fillId="29" borderId="0" xfId="166" applyFont="1" applyFill="1" applyBorder="1" applyAlignment="1" applyProtection="1">
      <alignment horizontal="left"/>
    </xf>
    <xf numFmtId="49" fontId="7" fillId="29" borderId="0" xfId="166" quotePrefix="1" applyNumberFormat="1" applyFont="1" applyFill="1" applyBorder="1" applyAlignment="1" applyProtection="1">
      <alignment horizontal="left"/>
    </xf>
    <xf numFmtId="188" fontId="5" fillId="29" borderId="0" xfId="166" applyNumberFormat="1" applyFont="1" applyFill="1" applyBorder="1" applyAlignment="1">
      <alignment horizontal="right"/>
    </xf>
    <xf numFmtId="188" fontId="5" fillId="29" borderId="0" xfId="166" applyNumberFormat="1" applyFont="1" applyFill="1" applyBorder="1" applyAlignment="1">
      <alignment horizontal="center"/>
    </xf>
    <xf numFmtId="169" fontId="5" fillId="29" borderId="0" xfId="166" applyNumberFormat="1" applyFont="1" applyFill="1" applyBorder="1"/>
    <xf numFmtId="1" fontId="7" fillId="29" borderId="0" xfId="166" applyNumberFormat="1" applyFont="1" applyFill="1" applyBorder="1"/>
    <xf numFmtId="1" fontId="7" fillId="29" borderId="0" xfId="185" applyNumberFormat="1" applyFont="1" applyFill="1" applyBorder="1"/>
    <xf numFmtId="1" fontId="5" fillId="29" borderId="0" xfId="185" applyNumberFormat="1" applyFont="1" applyFill="1" applyBorder="1" applyAlignment="1"/>
    <xf numFmtId="49" fontId="7" fillId="29" borderId="0" xfId="169" applyNumberFormat="1" applyFont="1" applyFill="1" applyBorder="1" applyAlignment="1" applyProtection="1">
      <alignment horizontal="left"/>
    </xf>
    <xf numFmtId="169" fontId="7" fillId="29" borderId="0" xfId="169" applyNumberFormat="1" applyFont="1" applyFill="1" applyBorder="1" applyAlignment="1" applyProtection="1">
      <alignment horizontal="left"/>
    </xf>
    <xf numFmtId="169" fontId="7" fillId="29" borderId="0" xfId="183" applyFont="1" applyFill="1" applyBorder="1"/>
    <xf numFmtId="0" fontId="7" fillId="29" borderId="0" xfId="169" applyFont="1" applyFill="1" applyBorder="1"/>
    <xf numFmtId="169" fontId="5" fillId="29" borderId="0" xfId="166" applyFont="1" applyFill="1" applyBorder="1" applyAlignment="1" applyProtection="1">
      <alignment horizontal="left"/>
    </xf>
    <xf numFmtId="172" fontId="5" fillId="29" borderId="0" xfId="166" applyNumberFormat="1" applyFont="1" applyFill="1" applyBorder="1" applyAlignment="1" applyProtection="1">
      <alignment horizontal="right"/>
    </xf>
    <xf numFmtId="169" fontId="7" fillId="29" borderId="0" xfId="166" applyNumberFormat="1" applyFont="1" applyFill="1" applyBorder="1" applyProtection="1"/>
    <xf numFmtId="10" fontId="5" fillId="29" borderId="0" xfId="166" applyNumberFormat="1" applyFont="1" applyFill="1" applyBorder="1" applyAlignment="1">
      <alignment horizontal="right"/>
    </xf>
    <xf numFmtId="180" fontId="5" fillId="29" borderId="0" xfId="166" applyNumberFormat="1" applyFont="1" applyFill="1" applyBorder="1" applyAlignment="1">
      <alignment horizontal="right"/>
    </xf>
    <xf numFmtId="166" fontId="5" fillId="29" borderId="0" xfId="166" applyNumberFormat="1" applyFont="1" applyFill="1" applyBorder="1" applyAlignment="1" applyProtection="1">
      <alignment horizontal="left"/>
    </xf>
    <xf numFmtId="188" fontId="8" fillId="29" borderId="0" xfId="166" applyNumberFormat="1" applyFont="1" applyFill="1" applyBorder="1" applyAlignment="1" applyProtection="1">
      <alignment horizontal="center"/>
    </xf>
    <xf numFmtId="188" fontId="8" fillId="29" borderId="0" xfId="166" applyNumberFormat="1" applyFont="1" applyFill="1" applyBorder="1" applyAlignment="1" applyProtection="1">
      <alignment horizontal="right"/>
    </xf>
    <xf numFmtId="172" fontId="5" fillId="29" borderId="0" xfId="185" applyNumberFormat="1" applyFont="1" applyFill="1" applyBorder="1" applyAlignment="1">
      <alignment horizontal="center"/>
    </xf>
    <xf numFmtId="172" fontId="5" fillId="29" borderId="0" xfId="185" applyNumberFormat="1" applyFont="1" applyFill="1" applyBorder="1" applyAlignment="1">
      <alignment horizontal="right"/>
    </xf>
    <xf numFmtId="172" fontId="5" fillId="29" borderId="0" xfId="166" applyNumberFormat="1" applyFont="1" applyFill="1" applyBorder="1" applyAlignment="1" applyProtection="1">
      <alignment horizontal="center"/>
    </xf>
    <xf numFmtId="188" fontId="5" fillId="29" borderId="0" xfId="166" quotePrefix="1" applyNumberFormat="1" applyFont="1" applyFill="1" applyBorder="1" applyAlignment="1" applyProtection="1">
      <alignment horizontal="right"/>
    </xf>
    <xf numFmtId="188" fontId="8" fillId="29" borderId="0" xfId="166" quotePrefix="1" applyNumberFormat="1" applyFont="1" applyFill="1" applyBorder="1" applyAlignment="1" applyProtection="1">
      <alignment horizontal="right"/>
    </xf>
    <xf numFmtId="49" fontId="7" fillId="29" borderId="0" xfId="166" applyNumberFormat="1" applyFont="1" applyFill="1" applyBorder="1"/>
    <xf numFmtId="1" fontId="5" fillId="29" borderId="0" xfId="185" applyNumberFormat="1" applyFont="1" applyFill="1" applyBorder="1" applyAlignment="1">
      <alignment horizontal="center"/>
    </xf>
    <xf numFmtId="172" fontId="7" fillId="29" borderId="0" xfId="166" applyNumberFormat="1" applyFont="1" applyFill="1" applyBorder="1" applyAlignment="1" applyProtection="1">
      <alignment horizontal="center"/>
    </xf>
    <xf numFmtId="172" fontId="7" fillId="29" borderId="0" xfId="166" applyNumberFormat="1" applyFont="1" applyFill="1" applyBorder="1" applyAlignment="1" applyProtection="1">
      <alignment horizontal="right"/>
    </xf>
    <xf numFmtId="49" fontId="5" fillId="29" borderId="0" xfId="166" applyNumberFormat="1" applyFont="1" applyFill="1" applyBorder="1" applyProtection="1"/>
    <xf numFmtId="169" fontId="5" fillId="29" borderId="0" xfId="166" applyNumberFormat="1" applyFont="1" applyFill="1" applyBorder="1" applyAlignment="1" applyProtection="1">
      <alignment horizontal="right"/>
    </xf>
    <xf numFmtId="1" fontId="8" fillId="29" borderId="0" xfId="166" applyNumberFormat="1" applyFont="1" applyFill="1" applyBorder="1" applyAlignment="1">
      <alignment horizontal="right"/>
    </xf>
    <xf numFmtId="1" fontId="8" fillId="29" borderId="0" xfId="166" applyNumberFormat="1" applyFont="1" applyFill="1" applyBorder="1" applyAlignment="1" applyProtection="1">
      <alignment horizontal="right"/>
    </xf>
    <xf numFmtId="1" fontId="8" fillId="29" borderId="0" xfId="166" applyNumberFormat="1" applyFont="1" applyFill="1" applyBorder="1"/>
    <xf numFmtId="1" fontId="5" fillId="29" borderId="0" xfId="166" applyNumberFormat="1" applyFont="1" applyFill="1" applyBorder="1" applyAlignment="1">
      <alignment horizontal="center"/>
    </xf>
    <xf numFmtId="169" fontId="7" fillId="29" borderId="0" xfId="166" applyNumberFormat="1" applyFont="1" applyFill="1" applyBorder="1" applyAlignment="1" applyProtection="1">
      <alignment horizontal="right"/>
    </xf>
    <xf numFmtId="2" fontId="7" fillId="29" borderId="0" xfId="166" applyNumberFormat="1" applyFont="1" applyFill="1" applyBorder="1" applyAlignment="1" applyProtection="1">
      <alignment horizontal="right"/>
    </xf>
    <xf numFmtId="1" fontId="5" fillId="29" borderId="0" xfId="157" applyNumberFormat="1" applyFont="1" applyFill="1" applyBorder="1" applyAlignment="1">
      <alignment horizontal="center"/>
    </xf>
    <xf numFmtId="1" fontId="5" fillId="29" borderId="0" xfId="157" applyNumberFormat="1" applyFont="1" applyFill="1" applyBorder="1" applyAlignment="1">
      <alignment horizontal="right"/>
    </xf>
    <xf numFmtId="2" fontId="5" fillId="29" borderId="0" xfId="166" applyNumberFormat="1" applyFont="1" applyFill="1" applyBorder="1" applyAlignment="1" applyProtection="1">
      <alignment horizontal="right"/>
    </xf>
    <xf numFmtId="2" fontId="7" fillId="29" borderId="0" xfId="166" applyNumberFormat="1" applyFont="1" applyFill="1" applyBorder="1" applyAlignment="1" applyProtection="1">
      <alignment horizontal="center"/>
    </xf>
    <xf numFmtId="169" fontId="5" fillId="29" borderId="0" xfId="186" applyNumberFormat="1" applyFont="1" applyFill="1" applyBorder="1" applyAlignment="1">
      <alignment horizontal="left"/>
    </xf>
    <xf numFmtId="10" fontId="5" fillId="29" borderId="0" xfId="166" applyNumberFormat="1" applyFont="1" applyFill="1" applyBorder="1" applyAlignment="1" applyProtection="1">
      <alignment horizontal="right"/>
    </xf>
    <xf numFmtId="169" fontId="8" fillId="29" borderId="0" xfId="166" applyNumberFormat="1" applyFont="1" applyFill="1" applyBorder="1" applyAlignment="1" applyProtection="1"/>
    <xf numFmtId="169" fontId="5" fillId="29" borderId="0" xfId="166" applyFont="1" applyFill="1" applyBorder="1" applyAlignment="1">
      <alignment horizontal="right"/>
    </xf>
    <xf numFmtId="191" fontId="5" fillId="29" borderId="0" xfId="166" applyNumberFormat="1" applyFont="1" applyFill="1" applyBorder="1" applyAlignment="1" applyProtection="1">
      <alignment horizontal="center"/>
    </xf>
    <xf numFmtId="191" fontId="5" fillId="29" borderId="0" xfId="166" applyNumberFormat="1" applyFont="1" applyFill="1" applyBorder="1" applyAlignment="1" applyProtection="1">
      <alignment horizontal="right"/>
    </xf>
    <xf numFmtId="169" fontId="5" fillId="29" borderId="0" xfId="166" applyFont="1" applyFill="1" applyBorder="1" applyAlignment="1" applyProtection="1">
      <alignment horizontal="center"/>
    </xf>
    <xf numFmtId="169" fontId="5" fillId="29" borderId="0" xfId="166" applyFont="1" applyFill="1" applyBorder="1" applyAlignment="1" applyProtection="1">
      <alignment horizontal="right"/>
    </xf>
    <xf numFmtId="192" fontId="5" fillId="29" borderId="0" xfId="166" applyNumberFormat="1" applyFont="1" applyFill="1" applyBorder="1" applyAlignment="1" applyProtection="1">
      <alignment horizontal="center"/>
    </xf>
    <xf numFmtId="192" fontId="5" fillId="29" borderId="0" xfId="166" applyNumberFormat="1" applyFont="1" applyFill="1" applyBorder="1" applyAlignment="1" applyProtection="1">
      <alignment horizontal="right"/>
    </xf>
    <xf numFmtId="191" fontId="5" fillId="29" borderId="0" xfId="166" applyNumberFormat="1" applyFont="1" applyFill="1" applyBorder="1" applyProtection="1"/>
    <xf numFmtId="192" fontId="5" fillId="29" borderId="0" xfId="166" applyNumberFormat="1" applyFont="1" applyFill="1" applyBorder="1" applyProtection="1"/>
    <xf numFmtId="169" fontId="5" fillId="29" borderId="0" xfId="166" applyNumberFormat="1" applyFont="1" applyFill="1" applyBorder="1" applyAlignment="1" applyProtection="1">
      <alignment horizontal="center"/>
    </xf>
    <xf numFmtId="10" fontId="7" fillId="29" borderId="0" xfId="166" applyNumberFormat="1" applyFont="1" applyFill="1" applyBorder="1"/>
    <xf numFmtId="169" fontId="7" fillId="29" borderId="0" xfId="0" applyFont="1" applyFill="1" applyAlignment="1">
      <alignment vertical="center" wrapText="1"/>
    </xf>
    <xf numFmtId="2" fontId="5" fillId="29" borderId="0" xfId="0" applyNumberFormat="1" applyFont="1" applyFill="1" applyAlignment="1">
      <alignment horizontal="center"/>
    </xf>
    <xf numFmtId="2" fontId="5" fillId="29" borderId="7" xfId="0" applyNumberFormat="1" applyFont="1" applyFill="1" applyBorder="1" applyAlignment="1">
      <alignment horizontal="center"/>
    </xf>
    <xf numFmtId="0" fontId="120" fillId="29" borderId="0" xfId="0" applyNumberFormat="1" applyFont="1" applyFill="1"/>
    <xf numFmtId="169" fontId="120" fillId="29" borderId="0" xfId="0" applyFont="1" applyFill="1"/>
    <xf numFmtId="169" fontId="121" fillId="29" borderId="0" xfId="0" applyFont="1" applyFill="1"/>
    <xf numFmtId="169" fontId="5" fillId="29" borderId="0" xfId="0" applyFont="1" applyFill="1" applyAlignment="1">
      <alignment horizontal="center" vertical="top" wrapText="1"/>
    </xf>
    <xf numFmtId="170" fontId="5" fillId="29" borderId="0" xfId="151" applyNumberFormat="1" applyFont="1" applyFill="1" applyAlignment="1">
      <alignment horizontal="center"/>
    </xf>
    <xf numFmtId="170" fontId="5" fillId="29" borderId="0" xfId="153" applyNumberFormat="1" applyFont="1" applyFill="1" applyAlignment="1">
      <alignment horizontal="center"/>
    </xf>
    <xf numFmtId="172" fontId="5" fillId="29" borderId="0" xfId="0" applyNumberFormat="1" applyFont="1" applyFill="1" applyAlignment="1"/>
    <xf numFmtId="170" fontId="5" fillId="29" borderId="12" xfId="153" applyNumberFormat="1" applyFont="1" applyFill="1" applyBorder="1" applyAlignment="1">
      <alignment horizontal="center"/>
    </xf>
    <xf numFmtId="169" fontId="4" fillId="29" borderId="0" xfId="168" applyFill="1" applyAlignment="1">
      <alignment horizontal="left" vertical="top" wrapText="1"/>
    </xf>
    <xf numFmtId="169" fontId="8" fillId="29" borderId="0" xfId="69" applyNumberFormat="1" applyFont="1" applyFill="1" applyAlignment="1" applyProtection="1">
      <alignment vertical="center"/>
    </xf>
    <xf numFmtId="169" fontId="5" fillId="29" borderId="0" xfId="69" applyNumberFormat="1" applyFont="1" applyFill="1" applyAlignment="1" applyProtection="1">
      <alignment vertical="center"/>
    </xf>
    <xf numFmtId="2" fontId="5" fillId="29" borderId="0" xfId="168" applyNumberFormat="1" applyFont="1" applyFill="1" applyAlignment="1">
      <alignment vertical="center"/>
    </xf>
    <xf numFmtId="2" fontId="5" fillId="29" borderId="0" xfId="168" applyNumberFormat="1" applyFont="1" applyFill="1" applyAlignment="1">
      <alignment horizontal="center" vertical="center"/>
    </xf>
    <xf numFmtId="169" fontId="5" fillId="29" borderId="9" xfId="0" applyFont="1" applyFill="1" applyBorder="1" applyAlignment="1"/>
    <xf numFmtId="1" fontId="5" fillId="29" borderId="13" xfId="80" applyNumberFormat="1" applyFont="1" applyFill="1" applyBorder="1" applyAlignment="1">
      <alignment horizontal="center"/>
    </xf>
    <xf numFmtId="169" fontId="5" fillId="29" borderId="12" xfId="80" applyFont="1" applyFill="1" applyBorder="1" applyAlignment="1">
      <alignment horizontal="center"/>
    </xf>
    <xf numFmtId="3" fontId="5" fillId="29" borderId="13" xfId="80" applyNumberFormat="1" applyFont="1" applyFill="1" applyBorder="1" applyAlignment="1">
      <alignment horizontal="center"/>
    </xf>
    <xf numFmtId="3" fontId="5" fillId="29" borderId="12" xfId="80" applyNumberFormat="1" applyFont="1" applyFill="1" applyBorder="1" applyAlignment="1">
      <alignment horizontal="center"/>
    </xf>
    <xf numFmtId="200" fontId="5" fillId="29" borderId="0" xfId="40" applyNumberFormat="1" applyFont="1" applyFill="1" applyBorder="1" applyAlignment="1">
      <alignment horizontal="center"/>
    </xf>
    <xf numFmtId="200" fontId="5" fillId="29" borderId="7" xfId="40" applyNumberFormat="1" applyFont="1" applyFill="1" applyBorder="1" applyAlignment="1">
      <alignment horizontal="center"/>
    </xf>
    <xf numFmtId="169" fontId="7" fillId="29" borderId="0" xfId="168" applyFont="1" applyFill="1" applyBorder="1" applyAlignment="1">
      <alignment horizontal="center" vertical="center" wrapText="1"/>
    </xf>
    <xf numFmtId="169" fontId="5" fillId="29" borderId="0" xfId="80" applyFont="1" applyFill="1" applyAlignment="1"/>
    <xf numFmtId="169" fontId="5" fillId="29" borderId="0" xfId="80" applyNumberFormat="1" applyFont="1" applyFill="1"/>
    <xf numFmtId="169" fontId="5" fillId="29" borderId="0" xfId="80" applyFont="1" applyFill="1" applyAlignment="1">
      <alignment wrapText="1"/>
    </xf>
    <xf numFmtId="169" fontId="5" fillId="29" borderId="0" xfId="80" applyFont="1" applyFill="1" applyAlignment="1">
      <alignment horizontal="center" wrapText="1"/>
    </xf>
    <xf numFmtId="3" fontId="5" fillId="29" borderId="0" xfId="80" applyNumberFormat="1" applyFont="1" applyFill="1" applyBorder="1"/>
    <xf numFmtId="9" fontId="7" fillId="29" borderId="0" xfId="80" applyNumberFormat="1" applyFont="1" applyFill="1" applyAlignment="1">
      <alignment horizontal="center"/>
    </xf>
    <xf numFmtId="9" fontId="7" fillId="29" borderId="0" xfId="80" applyNumberFormat="1" applyFont="1" applyFill="1"/>
    <xf numFmtId="9" fontId="5" fillId="29" borderId="0" xfId="80" applyNumberFormat="1" applyFont="1" applyFill="1" applyAlignment="1">
      <alignment horizontal="center"/>
    </xf>
    <xf numFmtId="9" fontId="5" fillId="29" borderId="0" xfId="80" applyNumberFormat="1" applyFont="1" applyFill="1"/>
    <xf numFmtId="169" fontId="16" fillId="29" borderId="0" xfId="80" applyFont="1" applyFill="1"/>
    <xf numFmtId="169" fontId="5" fillId="29" borderId="0" xfId="80" applyFont="1" applyFill="1" applyAlignment="1">
      <alignment horizontal="right"/>
    </xf>
    <xf numFmtId="3" fontId="5" fillId="29" borderId="0" xfId="125" applyNumberFormat="1" applyFont="1" applyFill="1" applyAlignment="1">
      <alignment horizontal="center"/>
    </xf>
    <xf numFmtId="0" fontId="5" fillId="29" borderId="0" xfId="80" applyNumberFormat="1" applyFont="1" applyFill="1" applyAlignment="1"/>
    <xf numFmtId="169" fontId="115" fillId="29" borderId="0" xfId="80" applyFont="1" applyFill="1"/>
    <xf numFmtId="3" fontId="5" fillId="29" borderId="0" xfId="80" quotePrefix="1" applyNumberFormat="1" applyFont="1" applyFill="1" applyAlignment="1">
      <alignment horizontal="center"/>
    </xf>
    <xf numFmtId="1" fontId="5" fillId="29" borderId="0" xfId="80" applyNumberFormat="1" applyFont="1" applyFill="1" applyAlignment="1">
      <alignment horizontal="center"/>
    </xf>
    <xf numFmtId="169" fontId="4" fillId="29" borderId="0" xfId="80" applyFont="1" applyFill="1"/>
    <xf numFmtId="0" fontId="111" fillId="29" borderId="0" xfId="133" applyFill="1" applyAlignment="1">
      <alignment horizontal="center"/>
    </xf>
    <xf numFmtId="169" fontId="5" fillId="29" borderId="0" xfId="80" applyNumberFormat="1" applyFont="1" applyFill="1" applyAlignment="1">
      <alignment vertical="top"/>
    </xf>
    <xf numFmtId="169" fontId="5" fillId="29" borderId="0" xfId="80" applyNumberFormat="1" applyFont="1" applyFill="1" applyAlignment="1">
      <alignment horizontal="center" vertical="top"/>
    </xf>
    <xf numFmtId="0" fontId="111" fillId="29" borderId="0" xfId="129" applyFill="1"/>
    <xf numFmtId="0" fontId="5" fillId="29" borderId="0" xfId="171" applyFont="1" applyFill="1"/>
    <xf numFmtId="0" fontId="5" fillId="29" borderId="0" xfId="171" applyFont="1" applyFill="1" applyAlignment="1">
      <alignment horizontal="center"/>
    </xf>
    <xf numFmtId="0" fontId="5" fillId="29" borderId="0" xfId="171" applyFont="1" applyFill="1" applyAlignment="1">
      <alignment horizontal="right"/>
    </xf>
    <xf numFmtId="170" fontId="5" fillId="29" borderId="0" xfId="171" applyNumberFormat="1" applyFont="1" applyFill="1"/>
    <xf numFmtId="170" fontId="5" fillId="29" borderId="0" xfId="171" applyNumberFormat="1" applyFont="1" applyFill="1" applyBorder="1"/>
    <xf numFmtId="3" fontId="5" fillId="29" borderId="0" xfId="171" applyNumberFormat="1" applyFont="1" applyFill="1" applyBorder="1" applyAlignment="1">
      <alignment horizontal="center"/>
    </xf>
    <xf numFmtId="3" fontId="122" fillId="29" borderId="0" xfId="171" applyNumberFormat="1" applyFont="1" applyFill="1" applyBorder="1" applyAlignment="1">
      <alignment horizontal="center"/>
    </xf>
    <xf numFmtId="3" fontId="5" fillId="29" borderId="0" xfId="171" applyNumberFormat="1" applyFont="1" applyFill="1" applyAlignment="1">
      <alignment horizontal="center"/>
    </xf>
    <xf numFmtId="170" fontId="5" fillId="29" borderId="0" xfId="171" applyNumberFormat="1" applyFont="1" applyFill="1" applyAlignment="1">
      <alignment horizontal="center"/>
    </xf>
    <xf numFmtId="170" fontId="5" fillId="29" borderId="14" xfId="171" applyNumberFormat="1" applyFont="1" applyFill="1" applyBorder="1" applyAlignment="1">
      <alignment horizontal="center"/>
    </xf>
    <xf numFmtId="3" fontId="122" fillId="29" borderId="0" xfId="171" applyNumberFormat="1" applyFont="1" applyFill="1" applyAlignment="1">
      <alignment horizontal="center"/>
    </xf>
    <xf numFmtId="172" fontId="5" fillId="29" borderId="0" xfId="171" applyNumberFormat="1" applyFont="1" applyFill="1" applyAlignment="1">
      <alignment horizontal="center"/>
    </xf>
    <xf numFmtId="2" fontId="5" fillId="29" borderId="0" xfId="0" applyNumberFormat="1" applyFont="1" applyFill="1" applyBorder="1" applyAlignment="1">
      <alignment horizontal="center"/>
    </xf>
    <xf numFmtId="2" fontId="5" fillId="29" borderId="0" xfId="171" applyNumberFormat="1" applyFont="1" applyFill="1" applyAlignment="1">
      <alignment horizontal="center"/>
    </xf>
    <xf numFmtId="172" fontId="5" fillId="29" borderId="0" xfId="0" applyNumberFormat="1" applyFont="1" applyFill="1" applyBorder="1" applyAlignment="1">
      <alignment horizontal="center" vertical="center"/>
    </xf>
    <xf numFmtId="2" fontId="5" fillId="29" borderId="0" xfId="0" applyNumberFormat="1" applyFont="1" applyFill="1" applyBorder="1" applyAlignment="1">
      <alignment horizontal="center" vertical="center"/>
    </xf>
    <xf numFmtId="0" fontId="5" fillId="29" borderId="7" xfId="171" applyFont="1" applyFill="1" applyBorder="1"/>
    <xf numFmtId="172" fontId="5" fillId="29" borderId="7" xfId="171" applyNumberFormat="1" applyFont="1" applyFill="1" applyBorder="1" applyAlignment="1">
      <alignment horizontal="center"/>
    </xf>
    <xf numFmtId="2" fontId="5" fillId="29" borderId="7" xfId="171" applyNumberFormat="1" applyFont="1" applyFill="1" applyBorder="1" applyAlignment="1">
      <alignment horizontal="center"/>
    </xf>
    <xf numFmtId="0" fontId="5" fillId="29" borderId="0" xfId="171" applyFont="1" applyFill="1" applyBorder="1" applyAlignment="1">
      <alignment horizontal="right"/>
    </xf>
    <xf numFmtId="3" fontId="7" fillId="29" borderId="0" xfId="171" applyNumberFormat="1" applyFont="1" applyFill="1" applyAlignment="1">
      <alignment horizontal="center"/>
    </xf>
    <xf numFmtId="3" fontId="5" fillId="29" borderId="0" xfId="171" applyNumberFormat="1" applyFont="1" applyFill="1"/>
    <xf numFmtId="3" fontId="5" fillId="29" borderId="0" xfId="171" applyNumberFormat="1" applyFont="1" applyFill="1" applyBorder="1"/>
    <xf numFmtId="3" fontId="5" fillId="29" borderId="15" xfId="171" applyNumberFormat="1" applyFont="1" applyFill="1" applyBorder="1" applyAlignment="1">
      <alignment horizontal="center"/>
    </xf>
    <xf numFmtId="0" fontId="7" fillId="29" borderId="0" xfId="171" applyFont="1" applyFill="1"/>
    <xf numFmtId="0" fontId="5" fillId="29" borderId="15" xfId="171" applyFont="1" applyFill="1" applyBorder="1"/>
    <xf numFmtId="170" fontId="5" fillId="29" borderId="15" xfId="171" applyNumberFormat="1" applyFont="1" applyFill="1" applyBorder="1"/>
    <xf numFmtId="3" fontId="5" fillId="29" borderId="15" xfId="171" applyNumberFormat="1" applyFont="1" applyFill="1" applyBorder="1"/>
    <xf numFmtId="0" fontId="5" fillId="29" borderId="0" xfId="171" applyFont="1" applyFill="1" applyAlignment="1">
      <alignment horizontal="left"/>
    </xf>
    <xf numFmtId="3" fontId="5" fillId="29" borderId="0" xfId="171" applyNumberFormat="1" applyFont="1" applyFill="1" applyBorder="1" applyAlignment="1">
      <alignment horizontal="right"/>
    </xf>
    <xf numFmtId="171" fontId="5" fillId="29" borderId="0" xfId="171" applyNumberFormat="1" applyFont="1" applyFill="1"/>
    <xf numFmtId="0" fontId="5" fillId="29" borderId="15" xfId="171" applyFont="1" applyFill="1" applyBorder="1" applyAlignment="1">
      <alignment horizontal="left"/>
    </xf>
    <xf numFmtId="171" fontId="5" fillId="29" borderId="7" xfId="171" applyNumberFormat="1" applyFont="1" applyFill="1" applyBorder="1"/>
    <xf numFmtId="3" fontId="8" fillId="29" borderId="0" xfId="171" applyNumberFormat="1" applyFont="1" applyFill="1" applyAlignment="1">
      <alignment horizontal="center"/>
    </xf>
    <xf numFmtId="169" fontId="5" fillId="29" borderId="15" xfId="168" applyFont="1" applyFill="1" applyBorder="1" applyAlignment="1">
      <alignment vertical="center"/>
    </xf>
    <xf numFmtId="169" fontId="5" fillId="29" borderId="0" xfId="168" applyFont="1" applyFill="1" applyBorder="1" applyAlignment="1">
      <alignment vertical="center"/>
    </xf>
    <xf numFmtId="169" fontId="8" fillId="29" borderId="15" xfId="168" applyFont="1" applyFill="1" applyBorder="1" applyAlignment="1">
      <alignment vertical="center"/>
    </xf>
    <xf numFmtId="3" fontId="8" fillId="29" borderId="15" xfId="171" applyNumberFormat="1" applyFont="1" applyFill="1" applyBorder="1" applyAlignment="1">
      <alignment horizontal="center"/>
    </xf>
    <xf numFmtId="3" fontId="8" fillId="29" borderId="0" xfId="171" applyNumberFormat="1" applyFont="1" applyFill="1" applyBorder="1" applyAlignment="1">
      <alignment horizontal="center"/>
    </xf>
    <xf numFmtId="169" fontId="8" fillId="29" borderId="0" xfId="168" applyFont="1" applyFill="1" applyBorder="1" applyAlignment="1">
      <alignment vertical="center"/>
    </xf>
    <xf numFmtId="3" fontId="7" fillId="29" borderId="0" xfId="171" applyNumberFormat="1" applyFont="1" applyFill="1"/>
    <xf numFmtId="3" fontId="5" fillId="29" borderId="0" xfId="134" applyNumberFormat="1" applyFill="1" applyAlignment="1">
      <alignment horizontal="center"/>
    </xf>
    <xf numFmtId="3" fontId="5" fillId="29" borderId="14" xfId="171" applyNumberFormat="1" applyFont="1" applyFill="1" applyBorder="1"/>
    <xf numFmtId="3" fontId="5" fillId="29" borderId="7" xfId="171" applyNumberFormat="1" applyFont="1" applyFill="1" applyBorder="1" applyAlignment="1">
      <alignment horizontal="center"/>
    </xf>
    <xf numFmtId="0" fontId="5" fillId="29" borderId="0" xfId="171" applyFont="1" applyFill="1" applyBorder="1"/>
    <xf numFmtId="0" fontId="5" fillId="29" borderId="7" xfId="171" applyFont="1" applyFill="1" applyBorder="1" applyAlignment="1">
      <alignment horizontal="center"/>
    </xf>
    <xf numFmtId="0" fontId="8" fillId="29" borderId="7" xfId="171" applyFont="1" applyFill="1" applyBorder="1" applyAlignment="1">
      <alignment horizontal="center"/>
    </xf>
    <xf numFmtId="0" fontId="8" fillId="29" borderId="0" xfId="171" applyFont="1" applyFill="1" applyBorder="1" applyAlignment="1">
      <alignment horizontal="center"/>
    </xf>
    <xf numFmtId="0" fontId="5" fillId="29" borderId="0" xfId="171" applyFont="1" applyFill="1" applyBorder="1" applyAlignment="1">
      <alignment horizontal="center"/>
    </xf>
    <xf numFmtId="0" fontId="5" fillId="29" borderId="0" xfId="171" applyFont="1" applyFill="1" applyAlignment="1">
      <alignment horizontal="left" vertical="top" wrapText="1"/>
    </xf>
    <xf numFmtId="0" fontId="5" fillId="29" borderId="0" xfId="171" applyFont="1" applyFill="1" applyAlignment="1">
      <alignment wrapText="1"/>
    </xf>
    <xf numFmtId="170" fontId="76" fillId="29" borderId="7" xfId="171" applyNumberFormat="1" applyFont="1" applyFill="1" applyBorder="1"/>
    <xf numFmtId="0" fontId="76" fillId="29" borderId="0" xfId="171" applyFont="1" applyFill="1" applyBorder="1"/>
    <xf numFmtId="0" fontId="76" fillId="29" borderId="0" xfId="171" applyFont="1" applyFill="1"/>
    <xf numFmtId="0" fontId="76" fillId="29" borderId="12" xfId="171" applyFont="1" applyFill="1" applyBorder="1"/>
    <xf numFmtId="0" fontId="5" fillId="29" borderId="0" xfId="165" applyFont="1" applyFill="1" applyAlignment="1"/>
    <xf numFmtId="170" fontId="5" fillId="29" borderId="0" xfId="165" applyNumberFormat="1" applyFont="1" applyFill="1" applyAlignment="1"/>
    <xf numFmtId="3" fontId="5" fillId="29" borderId="0" xfId="97" applyNumberFormat="1" applyFont="1" applyFill="1"/>
    <xf numFmtId="169" fontId="7" fillId="29" borderId="0" xfId="97" applyFont="1" applyFill="1" applyAlignment="1">
      <alignment horizontal="center"/>
    </xf>
    <xf numFmtId="169" fontId="7" fillId="29" borderId="0" xfId="97" applyFont="1" applyFill="1" applyAlignment="1">
      <alignment horizontal="left"/>
    </xf>
    <xf numFmtId="169" fontId="5" fillId="29" borderId="7" xfId="97" applyFont="1" applyFill="1" applyBorder="1"/>
    <xf numFmtId="3" fontId="5" fillId="29" borderId="7" xfId="97" applyNumberFormat="1" applyFont="1" applyFill="1" applyBorder="1"/>
    <xf numFmtId="1" fontId="5" fillId="29" borderId="7" xfId="97" applyNumberFormat="1" applyFont="1" applyFill="1" applyBorder="1" applyAlignment="1">
      <alignment horizontal="center"/>
    </xf>
    <xf numFmtId="1" fontId="5" fillId="29" borderId="9" xfId="97" applyNumberFormat="1" applyFont="1" applyFill="1" applyBorder="1" applyAlignment="1">
      <alignment horizontal="center"/>
    </xf>
    <xf numFmtId="1" fontId="5" fillId="29" borderId="8" xfId="97" applyNumberFormat="1" applyFont="1" applyFill="1" applyBorder="1" applyAlignment="1">
      <alignment horizontal="center"/>
    </xf>
    <xf numFmtId="1" fontId="5" fillId="29" borderId="8" xfId="97" applyNumberFormat="1" applyFont="1" applyFill="1" applyBorder="1" applyAlignment="1"/>
    <xf numFmtId="169" fontId="7" fillId="29" borderId="0" xfId="97" applyFont="1" applyFill="1" applyBorder="1" applyAlignment="1">
      <alignment horizontal="left" vertical="center"/>
    </xf>
    <xf numFmtId="169" fontId="5" fillId="29" borderId="0" xfId="97" applyFont="1" applyFill="1" applyBorder="1" applyAlignment="1">
      <alignment horizontal="center" vertical="center"/>
    </xf>
    <xf numFmtId="169" fontId="7" fillId="29" borderId="0" xfId="97" applyFont="1" applyFill="1" applyBorder="1"/>
    <xf numFmtId="3" fontId="7" fillId="29" borderId="0" xfId="97" applyNumberFormat="1" applyFont="1" applyFill="1" applyBorder="1" applyAlignment="1">
      <alignment horizontal="center"/>
    </xf>
    <xf numFmtId="0" fontId="5" fillId="29" borderId="7" xfId="134" applyFont="1" applyFill="1" applyBorder="1"/>
    <xf numFmtId="170" fontId="5" fillId="29" borderId="7" xfId="134" applyNumberFormat="1" applyFont="1" applyFill="1" applyBorder="1" applyAlignment="1"/>
    <xf numFmtId="170" fontId="8" fillId="29" borderId="7" xfId="134" applyNumberFormat="1" applyFont="1" applyFill="1" applyBorder="1" applyAlignment="1">
      <alignment horizontal="center"/>
    </xf>
    <xf numFmtId="170" fontId="8" fillId="29" borderId="0" xfId="134" applyNumberFormat="1" applyFont="1" applyFill="1" applyBorder="1" applyAlignment="1">
      <alignment horizontal="center"/>
    </xf>
    <xf numFmtId="4" fontId="8" fillId="29" borderId="0" xfId="134" applyNumberFormat="1" applyFont="1" applyFill="1" applyBorder="1" applyAlignment="1">
      <alignment horizontal="center"/>
    </xf>
    <xf numFmtId="170" fontId="5" fillId="29" borderId="7" xfId="134" applyNumberFormat="1" applyFill="1" applyBorder="1" applyAlignment="1"/>
    <xf numFmtId="170" fontId="5" fillId="29" borderId="0" xfId="97" applyNumberFormat="1" applyFont="1" applyFill="1" applyBorder="1" applyAlignment="1">
      <alignment horizontal="center"/>
    </xf>
    <xf numFmtId="170" fontId="5" fillId="29" borderId="0" xfId="134" applyNumberFormat="1" applyFont="1" applyFill="1" applyAlignment="1"/>
    <xf numFmtId="170" fontId="8" fillId="29" borderId="0" xfId="134" applyNumberFormat="1" applyFont="1" applyFill="1" applyAlignment="1">
      <alignment horizontal="center"/>
    </xf>
    <xf numFmtId="170" fontId="8" fillId="29" borderId="9" xfId="134" applyNumberFormat="1" applyFont="1" applyFill="1" applyBorder="1" applyAlignment="1">
      <alignment horizontal="center"/>
    </xf>
    <xf numFmtId="4" fontId="8" fillId="29" borderId="9" xfId="134" applyNumberFormat="1" applyFont="1" applyFill="1" applyBorder="1" applyAlignment="1">
      <alignment horizontal="center"/>
    </xf>
    <xf numFmtId="4" fontId="5" fillId="29" borderId="0" xfId="165" applyNumberFormat="1" applyFont="1" applyFill="1"/>
    <xf numFmtId="169" fontId="5" fillId="29" borderId="0" xfId="97" applyFont="1" applyFill="1" applyBorder="1" applyAlignment="1">
      <alignment vertical="center"/>
    </xf>
    <xf numFmtId="4" fontId="5" fillId="29" borderId="9" xfId="165" applyNumberFormat="1" applyFont="1" applyFill="1" applyBorder="1"/>
    <xf numFmtId="170" fontId="103" fillId="29" borderId="7" xfId="134" applyNumberFormat="1" applyFont="1" applyFill="1" applyBorder="1" applyAlignment="1"/>
    <xf numFmtId="170" fontId="104" fillId="29" borderId="7" xfId="134" applyNumberFormat="1" applyFont="1" applyFill="1" applyBorder="1" applyAlignment="1">
      <alignment horizontal="center"/>
    </xf>
    <xf numFmtId="170" fontId="104" fillId="29" borderId="0" xfId="134" applyNumberFormat="1" applyFont="1" applyFill="1" applyBorder="1" applyAlignment="1">
      <alignment horizontal="center"/>
    </xf>
    <xf numFmtId="0" fontId="5" fillId="29" borderId="0" xfId="134" applyFont="1" applyFill="1" applyAlignment="1"/>
    <xf numFmtId="169" fontId="4" fillId="29" borderId="0" xfId="97" applyNumberFormat="1" applyFont="1" applyFill="1" applyAlignment="1">
      <alignment horizontal="left" vertical="top"/>
    </xf>
    <xf numFmtId="170" fontId="5" fillId="29" borderId="0" xfId="134" applyNumberFormat="1" applyFont="1" applyFill="1" applyBorder="1" applyAlignment="1"/>
    <xf numFmtId="169" fontId="5" fillId="29" borderId="7" xfId="97" applyFont="1" applyFill="1" applyBorder="1" applyAlignment="1">
      <alignment horizontal="center"/>
    </xf>
    <xf numFmtId="169" fontId="5" fillId="29" borderId="9" xfId="97" applyFont="1" applyFill="1" applyBorder="1" applyAlignment="1">
      <alignment horizontal="center"/>
    </xf>
    <xf numFmtId="169" fontId="5" fillId="29" borderId="8" xfId="97" applyFont="1" applyFill="1" applyBorder="1" applyAlignment="1">
      <alignment horizontal="center"/>
    </xf>
    <xf numFmtId="169" fontId="5" fillId="29" borderId="0" xfId="97" applyFont="1" applyFill="1" applyAlignment="1">
      <alignment horizontal="center"/>
    </xf>
    <xf numFmtId="169" fontId="5" fillId="29" borderId="0" xfId="97" applyFont="1" applyFill="1" applyBorder="1" applyAlignment="1">
      <alignment horizontal="center"/>
    </xf>
    <xf numFmtId="169" fontId="5" fillId="29" borderId="0" xfId="97" quotePrefix="1" applyFont="1" applyFill="1" applyAlignment="1">
      <alignment horizontal="center"/>
    </xf>
    <xf numFmtId="169" fontId="7" fillId="29" borderId="0" xfId="97" quotePrefix="1" applyFont="1" applyFill="1" applyAlignment="1">
      <alignment horizontal="center"/>
    </xf>
    <xf numFmtId="169" fontId="7" fillId="29" borderId="0" xfId="97" applyFont="1" applyFill="1"/>
    <xf numFmtId="0" fontId="5" fillId="29" borderId="7" xfId="165" applyFont="1" applyFill="1" applyBorder="1" applyAlignment="1"/>
    <xf numFmtId="0" fontId="54" fillId="29" borderId="0" xfId="165" applyFont="1" applyFill="1"/>
    <xf numFmtId="0" fontId="54" fillId="29" borderId="0" xfId="165" applyFont="1" applyFill="1" applyAlignment="1">
      <alignment horizontal="center"/>
    </xf>
    <xf numFmtId="170" fontId="54" fillId="29" borderId="0" xfId="165" applyNumberFormat="1" applyFont="1" applyFill="1" applyAlignment="1"/>
    <xf numFmtId="0" fontId="54" fillId="29" borderId="0" xfId="165" applyFont="1" applyFill="1" applyAlignment="1"/>
    <xf numFmtId="189" fontId="5" fillId="29" borderId="0" xfId="39" applyNumberFormat="1" applyFont="1" applyFill="1"/>
    <xf numFmtId="3" fontId="5" fillId="29" borderId="0" xfId="39" applyNumberFormat="1" applyFont="1" applyFill="1" applyAlignment="1">
      <alignment horizontal="center"/>
    </xf>
    <xf numFmtId="3" fontId="5" fillId="29" borderId="0" xfId="165" quotePrefix="1" applyNumberFormat="1" applyFont="1" applyFill="1" applyAlignment="1">
      <alignment horizontal="center"/>
    </xf>
    <xf numFmtId="0" fontId="115" fillId="29" borderId="0" xfId="165" applyFont="1" applyFill="1"/>
    <xf numFmtId="171" fontId="7" fillId="29" borderId="0" xfId="97" applyNumberFormat="1" applyFont="1" applyFill="1" applyAlignment="1">
      <alignment horizontal="center"/>
    </xf>
    <xf numFmtId="3" fontId="7" fillId="29" borderId="0" xfId="39" applyNumberFormat="1" applyFont="1" applyFill="1" applyAlignment="1">
      <alignment horizontal="center"/>
    </xf>
    <xf numFmtId="0" fontId="133" fillId="29" borderId="0" xfId="134" quotePrefix="1" applyFont="1" applyFill="1" applyAlignment="1">
      <alignment horizontal="left" indent="1"/>
    </xf>
    <xf numFmtId="3" fontId="5" fillId="29" borderId="7" xfId="165" applyNumberFormat="1" applyFont="1" applyFill="1" applyBorder="1" applyAlignment="1">
      <alignment horizontal="center"/>
    </xf>
    <xf numFmtId="0" fontId="5" fillId="29" borderId="7" xfId="165" applyFont="1" applyFill="1" applyBorder="1" applyAlignment="1">
      <alignment vertical="top" wrapText="1"/>
    </xf>
    <xf numFmtId="170" fontId="5" fillId="29" borderId="7" xfId="165" applyNumberFormat="1" applyFont="1" applyFill="1" applyBorder="1" applyAlignment="1">
      <alignment horizontal="center"/>
    </xf>
    <xf numFmtId="169" fontId="5" fillId="29" borderId="0" xfId="0" applyFont="1" applyFill="1" applyAlignment="1">
      <alignment horizontal="center" vertical="center"/>
    </xf>
    <xf numFmtId="172" fontId="5" fillId="29" borderId="0" xfId="165" applyNumberFormat="1" applyFont="1" applyFill="1" applyAlignment="1">
      <alignment horizontal="center"/>
    </xf>
    <xf numFmtId="170" fontId="115" fillId="29" borderId="0" xfId="165" applyNumberFormat="1" applyFont="1" applyFill="1" applyAlignment="1">
      <alignment horizontal="center"/>
    </xf>
    <xf numFmtId="170" fontId="5" fillId="29" borderId="0" xfId="189" applyNumberFormat="1" applyFont="1" applyFill="1" applyAlignment="1">
      <alignment horizontal="center"/>
    </xf>
    <xf numFmtId="170" fontId="7" fillId="29" borderId="0" xfId="165" applyNumberFormat="1" applyFont="1" applyFill="1" applyAlignment="1">
      <alignment horizontal="center"/>
    </xf>
    <xf numFmtId="1" fontId="5" fillId="29" borderId="0" xfId="165" applyNumberFormat="1" applyFont="1" applyFill="1" applyAlignment="1">
      <alignment horizontal="center"/>
    </xf>
    <xf numFmtId="169" fontId="114" fillId="29" borderId="0" xfId="0" applyFont="1" applyFill="1"/>
    <xf numFmtId="170" fontId="115" fillId="29" borderId="0" xfId="165" applyNumberFormat="1" applyFont="1" applyFill="1"/>
    <xf numFmtId="172" fontId="115" fillId="29" borderId="0" xfId="165" applyNumberFormat="1" applyFont="1" applyFill="1" applyAlignment="1">
      <alignment horizontal="center"/>
    </xf>
    <xf numFmtId="170" fontId="128" fillId="29" borderId="0" xfId="0" applyNumberFormat="1" applyFont="1" applyFill="1" applyAlignment="1">
      <alignment horizontal="center"/>
    </xf>
    <xf numFmtId="169" fontId="128" fillId="29" borderId="0" xfId="0" applyFont="1" applyFill="1" applyAlignment="1">
      <alignment horizontal="center"/>
    </xf>
    <xf numFmtId="0" fontId="7" fillId="29" borderId="0" xfId="165" applyFont="1" applyFill="1" applyAlignment="1">
      <alignment horizontal="center"/>
    </xf>
    <xf numFmtId="170" fontId="12" fillId="29" borderId="0" xfId="0" applyNumberFormat="1" applyFont="1" applyFill="1" applyAlignment="1">
      <alignment horizontal="center"/>
    </xf>
    <xf numFmtId="170" fontId="5" fillId="29" borderId="7" xfId="134" applyNumberFormat="1" applyFill="1" applyBorder="1" applyAlignment="1">
      <alignment horizontal="center" vertical="center" wrapText="1"/>
    </xf>
    <xf numFmtId="170" fontId="5" fillId="29" borderId="7" xfId="134" applyNumberFormat="1" applyFill="1" applyBorder="1" applyAlignment="1">
      <alignment horizontal="center" vertical="center"/>
    </xf>
    <xf numFmtId="0" fontId="5" fillId="29" borderId="0" xfId="134" applyFill="1"/>
    <xf numFmtId="170" fontId="5" fillId="29" borderId="0" xfId="134" applyNumberFormat="1" applyFill="1" applyAlignment="1">
      <alignment horizontal="center" vertical="center" wrapText="1"/>
    </xf>
    <xf numFmtId="170" fontId="5" fillId="29" borderId="0" xfId="134" applyNumberFormat="1" applyFill="1" applyAlignment="1">
      <alignment horizontal="center"/>
    </xf>
    <xf numFmtId="170" fontId="5" fillId="29" borderId="0" xfId="134" applyNumberFormat="1" applyFill="1" applyAlignment="1">
      <alignment horizontal="center" vertical="center"/>
    </xf>
    <xf numFmtId="169" fontId="4" fillId="29" borderId="0" xfId="0" applyFont="1" applyFill="1" applyAlignment="1">
      <alignment wrapText="1"/>
    </xf>
    <xf numFmtId="0" fontId="5" fillId="29" borderId="0" xfId="165" applyFont="1" applyFill="1" applyAlignment="1">
      <alignment vertical="top"/>
    </xf>
    <xf numFmtId="171" fontId="5" fillId="29" borderId="0" xfId="177" applyNumberFormat="1" applyFont="1" applyFill="1"/>
    <xf numFmtId="1" fontId="5" fillId="29" borderId="8" xfId="78" applyNumberFormat="1" applyFont="1" applyFill="1" applyBorder="1" applyAlignment="1">
      <alignment horizontal="right"/>
    </xf>
    <xf numFmtId="193" fontId="7" fillId="29" borderId="0" xfId="34" applyNumberFormat="1" applyFont="1" applyFill="1" applyAlignment="1"/>
    <xf numFmtId="193" fontId="5" fillId="29" borderId="0" xfId="34" applyNumberFormat="1" applyFont="1" applyFill="1" applyAlignment="1"/>
    <xf numFmtId="0" fontId="7" fillId="29" borderId="0" xfId="78" applyNumberFormat="1" applyFont="1" applyFill="1" applyAlignment="1">
      <alignment horizontal="left"/>
    </xf>
    <xf numFmtId="0" fontId="8" fillId="29" borderId="0" xfId="78" applyNumberFormat="1" applyFont="1" applyFill="1" applyAlignment="1">
      <alignment horizontal="left" vertical="center" wrapText="1"/>
    </xf>
    <xf numFmtId="0" fontId="22" fillId="29" borderId="0" xfId="189" applyFont="1" applyFill="1" applyAlignment="1">
      <alignment horizontal="left"/>
    </xf>
    <xf numFmtId="169" fontId="4" fillId="29" borderId="0" xfId="78" applyFill="1" applyAlignment="1">
      <alignment horizontal="center" vertical="top"/>
    </xf>
    <xf numFmtId="193" fontId="5" fillId="29" borderId="0" xfId="34" applyNumberFormat="1" applyFont="1" applyFill="1" applyAlignment="1">
      <alignment vertical="top"/>
    </xf>
    <xf numFmtId="169" fontId="12" fillId="29" borderId="0" xfId="78" applyFont="1" applyFill="1" applyAlignment="1">
      <alignment horizontal="center" vertical="top"/>
    </xf>
    <xf numFmtId="169" fontId="12" fillId="29" borderId="0" xfId="78" applyFont="1" applyFill="1" applyAlignment="1">
      <alignment horizontal="center" vertical="top" wrapText="1"/>
    </xf>
    <xf numFmtId="0" fontId="5" fillId="29" borderId="0" xfId="78" applyNumberFormat="1" applyFont="1" applyFill="1" applyAlignment="1">
      <alignment horizontal="center"/>
    </xf>
    <xf numFmtId="169" fontId="5" fillId="29" borderId="9" xfId="80" applyFont="1" applyFill="1" applyBorder="1"/>
    <xf numFmtId="170" fontId="5" fillId="29" borderId="7" xfId="80" applyNumberFormat="1" applyFont="1" applyFill="1" applyBorder="1" applyAlignment="1">
      <alignment horizontal="center"/>
    </xf>
    <xf numFmtId="170" fontId="5" fillId="29" borderId="10" xfId="80" applyNumberFormat="1" applyFont="1" applyFill="1" applyBorder="1" applyAlignment="1">
      <alignment horizontal="center"/>
    </xf>
    <xf numFmtId="169" fontId="5" fillId="29" borderId="0" xfId="80" applyFont="1" applyFill="1"/>
    <xf numFmtId="169" fontId="7" fillId="29" borderId="0" xfId="80" applyFont="1" applyFill="1" applyBorder="1" applyAlignment="1">
      <alignment horizontal="left" vertical="center"/>
    </xf>
    <xf numFmtId="169" fontId="5" fillId="29" borderId="0" xfId="80" applyFont="1" applyFill="1" applyBorder="1" applyAlignment="1">
      <alignment horizontal="center" vertical="center"/>
    </xf>
    <xf numFmtId="169" fontId="5" fillId="29" borderId="0" xfId="80" applyFont="1" applyFill="1" applyBorder="1" applyAlignment="1">
      <alignment horizontal="left"/>
    </xf>
    <xf numFmtId="3" fontId="5" fillId="29" borderId="9" xfId="80" applyNumberFormat="1" applyFont="1" applyFill="1" applyBorder="1" applyAlignment="1">
      <alignment horizontal="center"/>
    </xf>
    <xf numFmtId="169" fontId="4" fillId="29" borderId="0" xfId="80" applyFont="1" applyFill="1" applyAlignment="1">
      <alignment horizontal="left" vertical="top" wrapText="1"/>
    </xf>
    <xf numFmtId="170" fontId="5" fillId="29" borderId="0" xfId="80" applyNumberFormat="1" applyFont="1" applyFill="1" applyBorder="1" applyAlignment="1">
      <alignment horizontal="center"/>
    </xf>
    <xf numFmtId="3" fontId="7" fillId="29" borderId="0" xfId="80" applyNumberFormat="1" applyFont="1" applyFill="1" applyBorder="1" applyAlignment="1">
      <alignment horizontal="center"/>
    </xf>
    <xf numFmtId="3" fontId="5" fillId="29" borderId="0" xfId="41" applyNumberFormat="1" applyFont="1" applyFill="1" applyAlignment="1">
      <alignment horizontal="center"/>
    </xf>
    <xf numFmtId="3" fontId="8" fillId="29" borderId="0" xfId="80" applyNumberFormat="1" applyFont="1" applyFill="1" applyAlignment="1">
      <alignment horizontal="center"/>
    </xf>
    <xf numFmtId="3" fontId="8" fillId="29" borderId="0" xfId="80" applyNumberFormat="1" applyFont="1" applyFill="1" applyBorder="1" applyAlignment="1">
      <alignment horizontal="center"/>
    </xf>
    <xf numFmtId="3" fontId="8" fillId="29" borderId="0" xfId="41" applyNumberFormat="1" applyFont="1" applyFill="1" applyBorder="1" applyAlignment="1">
      <alignment horizontal="center"/>
    </xf>
    <xf numFmtId="3" fontId="5" fillId="29" borderId="0" xfId="41" applyNumberFormat="1" applyFont="1" applyFill="1" applyBorder="1" applyAlignment="1">
      <alignment horizontal="center"/>
    </xf>
    <xf numFmtId="169" fontId="8" fillId="29" borderId="0" xfId="0" quotePrefix="1" applyFont="1" applyFill="1" applyBorder="1" applyAlignment="1">
      <alignment vertical="center"/>
    </xf>
    <xf numFmtId="169" fontId="5" fillId="29" borderId="0" xfId="0" quotePrefix="1" applyFont="1" applyFill="1" applyBorder="1" applyAlignment="1">
      <alignment vertical="center"/>
    </xf>
    <xf numFmtId="170" fontId="7" fillId="29" borderId="0" xfId="80" applyNumberFormat="1" applyFont="1" applyFill="1"/>
    <xf numFmtId="3" fontId="7" fillId="29" borderId="0" xfId="41" applyNumberFormat="1" applyFont="1" applyFill="1" applyBorder="1" applyAlignment="1">
      <alignment horizontal="center"/>
    </xf>
    <xf numFmtId="169" fontId="22" fillId="29" borderId="0" xfId="80" applyFont="1" applyFill="1"/>
    <xf numFmtId="3" fontId="7" fillId="29" borderId="0" xfId="41" applyNumberFormat="1" applyFont="1" applyFill="1" applyAlignment="1">
      <alignment horizontal="center"/>
    </xf>
    <xf numFmtId="170" fontId="5" fillId="29" borderId="7" xfId="80" applyNumberFormat="1" applyFont="1" applyFill="1" applyBorder="1"/>
    <xf numFmtId="201" fontId="5" fillId="29" borderId="7" xfId="41" applyNumberFormat="1" applyFont="1" applyFill="1" applyBorder="1" applyAlignment="1">
      <alignment horizontal="center"/>
    </xf>
    <xf numFmtId="169" fontId="5" fillId="29" borderId="0" xfId="0" applyFont="1" applyFill="1" applyAlignment="1">
      <alignment wrapText="1"/>
    </xf>
    <xf numFmtId="169" fontId="4" fillId="29" borderId="0" xfId="249" applyFill="1"/>
    <xf numFmtId="0" fontId="5" fillId="29" borderId="0" xfId="238" applyFont="1" applyFill="1" applyBorder="1"/>
    <xf numFmtId="169" fontId="4" fillId="29" borderId="0" xfId="249" applyFill="1" applyAlignment="1">
      <alignment horizontal="center"/>
    </xf>
    <xf numFmtId="0" fontId="5" fillId="29" borderId="0" xfId="238" applyFont="1" applyFill="1"/>
    <xf numFmtId="169" fontId="7" fillId="29" borderId="0" xfId="78" applyFont="1" applyFill="1" applyAlignment="1">
      <alignment horizontal="center" wrapText="1"/>
    </xf>
    <xf numFmtId="169" fontId="7" fillId="29" borderId="0" xfId="78" applyFont="1" applyFill="1" applyBorder="1" applyAlignment="1">
      <alignment horizontal="left" vertical="center"/>
    </xf>
    <xf numFmtId="169" fontId="5" fillId="29" borderId="0" xfId="78" applyFont="1" applyFill="1" applyBorder="1" applyAlignment="1">
      <alignment horizontal="center" vertical="center"/>
    </xf>
    <xf numFmtId="0" fontId="5" fillId="29" borderId="0" xfId="238" applyFont="1" applyFill="1" applyAlignment="1">
      <alignment horizontal="center"/>
    </xf>
    <xf numFmtId="0" fontId="117" fillId="29" borderId="0" xfId="238" applyFont="1" applyFill="1"/>
    <xf numFmtId="3" fontId="117" fillId="29" borderId="0" xfId="238" applyNumberFormat="1" applyFont="1" applyFill="1"/>
    <xf numFmtId="194" fontId="117" fillId="29" borderId="0" xfId="134" applyNumberFormat="1" applyFont="1" applyFill="1" applyAlignment="1">
      <alignment vertical="center"/>
    </xf>
    <xf numFmtId="38" fontId="117" fillId="29" borderId="0" xfId="37" applyFont="1" applyFill="1" applyAlignment="1"/>
    <xf numFmtId="0" fontId="5" fillId="29" borderId="0" xfId="238" applyFont="1" applyFill="1" applyAlignment="1"/>
    <xf numFmtId="38" fontId="5" fillId="29" borderId="0" xfId="80" applyNumberFormat="1" applyFont="1" applyFill="1" applyAlignment="1">
      <alignment horizontal="center"/>
    </xf>
    <xf numFmtId="38" fontId="5" fillId="29" borderId="0" xfId="238" applyNumberFormat="1" applyFont="1" applyFill="1" applyAlignment="1">
      <alignment horizontal="center"/>
    </xf>
    <xf numFmtId="194" fontId="5" fillId="29" borderId="0" xfId="238" applyNumberFormat="1" applyFont="1" applyFill="1" applyAlignment="1">
      <alignment horizontal="center"/>
    </xf>
    <xf numFmtId="194" fontId="117" fillId="29" borderId="0" xfId="238" applyNumberFormat="1" applyFont="1" applyFill="1" applyAlignment="1">
      <alignment horizontal="center"/>
    </xf>
    <xf numFmtId="0" fontId="117" fillId="29" borderId="0" xfId="238" applyFont="1" applyFill="1" applyAlignment="1">
      <alignment horizontal="center"/>
    </xf>
    <xf numFmtId="169" fontId="140" fillId="29" borderId="0" xfId="249" applyFont="1" applyFill="1" applyAlignment="1">
      <alignment horizontal="center"/>
    </xf>
    <xf numFmtId="169" fontId="140" fillId="29" borderId="0" xfId="0" applyFont="1" applyFill="1" applyAlignment="1">
      <alignment horizontal="center"/>
    </xf>
    <xf numFmtId="38" fontId="117" fillId="29" borderId="0" xfId="238" applyNumberFormat="1" applyFont="1" applyFill="1" applyAlignment="1">
      <alignment horizontal="center"/>
    </xf>
    <xf numFmtId="38" fontId="5" fillId="29" borderId="0" xfId="78" applyNumberFormat="1" applyFont="1" applyFill="1" applyAlignment="1">
      <alignment horizontal="center"/>
    </xf>
    <xf numFmtId="38" fontId="7" fillId="29" borderId="0" xfId="78" applyNumberFormat="1" applyFont="1" applyFill="1" applyAlignment="1">
      <alignment horizontal="center"/>
    </xf>
    <xf numFmtId="194" fontId="7" fillId="29" borderId="0" xfId="238" applyNumberFormat="1" applyFont="1" applyFill="1" applyAlignment="1">
      <alignment horizontal="center"/>
    </xf>
    <xf numFmtId="194" fontId="129" fillId="29" borderId="0" xfId="238" applyNumberFormat="1" applyFont="1" applyFill="1" applyAlignment="1">
      <alignment horizontal="center"/>
    </xf>
    <xf numFmtId="0" fontId="5" fillId="29" borderId="0" xfId="238" applyFont="1" applyFill="1" applyAlignment="1">
      <alignment vertical="center"/>
    </xf>
    <xf numFmtId="0" fontId="5" fillId="29" borderId="0" xfId="238" applyFont="1" applyFill="1" applyAlignment="1">
      <alignment horizontal="center" vertical="center"/>
    </xf>
    <xf numFmtId="38" fontId="5" fillId="29" borderId="0" xfId="80" applyNumberFormat="1" applyFont="1" applyFill="1" applyAlignment="1">
      <alignment horizontal="center" vertical="center"/>
    </xf>
    <xf numFmtId="169" fontId="0" fillId="29" borderId="0" xfId="0" applyFill="1" applyAlignment="1">
      <alignment vertical="center"/>
    </xf>
    <xf numFmtId="0" fontId="5" fillId="29" borderId="7" xfId="238" applyFont="1" applyFill="1" applyBorder="1"/>
    <xf numFmtId="0" fontId="5" fillId="29" borderId="7" xfId="238" applyFont="1" applyFill="1" applyBorder="1" applyAlignment="1">
      <alignment horizontal="center"/>
    </xf>
    <xf numFmtId="38" fontId="5" fillId="29" borderId="7" xfId="238" applyNumberFormat="1" applyFont="1" applyFill="1" applyBorder="1" applyAlignment="1">
      <alignment horizontal="center"/>
    </xf>
    <xf numFmtId="0" fontId="5" fillId="29" borderId="0" xfId="161" applyFont="1" applyFill="1" applyAlignment="1">
      <alignment vertical="center"/>
    </xf>
    <xf numFmtId="0" fontId="5" fillId="29" borderId="0" xfId="161" applyFont="1" applyFill="1" applyAlignment="1">
      <alignment vertical="center" wrapText="1"/>
    </xf>
    <xf numFmtId="0" fontId="5" fillId="29" borderId="0" xfId="161" applyFont="1" applyFill="1" applyAlignment="1">
      <alignment horizontal="right" vertical="center" wrapText="1"/>
    </xf>
    <xf numFmtId="0" fontId="5" fillId="29" borderId="0" xfId="161" applyFont="1" applyFill="1" applyAlignment="1">
      <alignment horizontal="center" vertical="center" wrapText="1"/>
    </xf>
    <xf numFmtId="0" fontId="5" fillId="29" borderId="0" xfId="161" applyFont="1" applyFill="1" applyAlignment="1">
      <alignment horizontal="center" vertical="center"/>
    </xf>
    <xf numFmtId="0" fontId="5" fillId="29" borderId="9" xfId="161" applyFont="1" applyFill="1" applyBorder="1" applyAlignment="1">
      <alignment vertical="center" wrapText="1"/>
    </xf>
    <xf numFmtId="0" fontId="5" fillId="29" borderId="8" xfId="161" applyFont="1" applyFill="1" applyBorder="1" applyAlignment="1">
      <alignment vertical="center" wrapText="1"/>
    </xf>
    <xf numFmtId="0" fontId="5" fillId="29" borderId="8" xfId="161" applyFont="1" applyFill="1" applyBorder="1" applyAlignment="1">
      <alignment horizontal="right" vertical="center" wrapText="1"/>
    </xf>
    <xf numFmtId="0" fontId="5" fillId="29" borderId="8" xfId="161" applyFont="1" applyFill="1" applyBorder="1" applyAlignment="1">
      <alignment horizontal="center" vertical="center" wrapText="1"/>
    </xf>
    <xf numFmtId="0" fontId="5" fillId="29" borderId="8" xfId="161" applyFont="1" applyFill="1" applyBorder="1" applyAlignment="1">
      <alignment horizontal="center" vertical="center"/>
    </xf>
    <xf numFmtId="194" fontId="5" fillId="29" borderId="0" xfId="161" applyNumberFormat="1" applyFont="1" applyFill="1" applyAlignment="1">
      <alignment horizontal="right" vertical="center" wrapText="1"/>
    </xf>
    <xf numFmtId="194" fontId="5" fillId="29" borderId="0" xfId="161" applyNumberFormat="1" applyFont="1" applyFill="1" applyAlignment="1">
      <alignment horizontal="center" vertical="center" wrapText="1"/>
    </xf>
    <xf numFmtId="194" fontId="5" fillId="29" borderId="0" xfId="161" applyNumberFormat="1" applyFont="1" applyFill="1" applyAlignment="1">
      <alignment horizontal="center" vertical="center"/>
    </xf>
    <xf numFmtId="194" fontId="5" fillId="29" borderId="9" xfId="161" applyNumberFormat="1" applyFont="1" applyFill="1" applyBorder="1" applyAlignment="1">
      <alignment horizontal="center" vertical="center"/>
    </xf>
    <xf numFmtId="194" fontId="8" fillId="29" borderId="0" xfId="161" applyNumberFormat="1" applyFont="1" applyFill="1" applyAlignment="1">
      <alignment horizontal="center" vertical="center" wrapText="1"/>
    </xf>
    <xf numFmtId="3" fontId="5" fillId="29" borderId="0" xfId="0" applyNumberFormat="1" applyFont="1" applyFill="1" applyBorder="1" applyAlignment="1">
      <alignment horizontal="center" vertical="center"/>
    </xf>
    <xf numFmtId="3" fontId="5" fillId="29" borderId="7" xfId="0" applyNumberFormat="1" applyFont="1" applyFill="1" applyBorder="1" applyAlignment="1">
      <alignment vertical="center"/>
    </xf>
    <xf numFmtId="3" fontId="5" fillId="29" borderId="7" xfId="0" applyNumberFormat="1" applyFont="1" applyFill="1" applyBorder="1" applyAlignment="1">
      <alignment horizontal="center" vertical="center"/>
    </xf>
    <xf numFmtId="0" fontId="5" fillId="29" borderId="7" xfId="161" applyFont="1" applyFill="1" applyBorder="1" applyAlignment="1">
      <alignment horizontal="center" vertical="center" wrapText="1"/>
    </xf>
    <xf numFmtId="1" fontId="5" fillId="29" borderId="7" xfId="0" applyNumberFormat="1" applyFont="1" applyFill="1" applyBorder="1" applyAlignment="1">
      <alignment horizontal="center" vertical="center"/>
    </xf>
    <xf numFmtId="1" fontId="5" fillId="29" borderId="9" xfId="0" applyNumberFormat="1" applyFont="1" applyFill="1" applyBorder="1" applyAlignment="1">
      <alignment horizontal="center" vertical="center"/>
    </xf>
    <xf numFmtId="1" fontId="5" fillId="29" borderId="8" xfId="0" applyNumberFormat="1" applyFont="1" applyFill="1" applyBorder="1" applyAlignment="1">
      <alignment horizontal="center" vertical="center"/>
    </xf>
    <xf numFmtId="0" fontId="5" fillId="29" borderId="7" xfId="134" applyFont="1" applyFill="1" applyBorder="1" applyAlignment="1">
      <alignment horizontal="center" vertical="center"/>
    </xf>
    <xf numFmtId="0" fontId="5" fillId="29" borderId="0" xfId="161" applyFont="1" applyFill="1" applyBorder="1" applyAlignment="1">
      <alignment horizontal="center" vertical="center" wrapText="1"/>
    </xf>
    <xf numFmtId="0" fontId="7" fillId="29" borderId="11" xfId="170" applyFont="1" applyFill="1" applyBorder="1" applyAlignment="1">
      <alignment vertical="center"/>
    </xf>
    <xf numFmtId="194" fontId="7" fillId="29" borderId="0" xfId="161" applyNumberFormat="1" applyFont="1" applyFill="1" applyAlignment="1">
      <alignment horizontal="center" vertical="center"/>
    </xf>
    <xf numFmtId="0" fontId="5" fillId="29" borderId="0" xfId="170" applyFont="1" applyFill="1" applyBorder="1" applyAlignment="1">
      <alignment horizontal="left" vertical="center" indent="1"/>
    </xf>
    <xf numFmtId="41" fontId="5" fillId="29" borderId="0" xfId="161" applyNumberFormat="1" applyFont="1" applyFill="1" applyAlignment="1">
      <alignment horizontal="right" vertical="center" wrapText="1"/>
    </xf>
    <xf numFmtId="194" fontId="7" fillId="29" borderId="0" xfId="161" applyNumberFormat="1" applyFont="1" applyFill="1" applyAlignment="1">
      <alignment horizontal="center" vertical="center" wrapText="1"/>
    </xf>
    <xf numFmtId="41" fontId="5" fillId="29" borderId="0" xfId="161" applyNumberFormat="1" applyFont="1" applyFill="1" applyAlignment="1">
      <alignment horizontal="center" vertical="center"/>
    </xf>
    <xf numFmtId="194" fontId="5" fillId="29" borderId="0" xfId="161" applyNumberFormat="1" applyFont="1" applyFill="1" applyBorder="1" applyAlignment="1">
      <alignment horizontal="center" vertical="center" wrapText="1"/>
    </xf>
    <xf numFmtId="194" fontId="7" fillId="29" borderId="0" xfId="161" applyNumberFormat="1" applyFont="1" applyFill="1" applyBorder="1" applyAlignment="1">
      <alignment horizontal="center" vertical="center"/>
    </xf>
    <xf numFmtId="0" fontId="7" fillId="29" borderId="0" xfId="170" applyFont="1" applyFill="1" applyBorder="1" applyAlignment="1">
      <alignment vertical="center"/>
    </xf>
    <xf numFmtId="194" fontId="7" fillId="29" borderId="0" xfId="161" applyNumberFormat="1" applyFont="1" applyFill="1" applyAlignment="1">
      <alignment horizontal="right" vertical="center" wrapText="1"/>
    </xf>
    <xf numFmtId="194" fontId="7" fillId="29" borderId="0" xfId="161" applyNumberFormat="1" applyFont="1" applyFill="1" applyBorder="1" applyAlignment="1">
      <alignment horizontal="center" vertical="center" wrapText="1"/>
    </xf>
    <xf numFmtId="169" fontId="5" fillId="29" borderId="7" xfId="0" applyFont="1" applyFill="1" applyBorder="1" applyAlignment="1">
      <alignment horizontal="center" vertical="center"/>
    </xf>
    <xf numFmtId="0" fontId="5" fillId="29" borderId="0" xfId="189" applyFont="1" applyFill="1" applyAlignment="1">
      <alignment horizontal="center" vertical="center"/>
    </xf>
    <xf numFmtId="170" fontId="5" fillId="29" borderId="7" xfId="189" applyNumberFormat="1" applyFont="1" applyFill="1" applyBorder="1" applyAlignment="1">
      <alignment vertical="center"/>
    </xf>
    <xf numFmtId="170" fontId="5" fillId="29" borderId="7" xfId="189" applyNumberFormat="1" applyFont="1" applyFill="1" applyBorder="1" applyAlignment="1">
      <alignment horizontal="center" vertical="center"/>
    </xf>
    <xf numFmtId="170" fontId="5" fillId="29" borderId="0" xfId="189" applyNumberFormat="1" applyFont="1" applyFill="1" applyBorder="1" applyAlignment="1">
      <alignment horizontal="center" vertical="center"/>
    </xf>
    <xf numFmtId="170" fontId="5" fillId="29" borderId="0" xfId="189" applyNumberFormat="1" applyFont="1" applyFill="1" applyBorder="1" applyAlignment="1">
      <alignment vertical="center"/>
    </xf>
    <xf numFmtId="169" fontId="5" fillId="29" borderId="9" xfId="0" applyFont="1" applyFill="1" applyBorder="1" applyAlignment="1">
      <alignment horizontal="center" vertical="center"/>
    </xf>
    <xf numFmtId="169" fontId="5" fillId="29" borderId="8" xfId="0" applyFont="1" applyFill="1" applyBorder="1" applyAlignment="1">
      <alignment horizontal="center" vertical="center"/>
    </xf>
    <xf numFmtId="41" fontId="5" fillId="29" borderId="0" xfId="0" applyNumberFormat="1" applyFont="1" applyFill="1" applyAlignment="1">
      <alignment horizontal="center" vertical="center"/>
    </xf>
    <xf numFmtId="41" fontId="5" fillId="29" borderId="0" xfId="38" applyFont="1" applyFill="1" applyAlignment="1">
      <alignment horizontal="center" vertical="center"/>
    </xf>
    <xf numFmtId="41" fontId="5" fillId="29" borderId="0" xfId="38" applyFont="1" applyFill="1" applyAlignment="1">
      <alignment horizontal="center" vertical="center" wrapText="1"/>
    </xf>
    <xf numFmtId="170" fontId="5" fillId="29" borderId="0" xfId="38" applyNumberFormat="1" applyFont="1" applyFill="1" applyAlignment="1">
      <alignment horizontal="center" vertical="center" wrapText="1"/>
    </xf>
    <xf numFmtId="171" fontId="7" fillId="29" borderId="0" xfId="0" applyNumberFormat="1" applyFont="1" applyFill="1" applyAlignment="1">
      <alignment horizontal="center" vertical="center"/>
    </xf>
    <xf numFmtId="171" fontId="5" fillId="29" borderId="0" xfId="0" applyNumberFormat="1" applyFont="1" applyFill="1" applyAlignment="1">
      <alignment horizontal="center" vertical="center"/>
    </xf>
    <xf numFmtId="0" fontId="5" fillId="29" borderId="7" xfId="161" applyFont="1" applyFill="1" applyBorder="1" applyAlignment="1">
      <alignment vertical="center" wrapText="1"/>
    </xf>
    <xf numFmtId="1" fontId="5" fillId="29" borderId="8" xfId="189" applyNumberFormat="1" applyFont="1" applyFill="1" applyBorder="1" applyAlignment="1">
      <alignment horizontal="center" vertical="center"/>
    </xf>
    <xf numFmtId="0" fontId="5" fillId="29" borderId="8" xfId="224" applyNumberFormat="1" applyFont="1" applyFill="1" applyBorder="1" applyAlignment="1">
      <alignment horizontal="center" vertical="center"/>
    </xf>
    <xf numFmtId="0" fontId="5" fillId="29" borderId="7" xfId="134" applyNumberFormat="1" applyFont="1" applyFill="1" applyBorder="1" applyAlignment="1">
      <alignment horizontal="center" vertical="center"/>
    </xf>
    <xf numFmtId="194" fontId="5" fillId="29" borderId="7" xfId="161" applyNumberFormat="1" applyFont="1" applyFill="1" applyBorder="1" applyAlignment="1">
      <alignment horizontal="right" vertical="center" wrapText="1"/>
    </xf>
    <xf numFmtId="194" fontId="5" fillId="29" borderId="7" xfId="161" applyNumberFormat="1" applyFont="1" applyFill="1" applyBorder="1" applyAlignment="1">
      <alignment horizontal="center" vertical="center" wrapText="1"/>
    </xf>
    <xf numFmtId="194" fontId="7" fillId="29" borderId="7" xfId="161" applyNumberFormat="1" applyFont="1" applyFill="1" applyBorder="1" applyAlignment="1">
      <alignment horizontal="center" vertical="center" wrapText="1"/>
    </xf>
    <xf numFmtId="41" fontId="7" fillId="29" borderId="7" xfId="161" applyNumberFormat="1" applyFont="1" applyFill="1" applyBorder="1" applyAlignment="1">
      <alignment vertical="center" wrapText="1"/>
    </xf>
    <xf numFmtId="194" fontId="5" fillId="29" borderId="0" xfId="161" applyNumberFormat="1" applyFont="1" applyFill="1" applyBorder="1" applyAlignment="1">
      <alignment horizontal="right" vertical="center" wrapText="1"/>
    </xf>
    <xf numFmtId="194" fontId="5" fillId="29" borderId="0" xfId="161" applyNumberFormat="1" applyFont="1" applyFill="1" applyBorder="1" applyAlignment="1">
      <alignment horizontal="center" vertical="center"/>
    </xf>
    <xf numFmtId="0" fontId="7" fillId="29" borderId="0" xfId="161" applyFont="1" applyFill="1" applyAlignment="1">
      <alignment horizontal="left" vertical="center" wrapText="1"/>
    </xf>
    <xf numFmtId="0" fontId="5" fillId="29" borderId="0" xfId="161" applyFont="1" applyFill="1" applyAlignment="1">
      <alignment horizontal="left" vertical="center" wrapText="1" indent="1"/>
    </xf>
    <xf numFmtId="3" fontId="5" fillId="29" borderId="0" xfId="161" applyNumberFormat="1" applyFont="1" applyFill="1" applyAlignment="1">
      <alignment horizontal="center" vertical="center" wrapText="1"/>
    </xf>
    <xf numFmtId="3" fontId="5" fillId="29" borderId="0" xfId="161" applyNumberFormat="1" applyFont="1" applyFill="1" applyAlignment="1">
      <alignment horizontal="right" vertical="center" wrapText="1"/>
    </xf>
    <xf numFmtId="0" fontId="7" fillId="29" borderId="0" xfId="161" applyFont="1" applyFill="1" applyAlignment="1">
      <alignment vertical="center" wrapText="1"/>
    </xf>
    <xf numFmtId="3" fontId="5" fillId="29" borderId="0" xfId="161" applyNumberFormat="1" applyFont="1" applyFill="1" applyAlignment="1">
      <alignment horizontal="center" vertical="center"/>
    </xf>
    <xf numFmtId="41" fontId="5" fillId="29" borderId="0" xfId="38" applyFont="1" applyFill="1" applyAlignment="1">
      <alignment horizontal="right" vertical="center" wrapText="1"/>
    </xf>
    <xf numFmtId="41" fontId="8" fillId="29" borderId="0" xfId="38" applyFont="1" applyFill="1" applyAlignment="1">
      <alignment horizontal="right" vertical="center" wrapText="1"/>
    </xf>
    <xf numFmtId="41" fontId="8" fillId="29" borderId="0" xfId="161" applyNumberFormat="1" applyFont="1" applyFill="1" applyAlignment="1">
      <alignment horizontal="right" vertical="center" wrapText="1"/>
    </xf>
    <xf numFmtId="38" fontId="8" fillId="29" borderId="0" xfId="161" applyNumberFormat="1" applyFont="1" applyFill="1" applyAlignment="1">
      <alignment horizontal="right" vertical="center" wrapText="1"/>
    </xf>
    <xf numFmtId="0" fontId="8" fillId="29" borderId="0" xfId="161" applyFont="1" applyFill="1" applyAlignment="1">
      <alignment horizontal="right" vertical="center" wrapText="1"/>
    </xf>
    <xf numFmtId="0" fontId="8" fillId="29" borderId="0" xfId="161" applyFont="1" applyFill="1" applyAlignment="1">
      <alignment horizontal="center" vertical="center" wrapText="1"/>
    </xf>
    <xf numFmtId="0" fontId="5" fillId="29" borderId="0" xfId="237" applyFont="1" applyFill="1"/>
    <xf numFmtId="0" fontId="5" fillId="29" borderId="0" xfId="237" applyFont="1" applyFill="1" applyAlignment="1">
      <alignment horizontal="center"/>
    </xf>
    <xf numFmtId="0" fontId="5" fillId="29" borderId="0" xfId="237" applyFont="1" applyFill="1" applyAlignment="1">
      <alignment vertical="center"/>
    </xf>
    <xf numFmtId="0" fontId="5" fillId="29" borderId="0" xfId="237" applyFont="1" applyFill="1" applyAlignment="1">
      <alignment horizontal="center" vertical="center"/>
    </xf>
    <xf numFmtId="3" fontId="7" fillId="29" borderId="0" xfId="0" applyNumberFormat="1" applyFont="1" applyFill="1" applyAlignment="1">
      <alignment vertical="center"/>
    </xf>
    <xf numFmtId="3" fontId="7" fillId="29" borderId="0" xfId="0" applyNumberFormat="1" applyFont="1" applyFill="1" applyAlignment="1">
      <alignment horizontal="center" vertical="center"/>
    </xf>
    <xf numFmtId="0" fontId="7" fillId="29" borderId="0" xfId="237" applyFont="1" applyFill="1" applyAlignment="1">
      <alignment horizontal="center" vertical="center"/>
    </xf>
    <xf numFmtId="0" fontId="5" fillId="29" borderId="18" xfId="0" applyNumberFormat="1" applyFont="1" applyFill="1" applyBorder="1" applyAlignment="1">
      <alignment horizontal="center" vertical="center" wrapText="1"/>
    </xf>
    <xf numFmtId="0" fontId="5" fillId="29" borderId="8" xfId="0" applyNumberFormat="1" applyFont="1" applyFill="1" applyBorder="1" applyAlignment="1">
      <alignment horizontal="center" vertical="center" wrapText="1"/>
    </xf>
    <xf numFmtId="0" fontId="5" fillId="29" borderId="18" xfId="0" applyNumberFormat="1" applyFont="1" applyFill="1" applyBorder="1" applyAlignment="1">
      <alignment horizontal="center" vertical="top" wrapText="1"/>
    </xf>
    <xf numFmtId="0" fontId="8" fillId="29" borderId="0" xfId="0" applyNumberFormat="1" applyFont="1" applyFill="1" applyBorder="1" applyAlignment="1">
      <alignment wrapText="1"/>
    </xf>
    <xf numFmtId="3" fontId="5" fillId="29" borderId="0" xfId="0" applyNumberFormat="1" applyFont="1" applyFill="1" applyBorder="1" applyAlignment="1">
      <alignment horizontal="center" vertical="center" wrapText="1"/>
    </xf>
    <xf numFmtId="3" fontId="5" fillId="29" borderId="0" xfId="161" applyNumberFormat="1" applyFont="1" applyFill="1" applyBorder="1" applyAlignment="1">
      <alignment horizontal="center" vertical="center" wrapText="1"/>
    </xf>
    <xf numFmtId="3" fontId="5" fillId="29" borderId="0" xfId="161" applyNumberFormat="1" applyFont="1" applyFill="1" applyBorder="1" applyAlignment="1">
      <alignment horizontal="center" vertical="center"/>
    </xf>
    <xf numFmtId="0" fontId="5" fillId="29" borderId="0" xfId="0" applyNumberFormat="1" applyFont="1" applyFill="1" applyBorder="1" applyAlignment="1">
      <alignment horizontal="center" wrapText="1"/>
    </xf>
    <xf numFmtId="3" fontId="5" fillId="29" borderId="0" xfId="0" applyNumberFormat="1" applyFont="1" applyFill="1" applyBorder="1" applyAlignment="1">
      <alignment horizontal="right" wrapText="1"/>
    </xf>
    <xf numFmtId="0" fontId="8" fillId="29" borderId="0" xfId="0" applyNumberFormat="1" applyFont="1" applyFill="1" applyBorder="1" applyAlignment="1">
      <alignment horizontal="justify" wrapText="1"/>
    </xf>
    <xf numFmtId="0" fontId="8" fillId="29" borderId="0" xfId="134" applyFont="1" applyFill="1" applyBorder="1"/>
    <xf numFmtId="49" fontId="8" fillId="29" borderId="7" xfId="136" applyNumberFormat="1" applyFont="1" applyFill="1" applyBorder="1"/>
    <xf numFmtId="0" fontId="5" fillId="29" borderId="0" xfId="161" applyFont="1" applyFill="1" applyAlignment="1">
      <alignment horizontal="left" vertical="top" wrapText="1"/>
    </xf>
    <xf numFmtId="0" fontId="5" fillId="29" borderId="21" xfId="0" applyNumberFormat="1" applyFont="1" applyFill="1" applyBorder="1" applyAlignment="1">
      <alignment horizontal="center" vertical="center" wrapText="1"/>
    </xf>
    <xf numFmtId="0" fontId="5" fillId="29" borderId="20" xfId="0" applyNumberFormat="1" applyFont="1" applyFill="1" applyBorder="1" applyAlignment="1">
      <alignment horizontal="center" vertical="center" wrapText="1"/>
    </xf>
    <xf numFmtId="194" fontId="5" fillId="29" borderId="0" xfId="0" applyNumberFormat="1" applyFont="1" applyFill="1" applyAlignment="1">
      <alignment horizontal="left" vertical="center" wrapText="1"/>
    </xf>
    <xf numFmtId="41" fontId="5" fillId="29" borderId="0" xfId="38" applyFont="1" applyFill="1" applyAlignment="1">
      <alignment horizontal="left" vertical="center" wrapText="1"/>
    </xf>
    <xf numFmtId="3" fontId="5" fillId="29" borderId="0" xfId="0" applyNumberFormat="1" applyFont="1" applyFill="1" applyAlignment="1">
      <alignment horizontal="center" vertical="center" wrapText="1"/>
    </xf>
    <xf numFmtId="169" fontId="5" fillId="29" borderId="0" xfId="0" applyFont="1" applyFill="1" applyAlignment="1">
      <alignment horizontal="center" vertical="center" wrapText="1"/>
    </xf>
    <xf numFmtId="0" fontId="7" fillId="29" borderId="19" xfId="0" applyNumberFormat="1" applyFont="1" applyFill="1" applyBorder="1" applyAlignment="1">
      <alignment vertical="center" wrapText="1"/>
    </xf>
    <xf numFmtId="0" fontId="7" fillId="29" borderId="18" xfId="0" applyNumberFormat="1" applyFont="1" applyFill="1" applyBorder="1" applyAlignment="1">
      <alignment vertical="center" wrapText="1"/>
    </xf>
    <xf numFmtId="0" fontId="7" fillId="29" borderId="18" xfId="0" applyNumberFormat="1" applyFont="1" applyFill="1" applyBorder="1" applyAlignment="1">
      <alignment wrapText="1"/>
    </xf>
    <xf numFmtId="0" fontId="5" fillId="29" borderId="22" xfId="0" applyNumberFormat="1" applyFont="1" applyFill="1" applyBorder="1" applyAlignment="1">
      <alignment horizontal="center" vertical="center" wrapText="1"/>
    </xf>
    <xf numFmtId="0" fontId="5" fillId="29" borderId="19" xfId="0" applyNumberFormat="1" applyFont="1" applyFill="1" applyBorder="1" applyAlignment="1">
      <alignment horizontal="center" vertical="center" wrapText="1"/>
    </xf>
    <xf numFmtId="0" fontId="5" fillId="29" borderId="30" xfId="0" applyNumberFormat="1" applyFont="1" applyFill="1" applyBorder="1" applyAlignment="1">
      <alignment horizontal="center" vertical="center" wrapText="1"/>
    </xf>
    <xf numFmtId="0" fontId="5" fillId="29" borderId="30" xfId="224" applyNumberFormat="1" applyFont="1" applyFill="1" applyBorder="1" applyAlignment="1">
      <alignment horizontal="center" vertical="center"/>
    </xf>
    <xf numFmtId="1" fontId="5" fillId="29" borderId="30" xfId="189" applyNumberFormat="1" applyFont="1" applyFill="1" applyBorder="1" applyAlignment="1">
      <alignment horizontal="center" vertical="center" wrapText="1"/>
    </xf>
    <xf numFmtId="0" fontId="5" fillId="29" borderId="31" xfId="0" applyNumberFormat="1" applyFont="1" applyFill="1" applyBorder="1" applyAlignment="1">
      <alignment horizontal="center" vertical="top" wrapText="1"/>
    </xf>
    <xf numFmtId="0" fontId="5" fillId="29" borderId="30" xfId="0" applyNumberFormat="1" applyFont="1" applyFill="1" applyBorder="1" applyAlignment="1">
      <alignment horizontal="center" wrapText="1"/>
    </xf>
    <xf numFmtId="0" fontId="5" fillId="29" borderId="30" xfId="0" applyNumberFormat="1" applyFont="1" applyFill="1" applyBorder="1" applyAlignment="1">
      <alignment horizontal="justify" wrapText="1"/>
    </xf>
    <xf numFmtId="41" fontId="5" fillId="29" borderId="30" xfId="161" applyNumberFormat="1" applyFont="1" applyFill="1" applyBorder="1" applyAlignment="1">
      <alignment horizontal="right" vertical="center" wrapText="1"/>
    </xf>
    <xf numFmtId="41" fontId="5" fillId="29" borderId="30" xfId="0" applyNumberFormat="1" applyFont="1" applyFill="1" applyBorder="1" applyAlignment="1">
      <alignment horizontal="center" vertical="center" wrapText="1"/>
    </xf>
    <xf numFmtId="41" fontId="5" fillId="29" borderId="30" xfId="161" applyNumberFormat="1" applyFont="1" applyFill="1" applyBorder="1" applyAlignment="1">
      <alignment horizontal="center" vertical="center"/>
    </xf>
    <xf numFmtId="0" fontId="5" fillId="29" borderId="30" xfId="0" applyNumberFormat="1" applyFont="1" applyFill="1" applyBorder="1" applyAlignment="1">
      <alignment horizontal="right" vertical="center" wrapText="1"/>
    </xf>
    <xf numFmtId="0" fontId="5" fillId="29" borderId="29" xfId="0" applyNumberFormat="1" applyFont="1" applyFill="1" applyBorder="1" applyAlignment="1">
      <alignment horizontal="center" wrapText="1"/>
    </xf>
    <xf numFmtId="41" fontId="5" fillId="29" borderId="30" xfId="161" applyNumberFormat="1" applyFont="1" applyFill="1" applyBorder="1" applyAlignment="1">
      <alignment horizontal="center" vertical="center" wrapText="1"/>
    </xf>
    <xf numFmtId="3" fontId="5" fillId="29" borderId="30" xfId="0" applyNumberFormat="1" applyFont="1" applyFill="1" applyBorder="1" applyAlignment="1">
      <alignment horizontal="center" vertical="center" wrapText="1"/>
    </xf>
    <xf numFmtId="3" fontId="5" fillId="29" borderId="30" xfId="0" applyNumberFormat="1" applyFont="1" applyFill="1" applyBorder="1" applyAlignment="1">
      <alignment horizontal="right" vertical="center" wrapText="1"/>
    </xf>
    <xf numFmtId="0" fontId="8" fillId="29" borderId="0" xfId="134" applyFont="1" applyFill="1" applyAlignment="1">
      <alignment wrapText="1"/>
    </xf>
    <xf numFmtId="0" fontId="8" fillId="29" borderId="30" xfId="0" applyNumberFormat="1" applyFont="1" applyFill="1" applyBorder="1" applyAlignment="1">
      <alignment horizontal="justify" wrapText="1"/>
    </xf>
    <xf numFmtId="41" fontId="5" fillId="29" borderId="30" xfId="38" applyFont="1" applyFill="1" applyBorder="1" applyAlignment="1">
      <alignment horizontal="right" wrapText="1"/>
    </xf>
    <xf numFmtId="0" fontId="5" fillId="29" borderId="29" xfId="0" applyNumberFormat="1" applyFont="1" applyFill="1" applyBorder="1" applyAlignment="1">
      <alignment horizontal="right" wrapText="1"/>
    </xf>
    <xf numFmtId="0" fontId="5" fillId="29" borderId="23" xfId="0" applyNumberFormat="1" applyFont="1" applyFill="1" applyBorder="1" applyAlignment="1">
      <alignment horizontal="center" wrapText="1"/>
    </xf>
    <xf numFmtId="0" fontId="5" fillId="29" borderId="30" xfId="0" applyNumberFormat="1" applyFont="1" applyFill="1" applyBorder="1" applyAlignment="1">
      <alignment horizontal="right" wrapText="1"/>
    </xf>
    <xf numFmtId="0" fontId="5" fillId="29" borderId="23" xfId="0" applyNumberFormat="1" applyFont="1" applyFill="1" applyBorder="1" applyAlignment="1">
      <alignment horizontal="justify" wrapText="1"/>
    </xf>
    <xf numFmtId="41" fontId="5" fillId="29" borderId="30" xfId="38" applyFont="1" applyFill="1" applyBorder="1" applyAlignment="1">
      <alignment horizontal="center" wrapText="1"/>
    </xf>
    <xf numFmtId="41" fontId="5" fillId="29" borderId="0" xfId="161" applyNumberFormat="1" applyFont="1" applyFill="1" applyAlignment="1">
      <alignment vertical="center" wrapText="1"/>
    </xf>
    <xf numFmtId="41" fontId="5" fillId="29" borderId="0" xfId="161" applyNumberFormat="1" applyFont="1" applyFill="1" applyAlignment="1">
      <alignment horizontal="center" vertical="center" wrapText="1"/>
    </xf>
    <xf numFmtId="0" fontId="5" fillId="29" borderId="30" xfId="0" applyNumberFormat="1" applyFont="1" applyFill="1" applyBorder="1" applyAlignment="1">
      <alignment wrapText="1"/>
    </xf>
    <xf numFmtId="41" fontId="5" fillId="29" borderId="30" xfId="161" applyNumberFormat="1" applyFont="1" applyFill="1" applyBorder="1" applyAlignment="1">
      <alignment vertical="center" wrapText="1"/>
    </xf>
    <xf numFmtId="0" fontId="5" fillId="29" borderId="30" xfId="161" applyFont="1" applyFill="1" applyBorder="1" applyAlignment="1">
      <alignment horizontal="center" vertical="center" wrapText="1"/>
    </xf>
    <xf numFmtId="0" fontId="5" fillId="29" borderId="30" xfId="161" applyFont="1" applyFill="1" applyBorder="1" applyAlignment="1">
      <alignment vertical="center" wrapText="1"/>
    </xf>
    <xf numFmtId="0" fontId="5" fillId="29" borderId="30" xfId="161" applyFont="1" applyFill="1" applyBorder="1" applyAlignment="1">
      <alignment horizontal="right" vertical="center" wrapText="1"/>
    </xf>
    <xf numFmtId="3" fontId="5" fillId="29" borderId="38" xfId="0" applyNumberFormat="1" applyFont="1" applyFill="1" applyBorder="1" applyAlignment="1">
      <alignment horizontal="right" vertical="center" wrapText="1"/>
    </xf>
    <xf numFmtId="3" fontId="5" fillId="29" borderId="25" xfId="0" applyNumberFormat="1" applyFont="1" applyFill="1" applyBorder="1" applyAlignment="1">
      <alignment horizontal="right" vertical="center" wrapText="1"/>
    </xf>
    <xf numFmtId="41" fontId="5" fillId="29" borderId="25" xfId="38" applyFont="1" applyFill="1" applyBorder="1" applyAlignment="1">
      <alignment horizontal="center" wrapText="1"/>
    </xf>
    <xf numFmtId="41" fontId="5" fillId="29" borderId="23" xfId="38" applyFont="1" applyFill="1" applyBorder="1" applyAlignment="1">
      <alignment horizontal="center" wrapText="1"/>
    </xf>
    <xf numFmtId="0" fontId="5" fillId="29" borderId="23" xfId="0" applyNumberFormat="1" applyFont="1" applyFill="1" applyBorder="1" applyAlignment="1">
      <alignment horizontal="center" vertical="center" wrapText="1"/>
    </xf>
    <xf numFmtId="0" fontId="8" fillId="29" borderId="30" xfId="134" applyFont="1" applyFill="1" applyBorder="1" applyAlignment="1">
      <alignment horizontal="left" wrapText="1"/>
    </xf>
    <xf numFmtId="3" fontId="5" fillId="29" borderId="22" xfId="0" applyNumberFormat="1" applyFont="1" applyFill="1" applyBorder="1" applyAlignment="1">
      <alignment horizontal="center" vertical="center" wrapText="1"/>
    </xf>
    <xf numFmtId="3" fontId="5" fillId="29" borderId="23" xfId="0" applyNumberFormat="1" applyFont="1" applyFill="1" applyBorder="1" applyAlignment="1">
      <alignment horizontal="right" vertical="center" wrapText="1"/>
    </xf>
    <xf numFmtId="3" fontId="5" fillId="29" borderId="29" xfId="0" applyNumberFormat="1" applyFont="1" applyFill="1" applyBorder="1" applyAlignment="1">
      <alignment horizontal="right" vertical="center" wrapText="1"/>
    </xf>
    <xf numFmtId="0" fontId="5" fillId="29" borderId="24" xfId="0" applyNumberFormat="1" applyFont="1" applyFill="1" applyBorder="1" applyAlignment="1">
      <alignment horizontal="center" vertical="center" wrapText="1"/>
    </xf>
    <xf numFmtId="41" fontId="5" fillId="29" borderId="23" xfId="0" applyNumberFormat="1" applyFont="1" applyFill="1" applyBorder="1" applyAlignment="1">
      <alignment horizontal="right" vertical="center" wrapText="1"/>
    </xf>
    <xf numFmtId="0" fontId="5" fillId="29" borderId="25" xfId="0" applyNumberFormat="1" applyFont="1" applyFill="1" applyBorder="1" applyAlignment="1">
      <alignment horizontal="center" vertical="center" wrapText="1"/>
    </xf>
    <xf numFmtId="41" fontId="5" fillId="29" borderId="24" xfId="38" applyFont="1" applyFill="1" applyBorder="1" applyAlignment="1">
      <alignment horizontal="right" wrapText="1"/>
    </xf>
    <xf numFmtId="41" fontId="5" fillId="29" borderId="22" xfId="38" applyFont="1" applyFill="1" applyBorder="1" applyAlignment="1">
      <alignment horizontal="right" wrapText="1"/>
    </xf>
    <xf numFmtId="41" fontId="5" fillId="29" borderId="23" xfId="38" applyFont="1" applyFill="1" applyBorder="1" applyAlignment="1">
      <alignment horizontal="right" wrapText="1"/>
    </xf>
    <xf numFmtId="0" fontId="5" fillId="29" borderId="23" xfId="0" applyNumberFormat="1" applyFont="1" applyFill="1" applyBorder="1" applyAlignment="1">
      <alignment horizontal="right" wrapText="1"/>
    </xf>
    <xf numFmtId="0" fontId="5" fillId="29" borderId="19" xfId="0" applyNumberFormat="1" applyFont="1" applyFill="1" applyBorder="1" applyAlignment="1">
      <alignment horizontal="center" wrapText="1"/>
    </xf>
    <xf numFmtId="0" fontId="8" fillId="29" borderId="30" xfId="136" applyFont="1" applyFill="1" applyBorder="1"/>
    <xf numFmtId="41" fontId="5" fillId="29" borderId="0" xfId="38" applyFont="1" applyFill="1" applyBorder="1" applyAlignment="1">
      <alignment horizontal="right" wrapText="1"/>
    </xf>
    <xf numFmtId="0" fontId="5" fillId="29" borderId="32" xfId="0" applyNumberFormat="1" applyFont="1" applyFill="1" applyBorder="1" applyAlignment="1">
      <alignment horizontal="center" vertical="center" wrapText="1"/>
    </xf>
    <xf numFmtId="0" fontId="5" fillId="29" borderId="0" xfId="161" applyFont="1" applyFill="1" applyBorder="1" applyAlignment="1">
      <alignment vertical="center" wrapText="1"/>
    </xf>
    <xf numFmtId="0" fontId="5" fillId="29" borderId="39" xfId="0" applyNumberFormat="1" applyFont="1" applyFill="1" applyBorder="1" applyAlignment="1">
      <alignment horizontal="center" wrapText="1"/>
    </xf>
    <xf numFmtId="0" fontId="8" fillId="29" borderId="30" xfId="134" applyFont="1" applyFill="1" applyBorder="1" applyAlignment="1">
      <alignment wrapText="1"/>
    </xf>
    <xf numFmtId="38" fontId="5" fillId="29" borderId="30" xfId="0" applyNumberFormat="1" applyFont="1" applyFill="1" applyBorder="1" applyAlignment="1">
      <alignment horizontal="right" vertical="center" wrapText="1"/>
    </xf>
    <xf numFmtId="0" fontId="5" fillId="29" borderId="0" xfId="0" applyNumberFormat="1" applyFont="1" applyFill="1" applyBorder="1" applyAlignment="1">
      <alignment vertical="center" wrapText="1"/>
    </xf>
    <xf numFmtId="0" fontId="5" fillId="29" borderId="25" xfId="0" applyNumberFormat="1" applyFont="1" applyFill="1" applyBorder="1" applyAlignment="1">
      <alignment horizontal="center" wrapText="1"/>
    </xf>
    <xf numFmtId="169" fontId="0" fillId="29" borderId="0" xfId="0" applyFill="1" applyAlignment="1">
      <alignment horizontal="right"/>
    </xf>
    <xf numFmtId="3" fontId="7" fillId="29" borderId="0" xfId="0" applyNumberFormat="1" applyFont="1" applyFill="1" applyAlignment="1"/>
    <xf numFmtId="2" fontId="7" fillId="29" borderId="0" xfId="0" applyNumberFormat="1" applyFont="1" applyFill="1" applyAlignment="1">
      <alignment horizontal="right"/>
    </xf>
    <xf numFmtId="2" fontId="5" fillId="29" borderId="0" xfId="0" applyNumberFormat="1" applyFont="1" applyFill="1" applyAlignment="1">
      <alignment horizontal="right"/>
    </xf>
    <xf numFmtId="170" fontId="7" fillId="29" borderId="0" xfId="151" applyNumberFormat="1" applyFont="1" applyFill="1" applyAlignment="1">
      <alignment horizontal="center"/>
    </xf>
    <xf numFmtId="170" fontId="7" fillId="29" borderId="0" xfId="153" applyNumberFormat="1" applyFont="1" applyFill="1" applyAlignment="1">
      <alignment horizontal="center"/>
    </xf>
    <xf numFmtId="170" fontId="5" fillId="29" borderId="0" xfId="153" applyNumberFormat="1" applyFont="1" applyFill="1" applyBorder="1" applyAlignment="1">
      <alignment horizontal="center"/>
    </xf>
    <xf numFmtId="3" fontId="5" fillId="29" borderId="0" xfId="80" applyNumberFormat="1" applyFont="1" applyFill="1" applyAlignment="1">
      <alignment horizontal="right"/>
    </xf>
    <xf numFmtId="171" fontId="7" fillId="29" borderId="0" xfId="0" applyNumberFormat="1" applyFont="1" applyFill="1" applyAlignment="1"/>
    <xf numFmtId="171" fontId="7" fillId="29" borderId="0" xfId="177" applyNumberFormat="1" applyFont="1" applyFill="1" applyAlignment="1">
      <alignment horizontal="right"/>
    </xf>
    <xf numFmtId="171" fontId="5" fillId="29" borderId="0" xfId="80" applyNumberFormat="1" applyFont="1" applyFill="1" applyAlignment="1">
      <alignment horizontal="right"/>
    </xf>
    <xf numFmtId="171" fontId="5" fillId="29" borderId="0" xfId="0" applyNumberFormat="1" applyFont="1" applyFill="1" applyAlignment="1"/>
    <xf numFmtId="171" fontId="5" fillId="29" borderId="0" xfId="177" applyNumberFormat="1" applyFont="1" applyFill="1" applyAlignment="1">
      <alignment horizontal="right"/>
    </xf>
    <xf numFmtId="169" fontId="5" fillId="29" borderId="7" xfId="80" applyFont="1" applyFill="1" applyBorder="1" applyAlignment="1">
      <alignment horizontal="right"/>
    </xf>
    <xf numFmtId="169" fontId="115" fillId="29" borderId="0" xfId="0" applyFont="1" applyFill="1"/>
    <xf numFmtId="169" fontId="115" fillId="29" borderId="0" xfId="0" applyFont="1" applyFill="1" applyAlignment="1">
      <alignment horizontal="right"/>
    </xf>
    <xf numFmtId="169" fontId="134" fillId="29" borderId="0" xfId="0" applyFont="1" applyFill="1"/>
    <xf numFmtId="169" fontId="11" fillId="29" borderId="0" xfId="0" applyFont="1" applyFill="1"/>
    <xf numFmtId="0" fontId="102" fillId="29" borderId="0" xfId="134" applyFont="1" applyFill="1"/>
    <xf numFmtId="202" fontId="7" fillId="29" borderId="0" xfId="0" applyNumberFormat="1" applyFont="1" applyFill="1" applyAlignment="1">
      <alignment horizontal="right"/>
    </xf>
    <xf numFmtId="202" fontId="5" fillId="29" borderId="0" xfId="0" applyNumberFormat="1" applyFont="1" applyFill="1" applyAlignment="1">
      <alignment horizontal="right"/>
    </xf>
    <xf numFmtId="202" fontId="5" fillId="29" borderId="7" xfId="0" applyNumberFormat="1" applyFont="1" applyFill="1" applyBorder="1" applyAlignment="1">
      <alignment horizontal="right"/>
    </xf>
    <xf numFmtId="170" fontId="11" fillId="29" borderId="0" xfId="134" applyNumberFormat="1" applyFont="1" applyFill="1" applyAlignment="1">
      <alignment horizontal="right"/>
    </xf>
    <xf numFmtId="0" fontId="5" fillId="29" borderId="7" xfId="0" quotePrefix="1" applyNumberFormat="1" applyFont="1" applyFill="1" applyBorder="1" applyAlignment="1">
      <alignment horizontal="left"/>
    </xf>
    <xf numFmtId="0" fontId="5" fillId="29" borderId="7" xfId="0" applyNumberFormat="1" applyFont="1" applyFill="1" applyBorder="1"/>
    <xf numFmtId="0" fontId="0" fillId="29" borderId="7" xfId="0" applyNumberFormat="1" applyFill="1" applyBorder="1"/>
    <xf numFmtId="0" fontId="0" fillId="29" borderId="7" xfId="0" applyNumberFormat="1" applyFill="1" applyBorder="1" applyAlignment="1">
      <alignment horizontal="right"/>
    </xf>
    <xf numFmtId="3" fontId="10" fillId="29" borderId="0" xfId="0" applyNumberFormat="1" applyFont="1" applyFill="1" applyAlignment="1">
      <alignment horizontal="center"/>
    </xf>
    <xf numFmtId="0" fontId="5" fillId="29" borderId="0" xfId="0" applyNumberFormat="1" applyFont="1" applyFill="1" applyAlignment="1">
      <alignment horizontal="center"/>
    </xf>
    <xf numFmtId="10" fontId="5" fillId="29" borderId="9" xfId="0" applyNumberFormat="1" applyFont="1" applyFill="1" applyBorder="1" applyAlignment="1">
      <alignment horizontal="center"/>
    </xf>
    <xf numFmtId="0" fontId="5" fillId="29" borderId="7" xfId="0" applyNumberFormat="1" applyFont="1" applyFill="1" applyBorder="1" applyAlignment="1">
      <alignment horizontal="center"/>
    </xf>
    <xf numFmtId="171" fontId="8" fillId="29" borderId="7" xfId="0" applyNumberFormat="1" applyFont="1" applyFill="1" applyBorder="1" applyAlignment="1">
      <alignment horizontal="center"/>
    </xf>
    <xf numFmtId="10" fontId="8" fillId="29" borderId="7" xfId="0" applyNumberFormat="1" applyFont="1" applyFill="1" applyBorder="1" applyAlignment="1">
      <alignment horizontal="center"/>
    </xf>
    <xf numFmtId="10" fontId="8" fillId="29" borderId="0" xfId="0" applyNumberFormat="1" applyFont="1" applyFill="1" applyBorder="1" applyAlignment="1">
      <alignment horizontal="center"/>
    </xf>
    <xf numFmtId="0" fontId="5" fillId="29" borderId="0" xfId="0" applyNumberFormat="1" applyFont="1" applyFill="1" applyBorder="1"/>
    <xf numFmtId="10" fontId="5" fillId="29" borderId="0" xfId="0" applyNumberFormat="1" applyFont="1" applyFill="1" applyBorder="1" applyAlignment="1">
      <alignment horizontal="center"/>
    </xf>
    <xf numFmtId="171" fontId="8" fillId="29" borderId="0" xfId="0" applyNumberFormat="1" applyFont="1" applyFill="1" applyAlignment="1">
      <alignment horizontal="center"/>
    </xf>
    <xf numFmtId="169" fontId="10" fillId="29" borderId="0" xfId="0" applyFont="1" applyFill="1" applyAlignment="1">
      <alignment horizontal="center"/>
    </xf>
    <xf numFmtId="46" fontId="5" fillId="29" borderId="7" xfId="0" applyNumberFormat="1" applyFont="1" applyFill="1" applyBorder="1"/>
    <xf numFmtId="171" fontId="5" fillId="29" borderId="8" xfId="0" applyNumberFormat="1" applyFont="1" applyFill="1" applyBorder="1" applyAlignment="1">
      <alignment horizontal="center"/>
    </xf>
    <xf numFmtId="10" fontId="5" fillId="29" borderId="8" xfId="0" applyNumberFormat="1" applyFont="1" applyFill="1" applyBorder="1" applyAlignment="1">
      <alignment horizontal="center"/>
    </xf>
    <xf numFmtId="171" fontId="7" fillId="29" borderId="0" xfId="0" quotePrefix="1" applyNumberFormat="1" applyFont="1" applyFill="1" applyAlignment="1">
      <alignment horizontal="center"/>
    </xf>
    <xf numFmtId="171" fontId="5" fillId="29" borderId="0" xfId="0" quotePrefix="1" applyNumberFormat="1" applyFont="1" applyFill="1" applyAlignment="1">
      <alignment horizontal="center"/>
    </xf>
    <xf numFmtId="171" fontId="5" fillId="29" borderId="0" xfId="0" applyNumberFormat="1" applyFont="1" applyFill="1" applyAlignment="1">
      <alignment wrapText="1"/>
    </xf>
    <xf numFmtId="0" fontId="5" fillId="29" borderId="0" xfId="189" applyFont="1" applyFill="1" applyBorder="1" applyAlignment="1">
      <alignment horizontal="left" indent="1"/>
    </xf>
    <xf numFmtId="169" fontId="7" fillId="29" borderId="0" xfId="0" applyFont="1" applyFill="1" applyBorder="1"/>
    <xf numFmtId="204" fontId="5" fillId="29" borderId="7" xfId="0" applyNumberFormat="1" applyFont="1" applyFill="1" applyBorder="1" applyAlignment="1">
      <alignment horizontal="center"/>
    </xf>
    <xf numFmtId="203" fontId="5" fillId="29" borderId="7" xfId="0" applyNumberFormat="1" applyFont="1" applyFill="1" applyBorder="1" applyAlignment="1">
      <alignment horizontal="center"/>
    </xf>
    <xf numFmtId="169" fontId="5" fillId="29" borderId="27" xfId="0" applyFont="1" applyFill="1" applyBorder="1" applyAlignment="1"/>
    <xf numFmtId="169" fontId="5" fillId="29" borderId="27" xfId="0" applyFont="1" applyFill="1" applyBorder="1"/>
    <xf numFmtId="3" fontId="8" fillId="29" borderId="0" xfId="0" applyNumberFormat="1" applyFont="1" applyFill="1" applyAlignment="1">
      <alignment horizontal="right"/>
    </xf>
    <xf numFmtId="0" fontId="5" fillId="29" borderId="7" xfId="134" applyFill="1" applyBorder="1"/>
    <xf numFmtId="169" fontId="70" fillId="29" borderId="26" xfId="0" applyFont="1" applyFill="1" applyBorder="1" applyAlignment="1">
      <alignment vertical="top" wrapText="1"/>
    </xf>
    <xf numFmtId="169" fontId="70" fillId="29" borderId="0" xfId="0" applyFont="1" applyFill="1" applyBorder="1" applyAlignment="1">
      <alignment vertical="top" wrapText="1"/>
    </xf>
    <xf numFmtId="3" fontId="5" fillId="29" borderId="7" xfId="78" applyNumberFormat="1" applyFont="1" applyFill="1" applyBorder="1" applyAlignment="1">
      <alignment horizontal="right"/>
    </xf>
    <xf numFmtId="170" fontId="5" fillId="29" borderId="0" xfId="78" applyNumberFormat="1" applyFont="1" applyFill="1" applyAlignment="1">
      <alignment horizontal="right"/>
    </xf>
    <xf numFmtId="3" fontId="5" fillId="29" borderId="0" xfId="78" applyNumberFormat="1" applyFont="1" applyFill="1" applyBorder="1" applyAlignment="1">
      <alignment horizontal="right"/>
    </xf>
    <xf numFmtId="169" fontId="7" fillId="29" borderId="0" xfId="78" applyFont="1" applyFill="1" applyAlignment="1">
      <alignment horizontal="right"/>
    </xf>
    <xf numFmtId="169" fontId="7" fillId="29" borderId="0" xfId="78" applyFont="1" applyFill="1" applyBorder="1" applyAlignment="1">
      <alignment horizontal="right"/>
    </xf>
    <xf numFmtId="169" fontId="5" fillId="29" borderId="7" xfId="78" applyFont="1" applyFill="1" applyBorder="1" applyAlignment="1">
      <alignment horizontal="right"/>
    </xf>
    <xf numFmtId="0" fontId="5" fillId="29" borderId="7" xfId="136" quotePrefix="1" applyFont="1" applyFill="1" applyBorder="1" applyAlignment="1">
      <alignment horizontal="left"/>
    </xf>
    <xf numFmtId="0" fontId="5" fillId="29" borderId="7" xfId="136" applyFont="1" applyFill="1" applyBorder="1"/>
    <xf numFmtId="170" fontId="5" fillId="29" borderId="8" xfId="136" applyNumberFormat="1" applyFont="1" applyFill="1" applyBorder="1" applyAlignment="1">
      <alignment horizontal="right"/>
    </xf>
    <xf numFmtId="0" fontId="5" fillId="29" borderId="8" xfId="136" applyFont="1" applyFill="1" applyBorder="1" applyAlignment="1">
      <alignment horizontal="right"/>
    </xf>
    <xf numFmtId="0" fontId="5" fillId="29" borderId="0" xfId="136" applyFont="1" applyFill="1" applyAlignment="1">
      <alignment horizontal="center"/>
    </xf>
    <xf numFmtId="0" fontId="5" fillId="29" borderId="0" xfId="136" applyFont="1" applyFill="1"/>
    <xf numFmtId="170" fontId="5" fillId="29" borderId="0" xfId="136" applyNumberFormat="1" applyFont="1" applyFill="1" applyBorder="1" applyAlignment="1">
      <alignment horizontal="right"/>
    </xf>
    <xf numFmtId="170" fontId="5" fillId="29" borderId="0" xfId="136" applyNumberFormat="1" applyFont="1" applyFill="1" applyAlignment="1">
      <alignment horizontal="right"/>
    </xf>
    <xf numFmtId="0" fontId="5" fillId="29" borderId="0" xfId="136" applyFont="1" applyFill="1" applyAlignment="1">
      <alignment horizontal="right"/>
    </xf>
    <xf numFmtId="172" fontId="5" fillId="29" borderId="0" xfId="177" applyNumberFormat="1" applyFont="1" applyFill="1" applyBorder="1" applyAlignment="1">
      <alignment horizontal="right" vertical="center" wrapText="1"/>
    </xf>
    <xf numFmtId="170" fontId="5" fillId="29" borderId="7" xfId="136" applyNumberFormat="1" applyFont="1" applyFill="1" applyBorder="1" applyAlignment="1">
      <alignment horizontal="right"/>
    </xf>
    <xf numFmtId="0" fontId="5" fillId="29" borderId="9" xfId="136" applyFont="1" applyFill="1" applyBorder="1" applyAlignment="1">
      <alignment horizontal="right"/>
    </xf>
    <xf numFmtId="0" fontId="5" fillId="29" borderId="7" xfId="136" applyFont="1" applyFill="1" applyBorder="1" applyAlignment="1">
      <alignment horizontal="right"/>
    </xf>
    <xf numFmtId="169" fontId="5" fillId="29" borderId="0" xfId="78" applyFont="1" applyFill="1" applyAlignment="1">
      <alignment horizontal="right" vertical="center"/>
    </xf>
    <xf numFmtId="169" fontId="5" fillId="29" borderId="0" xfId="78" applyFont="1" applyFill="1" applyAlignment="1">
      <alignment horizontal="center" vertical="center"/>
    </xf>
    <xf numFmtId="0" fontId="8" fillId="29" borderId="7" xfId="136" applyFont="1" applyFill="1" applyBorder="1" applyAlignment="1">
      <alignment horizontal="right"/>
    </xf>
    <xf numFmtId="170" fontId="5" fillId="29" borderId="7" xfId="136" applyNumberFormat="1" applyFont="1" applyFill="1" applyBorder="1" applyAlignment="1">
      <alignment horizontal="right" vertical="center"/>
    </xf>
    <xf numFmtId="0" fontId="5" fillId="29" borderId="8" xfId="136" quotePrefix="1" applyFont="1" applyFill="1" applyBorder="1" applyAlignment="1">
      <alignment horizontal="left"/>
    </xf>
    <xf numFmtId="0" fontId="5" fillId="29" borderId="8" xfId="136" applyFont="1" applyFill="1" applyBorder="1"/>
    <xf numFmtId="169" fontId="7" fillId="29" borderId="7" xfId="78" applyFont="1" applyFill="1" applyBorder="1" applyAlignment="1">
      <alignment horizontal="right"/>
    </xf>
    <xf numFmtId="172" fontId="5" fillId="29" borderId="7" xfId="177" applyNumberFormat="1" applyFont="1" applyFill="1" applyBorder="1" applyAlignment="1">
      <alignment horizontal="right" vertical="center" wrapText="1"/>
    </xf>
    <xf numFmtId="169" fontId="5" fillId="29" borderId="8" xfId="78" applyFont="1" applyFill="1" applyBorder="1" applyAlignment="1">
      <alignment horizontal="center" vertical="center"/>
    </xf>
    <xf numFmtId="0" fontId="5" fillId="29" borderId="0" xfId="134" applyFont="1" applyFill="1" applyAlignment="1">
      <alignment horizontal="left" vertical="center" wrapText="1"/>
    </xf>
    <xf numFmtId="169" fontId="5" fillId="29" borderId="9" xfId="78" applyFont="1" applyFill="1" applyBorder="1" applyAlignment="1">
      <alignment horizontal="right"/>
    </xf>
    <xf numFmtId="169" fontId="5" fillId="29" borderId="8" xfId="78" applyFont="1" applyFill="1" applyBorder="1" applyAlignment="1">
      <alignment horizontal="right"/>
    </xf>
    <xf numFmtId="169" fontId="5" fillId="29" borderId="0" xfId="78" applyFont="1" applyFill="1" applyBorder="1" applyAlignment="1">
      <alignment horizontal="right"/>
    </xf>
    <xf numFmtId="171" fontId="7" fillId="29" borderId="0" xfId="78" applyNumberFormat="1" applyFont="1" applyFill="1" applyAlignment="1">
      <alignment horizontal="right"/>
    </xf>
    <xf numFmtId="171" fontId="5" fillId="29" borderId="0" xfId="78" applyNumberFormat="1" applyFont="1" applyFill="1" applyAlignment="1">
      <alignment horizontal="right"/>
    </xf>
    <xf numFmtId="169" fontId="11" fillId="29" borderId="8" xfId="78" applyFont="1" applyFill="1" applyBorder="1" applyAlignment="1">
      <alignment horizontal="right"/>
    </xf>
    <xf numFmtId="3" fontId="7" fillId="29" borderId="7" xfId="78" applyNumberFormat="1" applyFont="1" applyFill="1" applyBorder="1" applyAlignment="1">
      <alignment horizontal="right"/>
    </xf>
    <xf numFmtId="3" fontId="7" fillId="29" borderId="0" xfId="78" applyNumberFormat="1" applyFont="1" applyFill="1" applyBorder="1" applyAlignment="1">
      <alignment horizontal="right"/>
    </xf>
    <xf numFmtId="3" fontId="22" fillId="29" borderId="0" xfId="78" applyNumberFormat="1" applyFont="1" applyFill="1" applyBorder="1" applyAlignment="1">
      <alignment horizontal="right"/>
    </xf>
    <xf numFmtId="169" fontId="5" fillId="29" borderId="0" xfId="78" applyFont="1" applyFill="1" applyAlignment="1">
      <alignment horizontal="justify" vertical="center" wrapText="1"/>
    </xf>
    <xf numFmtId="3" fontId="5" fillId="29" borderId="0" xfId="78" applyNumberFormat="1" applyFont="1" applyFill="1" applyAlignment="1">
      <alignment horizontal="right" vertical="center"/>
    </xf>
    <xf numFmtId="3" fontId="5" fillId="29" borderId="0" xfId="40" applyNumberFormat="1" applyFont="1" applyFill="1" applyAlignment="1">
      <alignment horizontal="right" vertical="center"/>
    </xf>
    <xf numFmtId="169" fontId="5" fillId="29" borderId="0" xfId="78" applyFont="1" applyFill="1" applyAlignment="1">
      <alignment horizontal="justify" vertical="top" wrapText="1"/>
    </xf>
    <xf numFmtId="195" fontId="5" fillId="29" borderId="0" xfId="40" applyNumberFormat="1" applyFont="1" applyFill="1" applyAlignment="1">
      <alignment vertical="center"/>
    </xf>
    <xf numFmtId="0" fontId="5" fillId="29" borderId="0" xfId="136" applyFont="1" applyFill="1" applyAlignment="1">
      <alignment horizontal="left" vertical="top"/>
    </xf>
    <xf numFmtId="169" fontId="127" fillId="29" borderId="0" xfId="78" applyFont="1" applyFill="1"/>
    <xf numFmtId="3" fontId="5" fillId="29" borderId="9" xfId="0" applyNumberFormat="1" applyFont="1" applyFill="1" applyBorder="1" applyAlignment="1">
      <alignment horizontal="center"/>
    </xf>
    <xf numFmtId="170" fontId="5" fillId="29" borderId="0" xfId="168" applyNumberFormat="1" applyFont="1" applyFill="1" applyBorder="1" applyAlignment="1">
      <alignment horizontal="center"/>
    </xf>
    <xf numFmtId="170" fontId="5" fillId="29" borderId="0" xfId="168" applyNumberFormat="1" applyFont="1" applyFill="1" applyBorder="1" applyAlignment="1"/>
    <xf numFmtId="170" fontId="5" fillId="29" borderId="0" xfId="139" applyNumberFormat="1" applyFont="1" applyFill="1" applyBorder="1" applyAlignment="1"/>
    <xf numFmtId="172" fontId="5" fillId="29" borderId="0" xfId="0" applyNumberFormat="1" applyFont="1" applyFill="1" applyBorder="1" applyAlignment="1">
      <alignment horizontal="right"/>
    </xf>
    <xf numFmtId="172" fontId="5" fillId="29" borderId="0" xfId="139" applyNumberFormat="1" applyFont="1" applyFill="1" applyBorder="1" applyAlignment="1">
      <alignment horizontal="right"/>
    </xf>
    <xf numFmtId="172" fontId="5" fillId="29" borderId="0" xfId="134" applyNumberFormat="1" applyFont="1" applyFill="1" applyBorder="1" applyAlignment="1">
      <alignment horizontal="right"/>
    </xf>
    <xf numFmtId="3" fontId="5" fillId="29" borderId="7" xfId="0" applyNumberFormat="1" applyFont="1" applyFill="1" applyBorder="1" applyAlignment="1"/>
    <xf numFmtId="172" fontId="5" fillId="29" borderId="7" xfId="0" applyNumberFormat="1" applyFont="1" applyFill="1" applyBorder="1" applyAlignment="1"/>
    <xf numFmtId="169" fontId="5" fillId="29" borderId="0" xfId="0" quotePrefix="1" applyFont="1" applyFill="1" applyAlignment="1">
      <alignment horizontal="left"/>
    </xf>
    <xf numFmtId="0" fontId="6" fillId="29" borderId="0" xfId="139" applyFont="1" applyFill="1" applyAlignment="1"/>
    <xf numFmtId="169" fontId="0" fillId="29" borderId="0" xfId="0" applyFont="1" applyFill="1"/>
    <xf numFmtId="169" fontId="0" fillId="29" borderId="0" xfId="0" applyFont="1" applyFill="1" applyAlignment="1">
      <alignment horizontal="left" vertical="top" wrapText="1"/>
    </xf>
    <xf numFmtId="3" fontId="7" fillId="29" borderId="0" xfId="80" applyNumberFormat="1" applyFont="1" applyFill="1" applyAlignment="1"/>
    <xf numFmtId="3" fontId="5" fillId="29" borderId="0" xfId="80" applyNumberFormat="1" applyFont="1" applyFill="1" applyAlignment="1"/>
    <xf numFmtId="3" fontId="5" fillId="29" borderId="0" xfId="134" applyNumberFormat="1" applyFont="1" applyFill="1" applyAlignment="1"/>
    <xf numFmtId="169" fontId="5" fillId="29" borderId="0" xfId="0" applyFont="1" applyFill="1" applyAlignment="1">
      <alignment horizontal="left" vertical="top"/>
    </xf>
    <xf numFmtId="169" fontId="0" fillId="29" borderId="0" xfId="0" applyFill="1" applyAlignment="1">
      <alignment horizontal="left" vertical="top"/>
    </xf>
    <xf numFmtId="169" fontId="0" fillId="29" borderId="0" xfId="0" applyFill="1" applyAlignment="1">
      <alignment horizontal="center" vertical="top"/>
    </xf>
    <xf numFmtId="169" fontId="5" fillId="29" borderId="7" xfId="0" applyFont="1" applyFill="1" applyBorder="1" applyAlignment="1">
      <alignment horizontal="left" vertical="top"/>
    </xf>
    <xf numFmtId="169" fontId="0" fillId="29" borderId="7" xfId="0" applyFill="1" applyBorder="1" applyAlignment="1">
      <alignment horizontal="left" vertical="top"/>
    </xf>
    <xf numFmtId="169" fontId="0" fillId="29" borderId="7" xfId="0" applyFill="1" applyBorder="1" applyAlignment="1">
      <alignment horizontal="center" vertical="top"/>
    </xf>
    <xf numFmtId="169" fontId="5" fillId="29" borderId="0" xfId="0" applyFont="1" applyFill="1" applyAlignment="1">
      <alignment horizontal="center" wrapText="1"/>
    </xf>
    <xf numFmtId="3" fontId="5" fillId="29" borderId="7" xfId="0" applyNumberFormat="1" applyFont="1" applyFill="1" applyBorder="1" applyAlignment="1">
      <alignment horizontal="center" wrapText="1"/>
    </xf>
    <xf numFmtId="1" fontId="5" fillId="29" borderId="0" xfId="0" applyNumberFormat="1" applyFont="1" applyFill="1" applyAlignment="1">
      <alignment horizontal="center"/>
    </xf>
    <xf numFmtId="170" fontId="5" fillId="29" borderId="9" xfId="0" applyNumberFormat="1" applyFont="1" applyFill="1" applyBorder="1"/>
    <xf numFmtId="170" fontId="115" fillId="29" borderId="0" xfId="0" applyNumberFormat="1" applyFont="1" applyFill="1" applyAlignment="1">
      <alignment horizontal="center"/>
    </xf>
    <xf numFmtId="169" fontId="5" fillId="29" borderId="7" xfId="0" applyFont="1" applyFill="1" applyBorder="1" applyAlignment="1">
      <alignment vertical="top" wrapText="1"/>
    </xf>
    <xf numFmtId="169" fontId="5" fillId="29" borderId="8" xfId="0" applyFont="1" applyFill="1" applyBorder="1" applyAlignment="1">
      <alignment horizontal="center" wrapText="1"/>
    </xf>
    <xf numFmtId="169" fontId="5" fillId="29" borderId="0" xfId="0" applyFont="1" applyFill="1" applyBorder="1" applyAlignment="1">
      <alignment horizontal="left"/>
    </xf>
    <xf numFmtId="0" fontId="5" fillId="29" borderId="0" xfId="185" applyNumberFormat="1" applyFont="1" applyFill="1" applyBorder="1"/>
    <xf numFmtId="0" fontId="5" fillId="29" borderId="0" xfId="166" applyNumberFormat="1" applyFont="1" applyFill="1" applyBorder="1" applyAlignment="1">
      <alignment horizontal="left" vertical="top"/>
    </xf>
    <xf numFmtId="171" fontId="5" fillId="29" borderId="0" xfId="158" applyNumberFormat="1" applyFont="1" applyFill="1" applyAlignment="1"/>
    <xf numFmtId="0" fontId="5" fillId="29" borderId="0" xfId="166" applyNumberFormat="1" applyFont="1" applyFill="1" applyBorder="1" applyAlignment="1">
      <alignment horizontal="left"/>
    </xf>
    <xf numFmtId="172" fontId="5" fillId="29" borderId="0" xfId="158" applyNumberFormat="1" applyFont="1" applyFill="1" applyAlignment="1">
      <alignment horizontal="center"/>
    </xf>
    <xf numFmtId="0" fontId="5" fillId="29" borderId="0" xfId="166" applyNumberFormat="1" applyFont="1" applyFill="1" applyBorder="1"/>
    <xf numFmtId="0" fontId="5" fillId="29" borderId="0" xfId="0" applyNumberFormat="1" applyFont="1" applyFill="1" applyBorder="1" applyAlignment="1" applyProtection="1">
      <alignment horizontal="left"/>
    </xf>
    <xf numFmtId="0" fontId="5" fillId="29" borderId="0" xfId="0" applyNumberFormat="1" applyFont="1" applyFill="1" applyAlignment="1">
      <alignment horizontal="left"/>
    </xf>
    <xf numFmtId="170" fontId="5" fillId="29" borderId="0" xfId="0" applyNumberFormat="1" applyFont="1" applyFill="1" applyAlignment="1">
      <alignment horizontal="center" vertical="top"/>
    </xf>
    <xf numFmtId="172" fontId="8" fillId="29" borderId="0" xfId="158" applyNumberFormat="1" applyFont="1" applyFill="1" applyAlignment="1">
      <alignment horizontal="center"/>
    </xf>
    <xf numFmtId="0" fontId="5" fillId="29" borderId="0" xfId="0" applyNumberFormat="1" applyFont="1" applyFill="1" applyBorder="1" applyAlignment="1" applyProtection="1">
      <alignment horizontal="left" wrapText="1"/>
    </xf>
    <xf numFmtId="0" fontId="5" fillId="29" borderId="0" xfId="159" applyFont="1" applyFill="1" applyBorder="1" applyAlignment="1">
      <alignment horizontal="left"/>
    </xf>
    <xf numFmtId="0" fontId="5" fillId="29" borderId="7" xfId="0" applyNumberFormat="1" applyFont="1" applyFill="1" applyBorder="1" applyAlignment="1" applyProtection="1">
      <alignment horizontal="left"/>
    </xf>
    <xf numFmtId="172" fontId="5" fillId="29" borderId="7" xfId="158" applyNumberFormat="1" applyFont="1" applyFill="1" applyBorder="1" applyAlignment="1">
      <alignment horizontal="center"/>
    </xf>
    <xf numFmtId="188" fontId="5" fillId="29" borderId="0" xfId="0" applyNumberFormat="1" applyFont="1" applyFill="1" applyBorder="1" applyAlignment="1" applyProtection="1">
      <alignment horizontal="left"/>
    </xf>
    <xf numFmtId="0" fontId="5" fillId="29" borderId="7" xfId="189" applyFont="1" applyFill="1" applyBorder="1" applyAlignment="1">
      <alignment horizontal="left"/>
    </xf>
    <xf numFmtId="169" fontId="5" fillId="29" borderId="9" xfId="0" applyFont="1" applyFill="1" applyBorder="1" applyAlignment="1">
      <alignment horizontal="left"/>
    </xf>
    <xf numFmtId="0" fontId="5" fillId="29" borderId="9" xfId="172" applyFont="1" applyFill="1" applyBorder="1"/>
    <xf numFmtId="0" fontId="5" fillId="29" borderId="8" xfId="172" applyFont="1" applyFill="1" applyBorder="1" applyAlignment="1">
      <alignment horizontal="center"/>
    </xf>
    <xf numFmtId="0" fontId="5" fillId="29" borderId="0" xfId="172" applyFont="1" applyFill="1" applyAlignment="1">
      <alignment horizontal="right"/>
    </xf>
    <xf numFmtId="3" fontId="5" fillId="29" borderId="0" xfId="172" applyNumberFormat="1" applyFont="1" applyFill="1" applyAlignment="1">
      <alignment horizontal="right"/>
    </xf>
    <xf numFmtId="3" fontId="5" fillId="29" borderId="0" xfId="172" applyNumberFormat="1" applyFont="1" applyFill="1" applyAlignment="1">
      <alignment horizontal="center"/>
    </xf>
    <xf numFmtId="0" fontId="5" fillId="29" borderId="0" xfId="172" applyFont="1" applyFill="1" applyBorder="1"/>
    <xf numFmtId="170" fontId="5" fillId="29" borderId="0" xfId="171" applyNumberFormat="1" applyFont="1" applyFill="1" applyBorder="1" applyAlignment="1">
      <alignment horizontal="center"/>
    </xf>
    <xf numFmtId="170" fontId="5" fillId="29" borderId="0" xfId="172" applyNumberFormat="1" applyFont="1" applyFill="1" applyAlignment="1">
      <alignment horizontal="center"/>
    </xf>
    <xf numFmtId="0" fontId="5" fillId="29" borderId="7" xfId="172" applyFont="1" applyFill="1" applyBorder="1"/>
    <xf numFmtId="3" fontId="5" fillId="29" borderId="7" xfId="172" applyNumberFormat="1" applyFont="1" applyFill="1" applyBorder="1" applyAlignment="1">
      <alignment horizontal="right"/>
    </xf>
    <xf numFmtId="3" fontId="5" fillId="29" borderId="7" xfId="172" applyNumberFormat="1" applyFont="1" applyFill="1" applyBorder="1" applyAlignment="1">
      <alignment horizontal="center"/>
    </xf>
    <xf numFmtId="3" fontId="23" fillId="29" borderId="0" xfId="78" applyNumberFormat="1" applyFont="1" applyFill="1" applyAlignment="1">
      <alignment horizontal="center"/>
    </xf>
    <xf numFmtId="169" fontId="23" fillId="29" borderId="0" xfId="78" applyFont="1" applyFill="1" applyAlignment="1">
      <alignment horizontal="center"/>
    </xf>
    <xf numFmtId="3" fontId="7" fillId="29" borderId="0" xfId="172" applyNumberFormat="1" applyFont="1" applyFill="1"/>
    <xf numFmtId="3" fontId="7" fillId="29" borderId="0" xfId="172" applyNumberFormat="1" applyFont="1" applyFill="1" applyAlignment="1">
      <alignment horizontal="center"/>
    </xf>
    <xf numFmtId="0" fontId="7" fillId="29" borderId="0" xfId="172" applyFont="1" applyFill="1"/>
    <xf numFmtId="3" fontId="5" fillId="29" borderId="0" xfId="172" applyNumberFormat="1" applyFont="1" applyFill="1"/>
    <xf numFmtId="3" fontId="5" fillId="29" borderId="0" xfId="172" applyNumberFormat="1" applyFont="1" applyFill="1" applyAlignment="1">
      <alignment horizontal="left"/>
    </xf>
    <xf numFmtId="3" fontId="7" fillId="29" borderId="0" xfId="172" applyNumberFormat="1" applyFont="1" applyFill="1" applyAlignment="1">
      <alignment horizontal="right"/>
    </xf>
    <xf numFmtId="0" fontId="5" fillId="29" borderId="0" xfId="172" applyFont="1" applyFill="1" applyAlignment="1">
      <alignment vertical="top" wrapText="1"/>
    </xf>
    <xf numFmtId="3" fontId="123" fillId="29" borderId="0" xfId="172" applyNumberFormat="1" applyFont="1" applyFill="1" applyAlignment="1">
      <alignment horizontal="center"/>
    </xf>
    <xf numFmtId="0" fontId="5" fillId="29" borderId="0" xfId="172" applyFont="1" applyFill="1" applyAlignment="1">
      <alignment horizontal="left" vertical="top"/>
    </xf>
    <xf numFmtId="0" fontId="5" fillId="29" borderId="0" xfId="172" applyFont="1" applyFill="1" applyAlignment="1">
      <alignment horizontal="left" vertical="top" wrapText="1"/>
    </xf>
    <xf numFmtId="0" fontId="5" fillId="29" borderId="7" xfId="172" applyFont="1" applyFill="1" applyBorder="1" applyAlignment="1"/>
    <xf numFmtId="0" fontId="5" fillId="29" borderId="7" xfId="172" applyFont="1" applyFill="1" applyBorder="1" applyAlignment="1">
      <alignment wrapText="1"/>
    </xf>
    <xf numFmtId="3" fontId="5" fillId="29" borderId="7" xfId="172" applyNumberFormat="1" applyFont="1" applyFill="1" applyBorder="1"/>
    <xf numFmtId="169" fontId="7" fillId="29" borderId="0" xfId="78" applyFont="1" applyFill="1" applyAlignment="1">
      <alignment horizontal="center" vertical="center" wrapText="1"/>
    </xf>
    <xf numFmtId="169" fontId="5" fillId="29" borderId="9" xfId="0" applyFont="1" applyFill="1" applyBorder="1" applyAlignment="1">
      <alignment horizontal="left" vertical="top" wrapText="1"/>
    </xf>
    <xf numFmtId="0" fontId="5" fillId="29" borderId="0" xfId="158" applyFont="1" applyFill="1" applyAlignment="1">
      <alignment horizontal="left" vertical="top" wrapText="1"/>
    </xf>
    <xf numFmtId="169" fontId="5" fillId="29" borderId="0" xfId="97" applyNumberFormat="1" applyFont="1" applyFill="1" applyAlignment="1">
      <alignment horizontal="left" vertical="top" wrapText="1"/>
    </xf>
    <xf numFmtId="169" fontId="4" fillId="29" borderId="0" xfId="97" applyNumberFormat="1" applyFill="1" applyAlignment="1">
      <alignment horizontal="left" vertical="top" wrapText="1"/>
    </xf>
    <xf numFmtId="169" fontId="5" fillId="29" borderId="0" xfId="0" applyFont="1" applyFill="1" applyAlignment="1">
      <alignment horizontal="left" vertical="top" wrapText="1"/>
    </xf>
    <xf numFmtId="169" fontId="0" fillId="29" borderId="0" xfId="0" applyFill="1" applyAlignment="1">
      <alignment horizontal="left" vertical="top" wrapText="1"/>
    </xf>
    <xf numFmtId="169" fontId="7" fillId="29" borderId="0" xfId="0" applyFont="1" applyFill="1" applyAlignment="1">
      <alignment horizontal="center" vertical="center" wrapText="1"/>
    </xf>
    <xf numFmtId="169" fontId="0" fillId="29" borderId="0" xfId="0" applyFill="1" applyAlignment="1">
      <alignment wrapText="1"/>
    </xf>
    <xf numFmtId="169" fontId="5" fillId="29" borderId="0" xfId="78" applyFont="1" applyFill="1" applyAlignment="1">
      <alignment horizontal="left" vertical="top" wrapText="1"/>
    </xf>
    <xf numFmtId="169" fontId="4" fillId="29" borderId="0" xfId="78" applyFill="1" applyAlignment="1">
      <alignment horizontal="left" vertical="top" wrapText="1"/>
    </xf>
    <xf numFmtId="169" fontId="5" fillId="29" borderId="0" xfId="78" applyFont="1" applyFill="1" applyAlignment="1">
      <alignment horizontal="center" vertical="top" wrapText="1"/>
    </xf>
    <xf numFmtId="0" fontId="5" fillId="29" borderId="0" xfId="165" applyFont="1" applyFill="1" applyAlignment="1">
      <alignment horizontal="left" vertical="top" wrapText="1"/>
    </xf>
    <xf numFmtId="169" fontId="4" fillId="29" borderId="0" xfId="97" applyNumberFormat="1" applyFont="1" applyFill="1" applyAlignment="1">
      <alignment horizontal="left" vertical="top" wrapText="1"/>
    </xf>
    <xf numFmtId="169" fontId="4" fillId="29" borderId="0" xfId="0" applyFont="1" applyFill="1" applyAlignment="1">
      <alignment horizontal="left" vertical="top" wrapText="1"/>
    </xf>
    <xf numFmtId="0" fontId="54" fillId="29" borderId="0" xfId="78" applyNumberFormat="1" applyFont="1" applyFill="1" applyAlignment="1">
      <alignment horizontal="left" vertical="top" wrapText="1"/>
    </xf>
    <xf numFmtId="169" fontId="54" fillId="29" borderId="0" xfId="78" applyFont="1" applyFill="1" applyAlignment="1">
      <alignment wrapText="1"/>
    </xf>
    <xf numFmtId="0" fontId="8" fillId="29" borderId="0" xfId="78" applyNumberFormat="1" applyFont="1" applyFill="1" applyAlignment="1">
      <alignment horizontal="left" vertical="center" wrapText="1"/>
    </xf>
    <xf numFmtId="0" fontId="8" fillId="29" borderId="0" xfId="134" quotePrefix="1" applyFont="1" applyFill="1" applyAlignment="1">
      <alignment horizontal="left" vertical="center" wrapText="1"/>
    </xf>
    <xf numFmtId="0" fontId="8" fillId="29" borderId="0" xfId="134" applyFont="1" applyFill="1" applyAlignment="1">
      <alignment horizontal="left" vertical="center" wrapText="1"/>
    </xf>
    <xf numFmtId="169" fontId="4" fillId="29" borderId="0" xfId="78" applyFill="1" applyAlignment="1">
      <alignment horizontal="center" vertical="center" wrapText="1"/>
    </xf>
    <xf numFmtId="169" fontId="5" fillId="29" borderId="0" xfId="78" applyFont="1" applyFill="1" applyAlignment="1">
      <alignment wrapText="1"/>
    </xf>
    <xf numFmtId="169" fontId="4" fillId="29" borderId="0" xfId="78" applyFill="1" applyAlignment="1">
      <alignment wrapText="1"/>
    </xf>
    <xf numFmtId="0" fontId="117" fillId="29" borderId="0" xfId="132" applyFont="1" applyFill="1" applyAlignment="1">
      <alignment horizontal="left" vertical="top" wrapText="1"/>
    </xf>
    <xf numFmtId="0" fontId="106" fillId="29" borderId="0" xfId="132" applyFill="1" applyAlignment="1">
      <alignment wrapText="1"/>
    </xf>
    <xf numFmtId="169" fontId="0" fillId="0" borderId="0" xfId="0" applyAlignment="1">
      <alignment horizontal="center" wrapText="1"/>
    </xf>
    <xf numFmtId="169" fontId="7" fillId="29" borderId="0" xfId="0" applyFont="1" applyFill="1" applyAlignment="1">
      <alignment horizontal="center" wrapText="1"/>
    </xf>
    <xf numFmtId="0" fontId="5" fillId="29" borderId="0" xfId="189" applyFont="1" applyFill="1" applyAlignment="1">
      <alignment horizontal="center" vertical="center" wrapText="1"/>
    </xf>
    <xf numFmtId="169" fontId="0" fillId="0" borderId="0" xfId="0" applyAlignment="1">
      <alignment horizontal="center" vertical="center" wrapText="1"/>
    </xf>
    <xf numFmtId="169" fontId="5" fillId="29" borderId="0" xfId="0" applyFont="1" applyFill="1" applyAlignment="1">
      <alignment horizontal="left" wrapText="1"/>
    </xf>
    <xf numFmtId="169" fontId="0" fillId="29" borderId="0" xfId="0" applyFill="1" applyAlignment="1">
      <alignment horizontal="left" wrapText="1"/>
    </xf>
    <xf numFmtId="169" fontId="0" fillId="0" borderId="0" xfId="0" applyAlignment="1">
      <alignment horizontal="left" wrapText="1"/>
    </xf>
    <xf numFmtId="169" fontId="5" fillId="29" borderId="0" xfId="0" applyFont="1" applyFill="1" applyAlignment="1">
      <alignment vertical="center" wrapText="1"/>
    </xf>
    <xf numFmtId="3" fontId="8" fillId="29" borderId="12" xfId="0" applyNumberFormat="1" applyFont="1" applyFill="1" applyBorder="1" applyAlignment="1">
      <alignment horizontal="left" vertical="center"/>
    </xf>
    <xf numFmtId="3" fontId="8" fillId="29" borderId="12" xfId="80" applyNumberFormat="1" applyFont="1" applyFill="1" applyBorder="1" applyAlignment="1">
      <alignment horizontal="left" vertical="center"/>
    </xf>
    <xf numFmtId="169" fontId="5" fillId="29" borderId="0" xfId="0" applyFont="1" applyFill="1" applyAlignment="1">
      <alignment wrapText="1"/>
    </xf>
    <xf numFmtId="169" fontId="0" fillId="0" borderId="0" xfId="0" applyAlignment="1">
      <alignment wrapText="1"/>
    </xf>
    <xf numFmtId="169" fontId="5" fillId="29" borderId="0" xfId="0" applyFont="1" applyFill="1" applyAlignment="1">
      <alignment horizontal="left" vertical="center" wrapText="1"/>
    </xf>
    <xf numFmtId="169" fontId="5" fillId="29" borderId="0" xfId="80" applyFont="1" applyFill="1" applyAlignment="1">
      <alignment horizontal="left" vertical="top" wrapText="1"/>
    </xf>
    <xf numFmtId="169" fontId="4" fillId="29" borderId="0" xfId="80" applyFont="1" applyFill="1" applyAlignment="1">
      <alignment horizontal="left" vertical="top" wrapText="1"/>
    </xf>
    <xf numFmtId="169" fontId="7" fillId="29" borderId="0" xfId="80" applyFont="1" applyFill="1" applyAlignment="1">
      <alignment horizontal="center" vertical="center" wrapText="1"/>
    </xf>
    <xf numFmtId="169" fontId="7" fillId="0" borderId="0" xfId="78" applyFont="1" applyAlignment="1">
      <alignment horizontal="center" vertical="center" wrapText="1"/>
    </xf>
    <xf numFmtId="0" fontId="5" fillId="29" borderId="0" xfId="158" applyFont="1" applyFill="1" applyAlignment="1">
      <alignment vertical="top" wrapText="1"/>
    </xf>
    <xf numFmtId="169" fontId="4" fillId="29" borderId="0" xfId="0" applyFont="1" applyFill="1" applyAlignment="1">
      <alignment wrapText="1"/>
    </xf>
    <xf numFmtId="0" fontId="5" fillId="29" borderId="0" xfId="158" applyFont="1" applyFill="1" applyAlignment="1">
      <alignment horizontal="justify" vertical="top" wrapText="1"/>
    </xf>
    <xf numFmtId="169" fontId="4" fillId="29" borderId="0" xfId="0" applyFont="1" applyFill="1" applyAlignment="1">
      <alignment horizontal="justify" vertical="top" wrapText="1"/>
    </xf>
    <xf numFmtId="188" fontId="5" fillId="29" borderId="0" xfId="168" applyNumberFormat="1" applyFont="1" applyFill="1" applyBorder="1" applyAlignment="1" applyProtection="1">
      <alignment horizontal="left" vertical="top" wrapText="1"/>
    </xf>
    <xf numFmtId="169" fontId="4" fillId="29" borderId="0" xfId="168" applyFill="1" applyAlignment="1">
      <alignment horizontal="left" vertical="top" wrapText="1"/>
    </xf>
    <xf numFmtId="0" fontId="5" fillId="29" borderId="0" xfId="171" applyFont="1" applyFill="1" applyAlignment="1">
      <alignment horizontal="center"/>
    </xf>
    <xf numFmtId="3" fontId="5" fillId="29" borderId="0" xfId="171" applyNumberFormat="1" applyFont="1" applyFill="1" applyBorder="1" applyAlignment="1">
      <alignment horizontal="center"/>
    </xf>
    <xf numFmtId="0" fontId="5" fillId="29" borderId="0" xfId="171" applyFont="1" applyFill="1" applyAlignment="1">
      <alignment horizontal="left" vertical="top" wrapText="1"/>
    </xf>
    <xf numFmtId="0" fontId="7" fillId="29" borderId="0" xfId="0" applyNumberFormat="1" applyFont="1" applyFill="1" applyAlignment="1">
      <alignment horizontal="center" vertical="center" wrapText="1"/>
    </xf>
    <xf numFmtId="169" fontId="0" fillId="29" borderId="0" xfId="0" applyFill="1" applyAlignment="1">
      <alignment horizontal="center" vertical="center" wrapText="1"/>
    </xf>
    <xf numFmtId="169" fontId="5" fillId="29" borderId="0" xfId="97" applyFont="1" applyFill="1" applyAlignment="1">
      <alignment horizontal="left" vertical="top" wrapText="1"/>
    </xf>
    <xf numFmtId="169" fontId="4" fillId="29" borderId="0" xfId="97" applyFont="1" applyFill="1" applyAlignment="1">
      <alignment horizontal="left" vertical="top" wrapText="1"/>
    </xf>
    <xf numFmtId="0" fontId="54" fillId="29" borderId="0" xfId="165" applyFont="1" applyFill="1" applyAlignment="1">
      <alignment wrapText="1"/>
    </xf>
    <xf numFmtId="169" fontId="78" fillId="29" borderId="0" xfId="0" applyFont="1" applyFill="1" applyAlignment="1">
      <alignment wrapText="1"/>
    </xf>
    <xf numFmtId="0" fontId="79" fillId="29" borderId="0" xfId="165" applyFont="1" applyFill="1" applyAlignment="1">
      <alignment horizontal="left" wrapText="1"/>
    </xf>
    <xf numFmtId="169" fontId="7" fillId="29" borderId="0" xfId="97" applyFont="1" applyFill="1" applyAlignment="1">
      <alignment horizontal="center" vertical="center" wrapText="1"/>
    </xf>
    <xf numFmtId="169" fontId="4" fillId="29" borderId="0" xfId="97" applyFill="1" applyAlignment="1">
      <alignment horizontal="left" vertical="top" wrapText="1"/>
    </xf>
    <xf numFmtId="169" fontId="4" fillId="29" borderId="0" xfId="0" applyFont="1" applyFill="1" applyAlignment="1"/>
    <xf numFmtId="0" fontId="5" fillId="29" borderId="9" xfId="158" applyFont="1" applyFill="1" applyBorder="1" applyAlignment="1">
      <alignment wrapText="1"/>
    </xf>
    <xf numFmtId="169" fontId="0" fillId="0" borderId="9" xfId="0" applyBorder="1" applyAlignment="1">
      <alignment wrapText="1"/>
    </xf>
    <xf numFmtId="169" fontId="0" fillId="0" borderId="0" xfId="0" applyBorder="1" applyAlignment="1">
      <alignment wrapText="1"/>
    </xf>
    <xf numFmtId="169" fontId="0" fillId="29" borderId="0" xfId="0" applyFont="1" applyFill="1" applyAlignment="1">
      <alignment horizontal="center" vertical="center" wrapText="1"/>
    </xf>
    <xf numFmtId="169" fontId="0" fillId="0" borderId="0" xfId="0" applyFont="1" applyAlignment="1">
      <alignment horizontal="center" vertical="center" wrapText="1"/>
    </xf>
    <xf numFmtId="0" fontId="5" fillId="29" borderId="0" xfId="78" applyNumberFormat="1" applyFont="1" applyFill="1" applyAlignment="1">
      <alignment horizontal="center" vertical="top" wrapText="1"/>
    </xf>
    <xf numFmtId="169" fontId="4" fillId="29" borderId="0" xfId="78" applyFill="1" applyAlignment="1">
      <alignment horizontal="center" wrapText="1"/>
    </xf>
    <xf numFmtId="169" fontId="0" fillId="29" borderId="0" xfId="0" applyFill="1" applyAlignment="1">
      <alignment horizontal="center" wrapText="1"/>
    </xf>
    <xf numFmtId="0" fontId="8" fillId="29" borderId="0" xfId="78" applyNumberFormat="1" applyFont="1" applyFill="1" applyAlignment="1">
      <alignment horizontal="center" vertical="center" wrapText="1"/>
    </xf>
    <xf numFmtId="169" fontId="5" fillId="29" borderId="0" xfId="80" applyFont="1" applyFill="1"/>
    <xf numFmtId="169" fontId="7" fillId="29" borderId="0" xfId="78" applyFont="1" applyFill="1" applyBorder="1" applyAlignment="1">
      <alignment horizontal="left" vertical="center" wrapText="1"/>
    </xf>
    <xf numFmtId="169" fontId="5" fillId="29" borderId="9" xfId="78" applyFont="1" applyFill="1" applyBorder="1" applyAlignment="1">
      <alignment wrapText="1"/>
    </xf>
    <xf numFmtId="169" fontId="5" fillId="29" borderId="0" xfId="78" applyFont="1" applyFill="1" applyAlignment="1">
      <alignment horizontal="left" vertical="center" wrapText="1"/>
    </xf>
    <xf numFmtId="0" fontId="5" fillId="29" borderId="42" xfId="0" applyNumberFormat="1" applyFont="1" applyFill="1" applyBorder="1" applyAlignment="1">
      <alignment horizontal="center" wrapText="1"/>
    </xf>
    <xf numFmtId="0" fontId="5" fillId="29" borderId="43" xfId="0" applyNumberFormat="1" applyFont="1" applyFill="1" applyBorder="1" applyAlignment="1">
      <alignment horizontal="center" wrapText="1"/>
    </xf>
    <xf numFmtId="0" fontId="5" fillId="29" borderId="28" xfId="0" applyNumberFormat="1" applyFont="1" applyFill="1" applyBorder="1" applyAlignment="1">
      <alignment horizontal="center" wrapText="1"/>
    </xf>
    <xf numFmtId="0" fontId="5" fillId="29" borderId="18" xfId="0" applyNumberFormat="1" applyFont="1" applyFill="1" applyBorder="1" applyAlignment="1">
      <alignment horizontal="center" wrapText="1"/>
    </xf>
    <xf numFmtId="0" fontId="5" fillId="29" borderId="31" xfId="0" applyNumberFormat="1" applyFont="1" applyFill="1" applyBorder="1" applyAlignment="1">
      <alignment horizontal="center" wrapText="1"/>
    </xf>
    <xf numFmtId="0" fontId="5" fillId="29" borderId="30" xfId="0" applyNumberFormat="1" applyFont="1" applyFill="1" applyBorder="1" applyAlignment="1">
      <alignment horizontal="center" wrapText="1"/>
    </xf>
    <xf numFmtId="0" fontId="5" fillId="29" borderId="30" xfId="0" applyNumberFormat="1" applyFont="1" applyFill="1" applyBorder="1" applyAlignment="1">
      <alignment horizontal="center" vertical="center" wrapText="1"/>
    </xf>
    <xf numFmtId="0" fontId="5" fillId="29" borderId="39" xfId="0" applyNumberFormat="1" applyFont="1" applyFill="1" applyBorder="1" applyAlignment="1">
      <alignment horizontal="center" vertical="center" wrapText="1"/>
    </xf>
    <xf numFmtId="0" fontId="5" fillId="29" borderId="40" xfId="0" applyNumberFormat="1" applyFont="1" applyFill="1" applyBorder="1" applyAlignment="1">
      <alignment horizontal="center" vertical="center" wrapText="1"/>
    </xf>
    <xf numFmtId="0" fontId="5" fillId="29" borderId="14" xfId="0" applyNumberFormat="1" applyFont="1" applyFill="1" applyBorder="1" applyAlignment="1">
      <alignment horizontal="center" vertical="center" wrapText="1"/>
    </xf>
    <xf numFmtId="0" fontId="5" fillId="29" borderId="41" xfId="0" applyNumberFormat="1" applyFont="1" applyFill="1" applyBorder="1" applyAlignment="1">
      <alignment horizontal="center" vertical="center" wrapText="1"/>
    </xf>
    <xf numFmtId="0" fontId="5" fillId="29" borderId="22" xfId="0" applyNumberFormat="1" applyFont="1" applyFill="1" applyBorder="1" applyAlignment="1">
      <alignment horizontal="center" wrapText="1"/>
    </xf>
    <xf numFmtId="0" fontId="5" fillId="29" borderId="24" xfId="0" applyNumberFormat="1" applyFont="1" applyFill="1" applyBorder="1" applyAlignment="1">
      <alignment horizontal="center" wrapText="1"/>
    </xf>
    <xf numFmtId="0" fontId="5" fillId="29" borderId="25" xfId="0" applyNumberFormat="1" applyFont="1" applyFill="1" applyBorder="1" applyAlignment="1">
      <alignment horizontal="center" wrapText="1"/>
    </xf>
    <xf numFmtId="0" fontId="5" fillId="29" borderId="22" xfId="0" applyNumberFormat="1" applyFont="1" applyFill="1" applyBorder="1" applyAlignment="1">
      <alignment horizontal="center" vertical="center" wrapText="1"/>
    </xf>
    <xf numFmtId="0" fontId="5" fillId="29" borderId="24" xfId="0" applyNumberFormat="1" applyFont="1" applyFill="1" applyBorder="1" applyAlignment="1">
      <alignment horizontal="center" vertical="center" wrapText="1"/>
    </xf>
    <xf numFmtId="0" fontId="5" fillId="29" borderId="32" xfId="0" applyNumberFormat="1" applyFont="1" applyFill="1" applyBorder="1" applyAlignment="1">
      <alignment horizontal="center" vertical="center" wrapText="1"/>
    </xf>
    <xf numFmtId="0" fontId="5" fillId="29" borderId="25" xfId="0" applyNumberFormat="1" applyFont="1" applyFill="1" applyBorder="1" applyAlignment="1">
      <alignment horizontal="center" vertical="center" wrapText="1"/>
    </xf>
    <xf numFmtId="0" fontId="5" fillId="29" borderId="33" xfId="0" applyNumberFormat="1" applyFont="1" applyFill="1" applyBorder="1" applyAlignment="1">
      <alignment horizontal="center" vertical="center" wrapText="1"/>
    </xf>
    <xf numFmtId="0" fontId="5" fillId="29" borderId="34" xfId="0" applyNumberFormat="1" applyFont="1" applyFill="1" applyBorder="1" applyAlignment="1">
      <alignment horizontal="center" vertical="center" wrapText="1"/>
    </xf>
    <xf numFmtId="0" fontId="5" fillId="29" borderId="35" xfId="0" applyNumberFormat="1" applyFont="1" applyFill="1" applyBorder="1" applyAlignment="1">
      <alignment horizontal="center" vertical="center" wrapText="1"/>
    </xf>
    <xf numFmtId="0" fontId="5" fillId="29" borderId="36" xfId="0" applyNumberFormat="1" applyFont="1" applyFill="1" applyBorder="1" applyAlignment="1">
      <alignment horizontal="center" wrapText="1"/>
    </xf>
    <xf numFmtId="0" fontId="5" fillId="29" borderId="37" xfId="0" applyNumberFormat="1" applyFont="1" applyFill="1" applyBorder="1" applyAlignment="1">
      <alignment horizontal="center" wrapText="1"/>
    </xf>
    <xf numFmtId="0" fontId="5" fillId="29" borderId="38" xfId="0" applyNumberFormat="1" applyFont="1" applyFill="1" applyBorder="1" applyAlignment="1">
      <alignment horizontal="center" wrapText="1"/>
    </xf>
    <xf numFmtId="0" fontId="5" fillId="29" borderId="20" xfId="0" applyNumberFormat="1" applyFont="1" applyFill="1" applyBorder="1" applyAlignment="1">
      <alignment horizontal="center" wrapText="1"/>
    </xf>
    <xf numFmtId="0" fontId="5" fillId="29" borderId="29" xfId="0" applyNumberFormat="1" applyFont="1" applyFill="1" applyBorder="1" applyAlignment="1">
      <alignment horizontal="center" wrapText="1"/>
    </xf>
    <xf numFmtId="0" fontId="5" fillId="29" borderId="0" xfId="161" applyFont="1" applyFill="1" applyAlignment="1">
      <alignment horizontal="left" vertical="top" wrapText="1"/>
    </xf>
    <xf numFmtId="0" fontId="7" fillId="29" borderId="22" xfId="0" applyNumberFormat="1" applyFont="1" applyFill="1" applyBorder="1" applyAlignment="1">
      <alignment horizontal="center" wrapText="1"/>
    </xf>
    <xf numFmtId="0" fontId="7" fillId="29" borderId="25" xfId="0" applyNumberFormat="1" applyFont="1" applyFill="1" applyBorder="1" applyAlignment="1">
      <alignment horizontal="center" wrapText="1"/>
    </xf>
    <xf numFmtId="0" fontId="7" fillId="29" borderId="24" xfId="0" applyNumberFormat="1" applyFont="1" applyFill="1" applyBorder="1" applyAlignment="1">
      <alignment horizontal="center" wrapText="1"/>
    </xf>
    <xf numFmtId="0" fontId="5" fillId="29" borderId="19" xfId="0" applyNumberFormat="1" applyFont="1" applyFill="1" applyBorder="1" applyAlignment="1">
      <alignment horizontal="center" vertical="center" wrapText="1"/>
    </xf>
    <xf numFmtId="0" fontId="8" fillId="29" borderId="0" xfId="134" applyFont="1" applyFill="1" applyAlignment="1">
      <alignment horizontal="left" wrapText="1"/>
    </xf>
    <xf numFmtId="169" fontId="5" fillId="29" borderId="0" xfId="0" applyFont="1" applyFill="1" applyAlignment="1">
      <alignment vertical="top" wrapText="1"/>
    </xf>
    <xf numFmtId="169" fontId="0" fillId="29" borderId="0" xfId="0" applyFill="1" applyAlignment="1">
      <alignment vertical="top" wrapText="1"/>
    </xf>
    <xf numFmtId="0" fontId="5" fillId="29" borderId="0" xfId="134" applyFont="1" applyFill="1" applyAlignment="1">
      <alignment horizontal="left" vertical="center" wrapText="1"/>
    </xf>
    <xf numFmtId="0" fontId="5" fillId="29" borderId="0" xfId="134" applyFont="1" applyFill="1" applyAlignment="1">
      <alignment horizontal="left" vertical="top"/>
    </xf>
    <xf numFmtId="0" fontId="34" fillId="29" borderId="0" xfId="136" applyFont="1" applyFill="1" applyAlignment="1">
      <alignment horizontal="left" vertical="top" wrapText="1"/>
    </xf>
    <xf numFmtId="0" fontId="5" fillId="29" borderId="0" xfId="136" applyFont="1" applyFill="1" applyAlignment="1">
      <alignment horizontal="left" vertical="top"/>
    </xf>
    <xf numFmtId="0" fontId="138" fillId="29" borderId="0" xfId="244" applyNumberFormat="1" applyFont="1" applyFill="1" applyAlignment="1">
      <alignment horizontal="left" vertical="top" wrapText="1"/>
    </xf>
    <xf numFmtId="0" fontId="5" fillId="29" borderId="0" xfId="134" applyFont="1" applyFill="1" applyAlignment="1">
      <alignment horizontal="left" vertical="top" wrapText="1"/>
    </xf>
    <xf numFmtId="169" fontId="4" fillId="29" borderId="0" xfId="80" applyFill="1" applyAlignment="1">
      <alignment horizontal="left" vertical="top" wrapText="1"/>
    </xf>
    <xf numFmtId="169" fontId="84" fillId="29" borderId="0" xfId="78" applyFont="1" applyFill="1" applyAlignment="1">
      <alignment horizontal="center" vertical="center" wrapText="1"/>
    </xf>
    <xf numFmtId="169" fontId="83" fillId="29" borderId="0" xfId="78" applyFont="1" applyFill="1" applyBorder="1" applyAlignment="1">
      <alignment horizontal="left" vertical="top" wrapText="1"/>
    </xf>
    <xf numFmtId="169" fontId="83" fillId="29" borderId="0" xfId="78" applyFont="1" applyFill="1" applyAlignment="1">
      <alignment horizontal="left" wrapText="1"/>
    </xf>
    <xf numFmtId="169" fontId="5" fillId="29" borderId="9" xfId="0" quotePrefix="1" applyFont="1" applyFill="1" applyBorder="1" applyAlignment="1">
      <alignment horizontal="left" wrapText="1"/>
    </xf>
    <xf numFmtId="169" fontId="0" fillId="29" borderId="9" xfId="0" applyFont="1" applyFill="1" applyBorder="1" applyAlignment="1">
      <alignment wrapText="1"/>
    </xf>
    <xf numFmtId="169" fontId="0" fillId="29" borderId="0" xfId="0" applyFont="1" applyFill="1" applyAlignment="1">
      <alignment wrapText="1"/>
    </xf>
    <xf numFmtId="169" fontId="5" fillId="29" borderId="9" xfId="0" applyFont="1" applyFill="1" applyBorder="1" applyAlignment="1">
      <alignment wrapText="1"/>
    </xf>
    <xf numFmtId="169" fontId="0" fillId="29" borderId="9" xfId="0" applyFill="1" applyBorder="1" applyAlignment="1">
      <alignment wrapText="1"/>
    </xf>
    <xf numFmtId="2" fontId="5" fillId="29" borderId="0" xfId="0" applyNumberFormat="1" applyFont="1" applyFill="1" applyAlignment="1">
      <alignment horizontal="left" vertical="top" wrapText="1"/>
    </xf>
    <xf numFmtId="2" fontId="4" fillId="29" borderId="0" xfId="0" applyNumberFormat="1" applyFont="1" applyFill="1" applyAlignment="1">
      <alignment horizontal="left" vertical="top" wrapText="1"/>
    </xf>
    <xf numFmtId="2" fontId="0" fillId="29" borderId="0" xfId="0" applyNumberFormat="1" applyFill="1" applyAlignment="1">
      <alignment wrapText="1"/>
    </xf>
    <xf numFmtId="169" fontId="5" fillId="0" borderId="0" xfId="0" applyFont="1" applyFill="1" applyAlignment="1">
      <alignment horizontal="left" vertical="top" wrapText="1"/>
    </xf>
    <xf numFmtId="169" fontId="0" fillId="0" borderId="0" xfId="0" applyFill="1" applyAlignment="1">
      <alignment horizontal="left" vertical="top" wrapText="1"/>
    </xf>
    <xf numFmtId="0" fontId="5" fillId="0" borderId="0" xfId="0" applyNumberFormat="1" applyFont="1" applyAlignment="1">
      <alignment wrapText="1"/>
    </xf>
    <xf numFmtId="169" fontId="7" fillId="0" borderId="0" xfId="0" applyFont="1" applyAlignment="1">
      <alignment horizontal="center" vertical="center" wrapText="1"/>
    </xf>
    <xf numFmtId="0" fontId="8" fillId="0" borderId="0" xfId="0" applyNumberFormat="1" applyFont="1" applyAlignment="1">
      <alignment horizontal="left" vertical="center" wrapText="1"/>
    </xf>
    <xf numFmtId="0" fontId="15" fillId="0" borderId="0" xfId="0" applyNumberFormat="1" applyFont="1" applyAlignment="1">
      <alignment wrapText="1"/>
    </xf>
    <xf numFmtId="0" fontId="12" fillId="0" borderId="0" xfId="0" applyNumberFormat="1" applyFont="1" applyAlignment="1">
      <alignment wrapText="1"/>
    </xf>
    <xf numFmtId="0" fontId="23" fillId="0" borderId="0" xfId="0" applyNumberFormat="1" applyFont="1" applyAlignment="1">
      <alignment wrapText="1"/>
    </xf>
    <xf numFmtId="169" fontId="25" fillId="0" borderId="0" xfId="0" applyFont="1" applyAlignment="1">
      <alignment wrapText="1"/>
    </xf>
    <xf numFmtId="0" fontId="5" fillId="0" borderId="0" xfId="158" applyFont="1" applyAlignment="1">
      <alignment wrapText="1"/>
    </xf>
    <xf numFmtId="169" fontId="4" fillId="0" borderId="0" xfId="0" applyFont="1" applyAlignment="1">
      <alignment wrapText="1"/>
    </xf>
    <xf numFmtId="0" fontId="5" fillId="0" borderId="0" xfId="0" applyNumberFormat="1" applyFont="1" applyAlignment="1">
      <alignment horizontal="left" wrapText="1"/>
    </xf>
    <xf numFmtId="0" fontId="23" fillId="0" borderId="0" xfId="0" applyNumberFormat="1" applyFont="1" applyAlignment="1">
      <alignment horizontal="left" vertical="top" wrapText="1"/>
    </xf>
    <xf numFmtId="0" fontId="8" fillId="29" borderId="0" xfId="158" applyFont="1" applyFill="1" applyAlignment="1">
      <alignment horizontal="left" vertical="justify" wrapText="1"/>
    </xf>
    <xf numFmtId="169" fontId="139" fillId="0" borderId="0" xfId="247" applyAlignment="1">
      <alignment wrapText="1"/>
    </xf>
    <xf numFmtId="0" fontId="117" fillId="29" borderId="0" xfId="136" applyFont="1" applyFill="1" applyBorder="1" applyAlignment="1">
      <alignment horizontal="left" vertical="center" wrapText="1"/>
    </xf>
    <xf numFmtId="0" fontId="5" fillId="29" borderId="0" xfId="136" applyFont="1" applyFill="1" applyBorder="1" applyAlignment="1">
      <alignment horizontal="left" vertical="center" wrapText="1"/>
    </xf>
    <xf numFmtId="0" fontId="117" fillId="0" borderId="0" xfId="136" applyFont="1" applyBorder="1" applyAlignment="1">
      <alignment horizontal="left" vertical="center" wrapText="1"/>
    </xf>
    <xf numFmtId="0" fontId="5" fillId="0" borderId="0" xfId="136" applyFont="1" applyBorder="1" applyAlignment="1">
      <alignment horizontal="left" vertical="center" wrapText="1"/>
    </xf>
    <xf numFmtId="169" fontId="117" fillId="0" borderId="0" xfId="78" applyFont="1" applyBorder="1" applyAlignment="1">
      <alignment horizontal="left" vertical="center" wrapText="1"/>
    </xf>
    <xf numFmtId="0" fontId="5" fillId="29" borderId="0" xfId="136" applyFont="1" applyFill="1" applyBorder="1" applyAlignment="1">
      <alignment horizontal="left" vertical="center"/>
    </xf>
    <xf numFmtId="169" fontId="4" fillId="0" borderId="0" xfId="78" applyAlignment="1">
      <alignment horizontal="center" vertical="center" wrapText="1"/>
    </xf>
    <xf numFmtId="169" fontId="4" fillId="29" borderId="0" xfId="78" applyFill="1" applyBorder="1" applyAlignment="1">
      <alignment horizontal="left" vertical="top" wrapText="1"/>
    </xf>
    <xf numFmtId="169" fontId="5" fillId="29" borderId="7" xfId="0" applyFont="1" applyFill="1" applyBorder="1" applyAlignment="1">
      <alignment horizontal="center" wrapText="1"/>
    </xf>
    <xf numFmtId="169" fontId="5" fillId="29" borderId="7" xfId="0" applyFont="1" applyFill="1" applyBorder="1" applyAlignment="1">
      <alignment wrapText="1"/>
    </xf>
    <xf numFmtId="169" fontId="5" fillId="29" borderId="41" xfId="0" applyFont="1" applyFill="1" applyBorder="1" applyAlignment="1">
      <alignment horizontal="center"/>
    </xf>
    <xf numFmtId="1" fontId="5" fillId="29" borderId="39" xfId="0" applyNumberFormat="1" applyFont="1" applyFill="1" applyBorder="1" applyAlignment="1">
      <alignment horizontal="center"/>
    </xf>
    <xf numFmtId="169" fontId="5" fillId="29" borderId="14" xfId="0" applyFont="1" applyFill="1" applyBorder="1" applyAlignment="1">
      <alignment horizontal="center"/>
    </xf>
    <xf numFmtId="169" fontId="5" fillId="29" borderId="14" xfId="0" applyFont="1" applyFill="1" applyBorder="1" applyAlignment="1">
      <alignment horizontal="center" wrapText="1"/>
    </xf>
    <xf numFmtId="3" fontId="5" fillId="29" borderId="41" xfId="0" applyNumberFormat="1" applyFont="1" applyFill="1" applyBorder="1" applyAlignment="1">
      <alignment horizontal="center" wrapText="1"/>
    </xf>
    <xf numFmtId="169" fontId="5" fillId="29" borderId="8" xfId="0" applyFont="1" applyFill="1" applyBorder="1" applyAlignment="1">
      <alignment wrapText="1"/>
    </xf>
    <xf numFmtId="1" fontId="5" fillId="29" borderId="0" xfId="0" applyNumberFormat="1" applyFont="1" applyFill="1" applyAlignment="1">
      <alignment horizontal="center" vertical="center"/>
    </xf>
  </cellXfs>
  <cellStyles count="250">
    <cellStyle name="•\Ž¦Ï‚Ý‚ÌƒnƒCƒp[ƒŠƒ“ƒN" xfId="1" xr:uid="{00000000-0005-0000-0000-000000000000}"/>
    <cellStyle name="•W€_altxt0.XLS" xfId="2" xr:uid="{00000000-0005-0000-0000-000001000000}"/>
    <cellStyle name="1dec" xfId="3" xr:uid="{00000000-0005-0000-0000-000002000000}"/>
    <cellStyle name="20% - Accent1 2" xfId="4" xr:uid="{00000000-0005-0000-0000-000003000000}"/>
    <cellStyle name="20% - Accent2 2" xfId="5" xr:uid="{00000000-0005-0000-0000-000004000000}"/>
    <cellStyle name="20% - Accent3 2" xfId="6" xr:uid="{00000000-0005-0000-0000-000005000000}"/>
    <cellStyle name="20% - Accent4 2" xfId="7" xr:uid="{00000000-0005-0000-0000-000006000000}"/>
    <cellStyle name="20% - Accent5 2" xfId="8" xr:uid="{00000000-0005-0000-0000-000007000000}"/>
    <cellStyle name="20% - Accent6 2" xfId="9" xr:uid="{00000000-0005-0000-0000-000008000000}"/>
    <cellStyle name="40% - Accent1 2" xfId="10" xr:uid="{00000000-0005-0000-0000-000009000000}"/>
    <cellStyle name="40% - Accent2 2" xfId="11" xr:uid="{00000000-0005-0000-0000-00000A000000}"/>
    <cellStyle name="40% - Accent3 2" xfId="12" xr:uid="{00000000-0005-0000-0000-00000B000000}"/>
    <cellStyle name="40% - Accent4 2" xfId="13" xr:uid="{00000000-0005-0000-0000-00000C000000}"/>
    <cellStyle name="40% - Accent4 3" xfId="242" xr:uid="{00000000-0005-0000-0000-00000D000000}"/>
    <cellStyle name="40% - Accent5 2" xfId="14" xr:uid="{00000000-0005-0000-0000-00000E000000}"/>
    <cellStyle name="40% - Accent6 2" xfId="15" xr:uid="{00000000-0005-0000-0000-00000F000000}"/>
    <cellStyle name="60% - Accent1 2" xfId="16" xr:uid="{00000000-0005-0000-0000-000010000000}"/>
    <cellStyle name="60% - Accent2 2" xfId="17" xr:uid="{00000000-0005-0000-0000-000011000000}"/>
    <cellStyle name="60% - Accent3 2" xfId="18" xr:uid="{00000000-0005-0000-0000-000012000000}"/>
    <cellStyle name="60% - Accent4 2" xfId="19" xr:uid="{00000000-0005-0000-0000-000013000000}"/>
    <cellStyle name="60% - Accent5 2" xfId="20" xr:uid="{00000000-0005-0000-0000-000014000000}"/>
    <cellStyle name="60% - Accent6 2" xfId="21" xr:uid="{00000000-0005-0000-0000-000015000000}"/>
    <cellStyle name="A" xfId="22" xr:uid="{00000000-0005-0000-0000-000016000000}"/>
    <cellStyle name="Accent1 2" xfId="23" xr:uid="{00000000-0005-0000-0000-000017000000}"/>
    <cellStyle name="Accent2 2" xfId="24" xr:uid="{00000000-0005-0000-0000-000018000000}"/>
    <cellStyle name="Accent3 2" xfId="25" xr:uid="{00000000-0005-0000-0000-000019000000}"/>
    <cellStyle name="Accent4 2" xfId="26" xr:uid="{00000000-0005-0000-0000-00001A000000}"/>
    <cellStyle name="Accent5 2" xfId="27" xr:uid="{00000000-0005-0000-0000-00001B000000}"/>
    <cellStyle name="Accent6 2" xfId="28" xr:uid="{00000000-0005-0000-0000-00001C000000}"/>
    <cellStyle name="Afrundet valuta_MEAN92" xfId="29" xr:uid="{00000000-0005-0000-0000-00001D000000}"/>
    <cellStyle name="årstal" xfId="30" xr:uid="{00000000-0005-0000-0000-00001E000000}"/>
    <cellStyle name="Bad 2" xfId="31" xr:uid="{00000000-0005-0000-0000-00001F000000}"/>
    <cellStyle name="Calculation 2" xfId="32" xr:uid="{00000000-0005-0000-0000-000020000000}"/>
    <cellStyle name="Check Cell 2" xfId="33" xr:uid="{00000000-0005-0000-0000-000021000000}"/>
    <cellStyle name="Comma" xfId="34" builtinId="3"/>
    <cellStyle name="Comma [0]" xfId="35" builtinId="6"/>
    <cellStyle name="Comma [0] 2" xfId="36" xr:uid="{00000000-0005-0000-0000-000024000000}"/>
    <cellStyle name="Comma [0] 3" xfId="37" xr:uid="{00000000-0005-0000-0000-000025000000}"/>
    <cellStyle name="Comma [0] 4" xfId="38" xr:uid="{00000000-0005-0000-0000-000026000000}"/>
    <cellStyle name="Comma 2" xfId="39" xr:uid="{00000000-0005-0000-0000-000027000000}"/>
    <cellStyle name="Comma 2 2" xfId="246" xr:uid="{00000000-0005-0000-0000-000028000000}"/>
    <cellStyle name="Comma 3" xfId="40" xr:uid="{00000000-0005-0000-0000-000029000000}"/>
    <cellStyle name="Comma 4" xfId="41" xr:uid="{00000000-0005-0000-0000-00002A000000}"/>
    <cellStyle name="Comma 4 2" xfId="248" xr:uid="{00000000-0005-0000-0000-00002B000000}"/>
    <cellStyle name="Comma 5" xfId="42" xr:uid="{00000000-0005-0000-0000-00002C000000}"/>
    <cellStyle name="Comma 6" xfId="245" xr:uid="{00000000-0005-0000-0000-00002D000000}"/>
    <cellStyle name="Comma0" xfId="43" xr:uid="{00000000-0005-0000-0000-00002E000000}"/>
    <cellStyle name="Currency 2" xfId="44" xr:uid="{00000000-0005-0000-0000-00002F000000}"/>
    <cellStyle name="Currency0" xfId="45" xr:uid="{00000000-0005-0000-0000-000030000000}"/>
    <cellStyle name="Date" xfId="46" xr:uid="{00000000-0005-0000-0000-000031000000}"/>
    <cellStyle name="DATUM" xfId="47" xr:uid="{00000000-0005-0000-0000-000032000000}"/>
    <cellStyle name="Dezimal [0]_Check" xfId="48" xr:uid="{00000000-0005-0000-0000-000033000000}"/>
    <cellStyle name="Dezimal_Check" xfId="49" xr:uid="{00000000-0005-0000-0000-000034000000}"/>
    <cellStyle name="dobComma" xfId="50" xr:uid="{00000000-0005-0000-0000-000035000000}"/>
    <cellStyle name="Euro" xfId="51" xr:uid="{00000000-0005-0000-0000-000036000000}"/>
    <cellStyle name="Explanatory Text 2" xfId="52" xr:uid="{00000000-0005-0000-0000-000037000000}"/>
    <cellStyle name="Ezres 2" xfId="53" xr:uid="{00000000-0005-0000-0000-000038000000}"/>
    <cellStyle name="Ezres 3" xfId="54" xr:uid="{00000000-0005-0000-0000-000039000000}"/>
    <cellStyle name="FEST" xfId="55" xr:uid="{00000000-0005-0000-0000-00003A000000}"/>
    <cellStyle name="Fixed" xfId="56" xr:uid="{00000000-0005-0000-0000-00003B000000}"/>
    <cellStyle name="ƒnƒCƒp[ƒŠƒ“ƒN" xfId="57" xr:uid="{00000000-0005-0000-0000-00003C000000}"/>
    <cellStyle name="Good 2" xfId="58" xr:uid="{00000000-0005-0000-0000-00003D000000}"/>
    <cellStyle name="Haus" xfId="59" xr:uid="{00000000-0005-0000-0000-00003E000000}"/>
    <cellStyle name="Heading 1 2" xfId="60" xr:uid="{00000000-0005-0000-0000-00003F000000}"/>
    <cellStyle name="Heading 1 3" xfId="61" xr:uid="{00000000-0005-0000-0000-000040000000}"/>
    <cellStyle name="Heading 2 2" xfId="62" xr:uid="{00000000-0005-0000-0000-000041000000}"/>
    <cellStyle name="Heading 2 3" xfId="63" xr:uid="{00000000-0005-0000-0000-000042000000}"/>
    <cellStyle name="Heading 3 2" xfId="64" xr:uid="{00000000-0005-0000-0000-000043000000}"/>
    <cellStyle name="Heading 4 2" xfId="65" xr:uid="{00000000-0005-0000-0000-000044000000}"/>
    <cellStyle name="Hovede" xfId="66" xr:uid="{00000000-0005-0000-0000-000045000000}"/>
    <cellStyle name="Hyperlink 2" xfId="67" xr:uid="{00000000-0005-0000-0000-000046000000}"/>
    <cellStyle name="Hyperlink 3" xfId="68" xr:uid="{00000000-0005-0000-0000-000047000000}"/>
    <cellStyle name="Hyperlink 4" xfId="69" xr:uid="{00000000-0005-0000-0000-000048000000}"/>
    <cellStyle name="Hyperlink 5" xfId="244" xr:uid="{00000000-0005-0000-0000-000049000000}"/>
    <cellStyle name="Hypertextový odkaz" xfId="70" xr:uid="{00000000-0005-0000-0000-00004A000000}"/>
    <cellStyle name="Hypertextový odkaz 2" xfId="239" xr:uid="{00000000-0005-0000-0000-00004B000000}"/>
    <cellStyle name="Input" xfId="71" builtinId="20"/>
    <cellStyle name="Input 2" xfId="72" xr:uid="{00000000-0005-0000-0000-00004D000000}"/>
    <cellStyle name="KOPFZEILE1" xfId="73" xr:uid="{00000000-0005-0000-0000-00004E000000}"/>
    <cellStyle name="KOPFZEILE2" xfId="74" xr:uid="{00000000-0005-0000-0000-00004F000000}"/>
    <cellStyle name="Linked Cell 2" xfId="75" xr:uid="{00000000-0005-0000-0000-000050000000}"/>
    <cellStyle name="Neutral 2" xfId="76" xr:uid="{00000000-0005-0000-0000-000051000000}"/>
    <cellStyle name="No-definido" xfId="77" xr:uid="{00000000-0005-0000-0000-000052000000}"/>
    <cellStyle name="Normal" xfId="0" builtinId="0"/>
    <cellStyle name="Normal 10" xfId="78" xr:uid="{00000000-0005-0000-0000-000054000000}"/>
    <cellStyle name="Normál 10" xfId="79" xr:uid="{00000000-0005-0000-0000-000055000000}"/>
    <cellStyle name="Normal 10 2" xfId="80" xr:uid="{00000000-0005-0000-0000-000056000000}"/>
    <cellStyle name="Normal 10 3" xfId="81" xr:uid="{00000000-0005-0000-0000-000057000000}"/>
    <cellStyle name="Normal 11" xfId="82" xr:uid="{00000000-0005-0000-0000-000058000000}"/>
    <cellStyle name="Normál 11" xfId="83" xr:uid="{00000000-0005-0000-0000-000059000000}"/>
    <cellStyle name="Normal 11 2" xfId="84" xr:uid="{00000000-0005-0000-0000-00005A000000}"/>
    <cellStyle name="Normal 11 3" xfId="85" xr:uid="{00000000-0005-0000-0000-00005B000000}"/>
    <cellStyle name="Normal 12" xfId="86" xr:uid="{00000000-0005-0000-0000-00005C000000}"/>
    <cellStyle name="Normál 12" xfId="87" xr:uid="{00000000-0005-0000-0000-00005D000000}"/>
    <cellStyle name="Normal 12 2" xfId="243" xr:uid="{00000000-0005-0000-0000-00005E000000}"/>
    <cellStyle name="Normal 13" xfId="88" xr:uid="{00000000-0005-0000-0000-00005F000000}"/>
    <cellStyle name="Normál 13" xfId="89" xr:uid="{00000000-0005-0000-0000-000060000000}"/>
    <cellStyle name="Normal 14" xfId="90" xr:uid="{00000000-0005-0000-0000-000061000000}"/>
    <cellStyle name="Normál 14" xfId="91" xr:uid="{00000000-0005-0000-0000-000062000000}"/>
    <cellStyle name="Normal 14 2" xfId="249" xr:uid="{00000000-0005-0000-0000-000063000000}"/>
    <cellStyle name="Normal 15" xfId="247" xr:uid="{00000000-0005-0000-0000-000064000000}"/>
    <cellStyle name="Normál 15" xfId="92" xr:uid="{00000000-0005-0000-0000-000065000000}"/>
    <cellStyle name="Normál 16" xfId="93" xr:uid="{00000000-0005-0000-0000-000066000000}"/>
    <cellStyle name="Normal 17" xfId="94" xr:uid="{00000000-0005-0000-0000-000067000000}"/>
    <cellStyle name="Normal 17 2" xfId="95" xr:uid="{00000000-0005-0000-0000-000068000000}"/>
    <cellStyle name="Normal 17 3" xfId="96" xr:uid="{00000000-0005-0000-0000-000069000000}"/>
    <cellStyle name="Normal 17 4" xfId="240" xr:uid="{00000000-0005-0000-0000-00006A000000}"/>
    <cellStyle name="Normal 2" xfId="97" xr:uid="{00000000-0005-0000-0000-00006B000000}"/>
    <cellStyle name="Normál 2" xfId="98" xr:uid="{00000000-0005-0000-0000-00006C000000}"/>
    <cellStyle name="Normal 2 10" xfId="99" xr:uid="{00000000-0005-0000-0000-00006D000000}"/>
    <cellStyle name="Normal 2 10 2" xfId="100" xr:uid="{00000000-0005-0000-0000-00006E000000}"/>
    <cellStyle name="Normal 2 11" xfId="101" xr:uid="{00000000-0005-0000-0000-00006F000000}"/>
    <cellStyle name="Normal 2 11 2" xfId="102" xr:uid="{00000000-0005-0000-0000-000070000000}"/>
    <cellStyle name="Normal 2 12" xfId="103" xr:uid="{00000000-0005-0000-0000-000071000000}"/>
    <cellStyle name="Normal 2 13" xfId="104" xr:uid="{00000000-0005-0000-0000-000072000000}"/>
    <cellStyle name="Normal 2 14" xfId="105" xr:uid="{00000000-0005-0000-0000-000073000000}"/>
    <cellStyle name="Normal 2 15" xfId="106" xr:uid="{00000000-0005-0000-0000-000074000000}"/>
    <cellStyle name="Normal 2 16" xfId="107" xr:uid="{00000000-0005-0000-0000-000075000000}"/>
    <cellStyle name="Normal 2 2" xfId="108" xr:uid="{00000000-0005-0000-0000-000076000000}"/>
    <cellStyle name="Normal 2 2 2" xfId="109" xr:uid="{00000000-0005-0000-0000-000077000000}"/>
    <cellStyle name="Normal 2 3" xfId="110" xr:uid="{00000000-0005-0000-0000-000078000000}"/>
    <cellStyle name="Normal 2 3 2" xfId="111" xr:uid="{00000000-0005-0000-0000-000079000000}"/>
    <cellStyle name="Normal 2 4" xfId="112" xr:uid="{00000000-0005-0000-0000-00007A000000}"/>
    <cellStyle name="Normal 2 4 2" xfId="113" xr:uid="{00000000-0005-0000-0000-00007B000000}"/>
    <cellStyle name="Normal 2 5" xfId="114" xr:uid="{00000000-0005-0000-0000-00007C000000}"/>
    <cellStyle name="Normal 2 5 2" xfId="115" xr:uid="{00000000-0005-0000-0000-00007D000000}"/>
    <cellStyle name="Normal 2 6" xfId="116" xr:uid="{00000000-0005-0000-0000-00007E000000}"/>
    <cellStyle name="Normal 2 6 2" xfId="117" xr:uid="{00000000-0005-0000-0000-00007F000000}"/>
    <cellStyle name="Normal 2 7" xfId="118" xr:uid="{00000000-0005-0000-0000-000080000000}"/>
    <cellStyle name="Normal 2 7 2" xfId="119" xr:uid="{00000000-0005-0000-0000-000081000000}"/>
    <cellStyle name="Normal 2 8" xfId="120" xr:uid="{00000000-0005-0000-0000-000082000000}"/>
    <cellStyle name="Normal 2 8 2" xfId="121" xr:uid="{00000000-0005-0000-0000-000083000000}"/>
    <cellStyle name="Normal 2 9" xfId="122" xr:uid="{00000000-0005-0000-0000-000084000000}"/>
    <cellStyle name="Normal 2 9 2" xfId="123" xr:uid="{00000000-0005-0000-0000-000085000000}"/>
    <cellStyle name="Normal 22" xfId="124" xr:uid="{00000000-0005-0000-0000-000086000000}"/>
    <cellStyle name="Normal 3" xfId="125" xr:uid="{00000000-0005-0000-0000-000087000000}"/>
    <cellStyle name="Normál 3" xfId="126" xr:uid="{00000000-0005-0000-0000-000088000000}"/>
    <cellStyle name="Normal 3 2" xfId="127" xr:uid="{00000000-0005-0000-0000-000089000000}"/>
    <cellStyle name="Normal 3 3" xfId="128" xr:uid="{00000000-0005-0000-0000-00008A000000}"/>
    <cellStyle name="Normal 39" xfId="129" xr:uid="{00000000-0005-0000-0000-00008B000000}"/>
    <cellStyle name="Normal 4" xfId="130" xr:uid="{00000000-0005-0000-0000-00008C000000}"/>
    <cellStyle name="Normál 4" xfId="131" xr:uid="{00000000-0005-0000-0000-00008D000000}"/>
    <cellStyle name="Normal 4 2" xfId="132" xr:uid="{00000000-0005-0000-0000-00008E000000}"/>
    <cellStyle name="Normal 40" xfId="133" xr:uid="{00000000-0005-0000-0000-00008F000000}"/>
    <cellStyle name="Normal 5" xfId="134" xr:uid="{00000000-0005-0000-0000-000090000000}"/>
    <cellStyle name="Normál 5" xfId="135" xr:uid="{00000000-0005-0000-0000-000091000000}"/>
    <cellStyle name="Normal 5 2" xfId="136" xr:uid="{00000000-0005-0000-0000-000092000000}"/>
    <cellStyle name="Normal 5 3" xfId="137" xr:uid="{00000000-0005-0000-0000-000093000000}"/>
    <cellStyle name="Normal 5 4" xfId="138" xr:uid="{00000000-0005-0000-0000-000094000000}"/>
    <cellStyle name="Normal 6" xfId="139" xr:uid="{00000000-0005-0000-0000-000095000000}"/>
    <cellStyle name="Normál 6" xfId="140" xr:uid="{00000000-0005-0000-0000-000096000000}"/>
    <cellStyle name="Normal 6 2" xfId="141" xr:uid="{00000000-0005-0000-0000-000097000000}"/>
    <cellStyle name="Normal 6 3" xfId="142" xr:uid="{00000000-0005-0000-0000-000098000000}"/>
    <cellStyle name="Normal 7" xfId="143" xr:uid="{00000000-0005-0000-0000-000099000000}"/>
    <cellStyle name="Normál 7" xfId="144" xr:uid="{00000000-0005-0000-0000-00009A000000}"/>
    <cellStyle name="Normal 7 2" xfId="145" xr:uid="{00000000-0005-0000-0000-00009B000000}"/>
    <cellStyle name="Normal 7 3" xfId="146" xr:uid="{00000000-0005-0000-0000-00009C000000}"/>
    <cellStyle name="Normal 8" xfId="147" xr:uid="{00000000-0005-0000-0000-00009D000000}"/>
    <cellStyle name="Normál 8" xfId="148" xr:uid="{00000000-0005-0000-0000-00009E000000}"/>
    <cellStyle name="Normal 8 2" xfId="149" xr:uid="{00000000-0005-0000-0000-00009F000000}"/>
    <cellStyle name="Normal 8 3" xfId="150" xr:uid="{00000000-0005-0000-0000-0000A0000000}"/>
    <cellStyle name="Normal 8 4" xfId="241" xr:uid="{00000000-0005-0000-0000-0000A1000000}"/>
    <cellStyle name="Normal 9" xfId="151" xr:uid="{00000000-0005-0000-0000-0000A2000000}"/>
    <cellStyle name="Normál 9" xfId="152" xr:uid="{00000000-0005-0000-0000-0000A3000000}"/>
    <cellStyle name="Normal 9 2" xfId="153" xr:uid="{00000000-0005-0000-0000-0000A4000000}"/>
    <cellStyle name="Normal 9 3" xfId="154" xr:uid="{00000000-0005-0000-0000-0000A5000000}"/>
    <cellStyle name="Normal_A" xfId="155" xr:uid="{00000000-0005-0000-0000-0000A6000000}"/>
    <cellStyle name="Normal_adema" xfId="156" xr:uid="{00000000-0005-0000-0000-0000A7000000}"/>
    <cellStyle name="Normal_Annual" xfId="157" xr:uid="{00000000-0005-0000-0000-0000A8000000}"/>
    <cellStyle name="Normal_AUSNET" xfId="158" xr:uid="{00000000-0005-0000-0000-0000A9000000}"/>
    <cellStyle name="Normal_AUSTRALIA" xfId="159" xr:uid="{00000000-0005-0000-0000-0000AA000000}"/>
    <cellStyle name="Normál_H-Quant99-01" xfId="160" xr:uid="{00000000-0005-0000-0000-0000AB000000}"/>
    <cellStyle name="Normal_Net Social Expenditure" xfId="161" xr:uid="{00000000-0005-0000-0000-0000AC000000}"/>
    <cellStyle name="Normal_Netden97" xfId="162" xr:uid="{00000000-0005-0000-0000-0000AD000000}"/>
    <cellStyle name="Normal_Netden99" xfId="163" xr:uid="{00000000-0005-0000-0000-0000AE000000}"/>
    <cellStyle name="Normal_Netger99kl" xfId="164" xr:uid="{00000000-0005-0000-0000-0000AF000000}"/>
    <cellStyle name="Normal_NETIRL99" xfId="165" xr:uid="{00000000-0005-0000-0000-0000B0000000}"/>
    <cellStyle name="Normal_Netned97" xfId="166" xr:uid="{00000000-0005-0000-0000-0000B1000000}"/>
    <cellStyle name="Normal_NetNED99" xfId="167" xr:uid="{00000000-0005-0000-0000-0000B2000000}"/>
    <cellStyle name="Normal_ques2003-annex2-tables-aitr+tbsps" xfId="168" xr:uid="{00000000-0005-0000-0000-0000B3000000}"/>
    <cellStyle name="Normal_Sheet1" xfId="169" xr:uid="{00000000-0005-0000-0000-0000B4000000}"/>
    <cellStyle name="Normal_Social expenditure in Korea(2000 2001)" xfId="170" xr:uid="{00000000-0005-0000-0000-0000B5000000}"/>
    <cellStyle name="Normal_UKNETold" xfId="171" xr:uid="{00000000-0005-0000-0000-0000B6000000}"/>
    <cellStyle name="Normal_USNET95" xfId="172" xr:uid="{00000000-0005-0000-0000-0000B7000000}"/>
    <cellStyle name="NormalDK" xfId="173" xr:uid="{00000000-0005-0000-0000-0000B8000000}"/>
    <cellStyle name="Normale 2" xfId="174" xr:uid="{00000000-0005-0000-0000-0000B9000000}"/>
    <cellStyle name="Note 2" xfId="175" xr:uid="{00000000-0005-0000-0000-0000BA000000}"/>
    <cellStyle name="Output 2" xfId="176" xr:uid="{00000000-0005-0000-0000-0000BB000000}"/>
    <cellStyle name="Percent" xfId="177" builtinId="5"/>
    <cellStyle name="Percent 2" xfId="178" xr:uid="{00000000-0005-0000-0000-0000BD000000}"/>
    <cellStyle name="Percentuale 2" xfId="179" xr:uid="{00000000-0005-0000-0000-0000BE000000}"/>
    <cellStyle name="Porcentaje 2" xfId="180" xr:uid="{00000000-0005-0000-0000-0000BF000000}"/>
    <cellStyle name="Procent 2" xfId="181" xr:uid="{00000000-0005-0000-0000-0000C0000000}"/>
    <cellStyle name="Prozent_Mappe1" xfId="182" xr:uid="{00000000-0005-0000-0000-0000C1000000}"/>
    <cellStyle name="Sbold" xfId="183" xr:uid="{00000000-0005-0000-0000-0000C2000000}"/>
    <cellStyle name="Sledovaný hypertextový odkaz" xfId="184" xr:uid="{00000000-0005-0000-0000-0000C3000000}"/>
    <cellStyle name="Snorm" xfId="185" xr:uid="{00000000-0005-0000-0000-0000C4000000}"/>
    <cellStyle name="socxn" xfId="186" xr:uid="{00000000-0005-0000-0000-0000C5000000}"/>
    <cellStyle name="Standard 2 2" xfId="187" xr:uid="{00000000-0005-0000-0000-0000C6000000}"/>
    <cellStyle name="Standard_AT1990-2000Nat" xfId="188" xr:uid="{00000000-0005-0000-0000-0000C7000000}"/>
    <cellStyle name="Standard_TABIII" xfId="189" xr:uid="{00000000-0005-0000-0000-0000C8000000}"/>
    <cellStyle name="SUMME" xfId="190" xr:uid="{00000000-0005-0000-0000-0000C9000000}"/>
    <cellStyle name="Százalék 2" xfId="191" xr:uid="{00000000-0005-0000-0000-0000CA000000}"/>
    <cellStyle name="Százalék 3" xfId="192" xr:uid="{00000000-0005-0000-0000-0000CB000000}"/>
    <cellStyle name="tal" xfId="193" xr:uid="{00000000-0005-0000-0000-0000CC000000}"/>
    <cellStyle name="Title 2" xfId="194" xr:uid="{00000000-0005-0000-0000-0000CD000000}"/>
    <cellStyle name="Total 2" xfId="195" xr:uid="{00000000-0005-0000-0000-0000CE000000}"/>
    <cellStyle name="Total 3" xfId="196" xr:uid="{00000000-0005-0000-0000-0000CF000000}"/>
    <cellStyle name="Tusenskille [0]_NO" xfId="197" xr:uid="{00000000-0005-0000-0000-0000D0000000}"/>
    <cellStyle name="Tusenskille_NO" xfId="198" xr:uid="{00000000-0005-0000-0000-0000D1000000}"/>
    <cellStyle name="Tusental (0)_Data 1993" xfId="199" xr:uid="{00000000-0005-0000-0000-0000D2000000}"/>
    <cellStyle name="Tusental_Data 1993" xfId="200" xr:uid="{00000000-0005-0000-0000-0000D3000000}"/>
    <cellStyle name="Valuta (0)_Data 1993" xfId="201" xr:uid="{00000000-0005-0000-0000-0000D4000000}"/>
    <cellStyle name="Valuta [0]_NO" xfId="202" xr:uid="{00000000-0005-0000-0000-0000D5000000}"/>
    <cellStyle name="Valuta_Data 1993" xfId="203" xr:uid="{00000000-0005-0000-0000-0000D6000000}"/>
    <cellStyle name="Währung [0]_Check" xfId="204" xr:uid="{00000000-0005-0000-0000-0000D7000000}"/>
    <cellStyle name="Währung_Check" xfId="205" xr:uid="{00000000-0005-0000-0000-0000D8000000}"/>
    <cellStyle name="Warning Text 2" xfId="206" xr:uid="{00000000-0005-0000-0000-0000D9000000}"/>
    <cellStyle name="パーセント 2" xfId="207" xr:uid="{00000000-0005-0000-0000-0000DA000000}"/>
    <cellStyle name="パーセント 3" xfId="208" xr:uid="{00000000-0005-0000-0000-0000DB000000}"/>
    <cellStyle name="백분율 2" xfId="209" xr:uid="{00000000-0005-0000-0000-0000DC000000}"/>
    <cellStyle name="백분율 3" xfId="210" xr:uid="{00000000-0005-0000-0000-0000DD000000}"/>
    <cellStyle name="쉼표 [0] 2" xfId="211" xr:uid="{00000000-0005-0000-0000-0000DE000000}"/>
    <cellStyle name="쉼표 [0] 2 2" xfId="212" xr:uid="{00000000-0005-0000-0000-0000DF000000}"/>
    <cellStyle name="쉼표 [0] 2 3" xfId="213" xr:uid="{00000000-0005-0000-0000-0000E0000000}"/>
    <cellStyle name="쉼표 [0] 3" xfId="214" xr:uid="{00000000-0005-0000-0000-0000E1000000}"/>
    <cellStyle name="콤마 [0]_Book1" xfId="215" xr:uid="{00000000-0005-0000-0000-0000E2000000}"/>
    <cellStyle name="콤마_Book1" xfId="216" xr:uid="{00000000-0005-0000-0000-0000E3000000}"/>
    <cellStyle name="표준 2" xfId="217" xr:uid="{00000000-0005-0000-0000-0000E4000000}"/>
    <cellStyle name="표준 2 2" xfId="218" xr:uid="{00000000-0005-0000-0000-0000E5000000}"/>
    <cellStyle name="표준 2 3" xfId="219" xr:uid="{00000000-0005-0000-0000-0000E6000000}"/>
    <cellStyle name="표준 3" xfId="220" xr:uid="{00000000-0005-0000-0000-0000E7000000}"/>
    <cellStyle name="표준 4" xfId="221" xr:uid="{00000000-0005-0000-0000-0000E8000000}"/>
    <cellStyle name="표준 4 2" xfId="222" xr:uid="{00000000-0005-0000-0000-0000E9000000}"/>
    <cellStyle name="표준 5" xfId="223" xr:uid="{00000000-0005-0000-0000-0000EA000000}"/>
    <cellStyle name="표준 5 2" xfId="224" xr:uid="{00000000-0005-0000-0000-0000EB000000}"/>
    <cellStyle name="표준 6" xfId="225" xr:uid="{00000000-0005-0000-0000-0000EC000000}"/>
    <cellStyle name="표준 7" xfId="226" xr:uid="{00000000-0005-0000-0000-0000ED000000}"/>
    <cellStyle name="표준 8" xfId="227" xr:uid="{00000000-0005-0000-0000-0000EE000000}"/>
    <cellStyle name="표준 9 2" xfId="228" xr:uid="{00000000-0005-0000-0000-0000EF000000}"/>
    <cellStyle name="표준_Kor" xfId="229" xr:uid="{00000000-0005-0000-0000-0000F0000000}"/>
    <cellStyle name="桁区切り 2" xfId="230" xr:uid="{00000000-0005-0000-0000-0000F1000000}"/>
    <cellStyle name="桁区切り 3" xfId="231" xr:uid="{00000000-0005-0000-0000-0000F2000000}"/>
    <cellStyle name="桁区切り 4" xfId="232" xr:uid="{00000000-0005-0000-0000-0000F3000000}"/>
    <cellStyle name="標準 2" xfId="233" xr:uid="{00000000-0005-0000-0000-0000F4000000}"/>
    <cellStyle name="標準 3" xfId="234" xr:uid="{00000000-0005-0000-0000-0000F5000000}"/>
    <cellStyle name="標準 4" xfId="235" xr:uid="{00000000-0005-0000-0000-0000F6000000}"/>
    <cellStyle name="標準_90a1_en" xfId="236" xr:uid="{00000000-0005-0000-0000-0000F7000000}"/>
    <cellStyle name="標準_JAPANTAX1999" xfId="237" xr:uid="{00000000-0005-0000-0000-0000F8000000}"/>
    <cellStyle name="標準_JAPANTAX1999 2" xfId="238" xr:uid="{00000000-0005-0000-0000-0000F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46</xdr:col>
      <xdr:colOff>23284</xdr:colOff>
      <xdr:row>94</xdr:row>
      <xdr:rowOff>137257</xdr:rowOff>
    </xdr:from>
    <xdr:to>
      <xdr:col>47</xdr:col>
      <xdr:colOff>245674</xdr:colOff>
      <xdr:row>105</xdr:row>
      <xdr:rowOff>82793</xdr:rowOff>
    </xdr:to>
    <xdr:sp macro="" textlink="">
      <xdr:nvSpPr>
        <xdr:cNvPr id="2" name="4 Rectángulo">
          <a:extLst>
            <a:ext uri="{FF2B5EF4-FFF2-40B4-BE49-F238E27FC236}">
              <a16:creationId xmlns:a16="http://schemas.microsoft.com/office/drawing/2014/main" id="{00000000-0008-0000-0500-000002000000}"/>
            </a:ext>
          </a:extLst>
        </xdr:cNvPr>
        <xdr:cNvSpPr/>
      </xdr:nvSpPr>
      <xdr:spPr>
        <a:xfrm>
          <a:off x="15189201" y="8932007"/>
          <a:ext cx="984390" cy="1776453"/>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Q4.</a:t>
          </a:r>
        </a:p>
      </xdr:txBody>
    </xdr:sp>
    <xdr:clientData/>
  </xdr:twoCellAnchor>
  <xdr:twoCellAnchor>
    <xdr:from>
      <xdr:col>41</xdr:col>
      <xdr:colOff>612775</xdr:colOff>
      <xdr:row>96</xdr:row>
      <xdr:rowOff>53975</xdr:rowOff>
    </xdr:from>
    <xdr:to>
      <xdr:col>42</xdr:col>
      <xdr:colOff>209915</xdr:colOff>
      <xdr:row>105</xdr:row>
      <xdr:rowOff>92075</xdr:rowOff>
    </xdr:to>
    <xdr:sp macro="" textlink="">
      <xdr:nvSpPr>
        <xdr:cNvPr id="3" name="5 Cerrar llave">
          <a:extLst>
            <a:ext uri="{FF2B5EF4-FFF2-40B4-BE49-F238E27FC236}">
              <a16:creationId xmlns:a16="http://schemas.microsoft.com/office/drawing/2014/main" id="{00000000-0008-0000-0500-000003000000}"/>
            </a:ext>
          </a:extLst>
        </xdr:cNvPr>
        <xdr:cNvSpPr/>
      </xdr:nvSpPr>
      <xdr:spPr>
        <a:xfrm>
          <a:off x="17322800" y="8350250"/>
          <a:ext cx="377825" cy="1533525"/>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41</xdr:col>
      <xdr:colOff>698500</xdr:colOff>
      <xdr:row>109</xdr:row>
      <xdr:rowOff>34925</xdr:rowOff>
    </xdr:from>
    <xdr:to>
      <xdr:col>42</xdr:col>
      <xdr:colOff>314951</xdr:colOff>
      <xdr:row>112</xdr:row>
      <xdr:rowOff>149225</xdr:rowOff>
    </xdr:to>
    <xdr:sp macro="" textlink="">
      <xdr:nvSpPr>
        <xdr:cNvPr id="4" name="2 Cerrar llave">
          <a:extLst>
            <a:ext uri="{FF2B5EF4-FFF2-40B4-BE49-F238E27FC236}">
              <a16:creationId xmlns:a16="http://schemas.microsoft.com/office/drawing/2014/main" id="{00000000-0008-0000-0500-000004000000}"/>
            </a:ext>
          </a:extLst>
        </xdr:cNvPr>
        <xdr:cNvSpPr/>
      </xdr:nvSpPr>
      <xdr:spPr>
        <a:xfrm>
          <a:off x="17408525" y="10483850"/>
          <a:ext cx="377825" cy="93345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44</xdr:col>
      <xdr:colOff>361157</xdr:colOff>
      <xdr:row>113</xdr:row>
      <xdr:rowOff>72598</xdr:rowOff>
    </xdr:from>
    <xdr:to>
      <xdr:col>45</xdr:col>
      <xdr:colOff>564464</xdr:colOff>
      <xdr:row>117</xdr:row>
      <xdr:rowOff>91399</xdr:rowOff>
    </xdr:to>
    <xdr:sp macro="" textlink="">
      <xdr:nvSpPr>
        <xdr:cNvPr id="5" name="3 Rectángulo">
          <a:extLst>
            <a:ext uri="{FF2B5EF4-FFF2-40B4-BE49-F238E27FC236}">
              <a16:creationId xmlns:a16="http://schemas.microsoft.com/office/drawing/2014/main" id="{00000000-0008-0000-0500-000005000000}"/>
            </a:ext>
          </a:extLst>
        </xdr:cNvPr>
        <xdr:cNvSpPr/>
      </xdr:nvSpPr>
      <xdr:spPr>
        <a:xfrm>
          <a:off x="13981907" y="12467004"/>
          <a:ext cx="965307" cy="709364"/>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Q5.</a:t>
          </a:r>
        </a:p>
      </xdr:txBody>
    </xdr:sp>
    <xdr:clientData/>
  </xdr:twoCellAnchor>
  <xdr:twoCellAnchor>
    <xdr:from>
      <xdr:col>1</xdr:col>
      <xdr:colOff>107950</xdr:colOff>
      <xdr:row>30</xdr:row>
      <xdr:rowOff>76200</xdr:rowOff>
    </xdr:from>
    <xdr:to>
      <xdr:col>29</xdr:col>
      <xdr:colOff>812940</xdr:colOff>
      <xdr:row>35</xdr:row>
      <xdr:rowOff>107043</xdr:rowOff>
    </xdr:to>
    <xdr:sp macro="" textlink="">
      <xdr:nvSpPr>
        <xdr:cNvPr id="8" name="CuadroTexto 5">
          <a:extLst>
            <a:ext uri="{FF2B5EF4-FFF2-40B4-BE49-F238E27FC236}">
              <a16:creationId xmlns:a16="http://schemas.microsoft.com/office/drawing/2014/main" id="{00000000-0008-0000-0500-000008000000}"/>
            </a:ext>
          </a:extLst>
        </xdr:cNvPr>
        <xdr:cNvSpPr txBox="1"/>
      </xdr:nvSpPr>
      <xdr:spPr>
        <a:xfrm>
          <a:off x="114300" y="5324475"/>
          <a:ext cx="8985250" cy="811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ysClr val="windowText" lastClr="000000"/>
              </a:solidFill>
              <a:latin typeface="Times New Roman" panose="02020603050405020304" pitchFamily="18" charset="0"/>
              <a:cs typeface="Times New Roman" panose="02020603050405020304" pitchFamily="18" charset="0"/>
            </a:rPr>
            <a:t>Source: SII Annual Sworn Statement N°1812 on Revenue from Retirement, Pensions or Pawnshops, and Withholding of Single Second Category Tax (Income Tax Law). Tax years 2002 to 2019.</a:t>
          </a:r>
        </a:p>
        <a:p>
          <a:endParaRPr lang="es-CL" sz="1000">
            <a:solidFill>
              <a:sysClr val="windowText" lastClr="000000"/>
            </a:solidFill>
            <a:latin typeface="Times New Roman" panose="02020603050405020304" pitchFamily="18" charset="0"/>
            <a:cs typeface="Times New Roman" panose="02020603050405020304" pitchFamily="18" charset="0"/>
          </a:endParaRPr>
        </a:p>
        <a:p>
          <a:r>
            <a:rPr lang="es-CL" sz="1000">
              <a:solidFill>
                <a:sysClr val="windowText" lastClr="000000"/>
              </a:solidFill>
              <a:latin typeface="Times New Roman" panose="02020603050405020304" pitchFamily="18" charset="0"/>
              <a:cs typeface="Times New Roman" panose="02020603050405020304" pitchFamily="18" charset="0"/>
            </a:rPr>
            <a:t>Note:  Figures represent only the income tax paid on pensions.</a:t>
          </a:r>
        </a:p>
        <a:p>
          <a:endParaRPr lang="es-CL" sz="1100">
            <a:solidFill>
              <a:srgbClr val="0070C0"/>
            </a:solidFill>
          </a:endParaRPr>
        </a:p>
      </xdr:txBody>
    </xdr:sp>
    <xdr:clientData/>
  </xdr:twoCellAnchor>
  <xdr:twoCellAnchor>
    <xdr:from>
      <xdr:col>44</xdr:col>
      <xdr:colOff>212725</xdr:colOff>
      <xdr:row>95</xdr:row>
      <xdr:rowOff>70582</xdr:rowOff>
    </xdr:from>
    <xdr:to>
      <xdr:col>45</xdr:col>
      <xdr:colOff>511019</xdr:colOff>
      <xdr:row>106</xdr:row>
      <xdr:rowOff>12943</xdr:rowOff>
    </xdr:to>
    <xdr:sp macro="" textlink="">
      <xdr:nvSpPr>
        <xdr:cNvPr id="9" name="4 Rectángulo">
          <a:extLst>
            <a:ext uri="{FF2B5EF4-FFF2-40B4-BE49-F238E27FC236}">
              <a16:creationId xmlns:a16="http://schemas.microsoft.com/office/drawing/2014/main" id="{00000000-0008-0000-0500-000009000000}"/>
            </a:ext>
          </a:extLst>
        </xdr:cNvPr>
        <xdr:cNvSpPr/>
      </xdr:nvSpPr>
      <xdr:spPr>
        <a:xfrm>
          <a:off x="19208750" y="8204932"/>
          <a:ext cx="1066800" cy="1761636"/>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Q4.</a:t>
          </a:r>
        </a:p>
      </xdr:txBody>
    </xdr:sp>
    <xdr:clientData/>
  </xdr:twoCellAnchor>
  <xdr:twoCellAnchor>
    <xdr:from>
      <xdr:col>43</xdr:col>
      <xdr:colOff>520700</xdr:colOff>
      <xdr:row>96</xdr:row>
      <xdr:rowOff>15875</xdr:rowOff>
    </xdr:from>
    <xdr:to>
      <xdr:col>44</xdr:col>
      <xdr:colOff>144041</xdr:colOff>
      <xdr:row>105</xdr:row>
      <xdr:rowOff>53975</xdr:rowOff>
    </xdr:to>
    <xdr:sp macro="" textlink="">
      <xdr:nvSpPr>
        <xdr:cNvPr id="10" name="5 Cerrar llave">
          <a:extLst>
            <a:ext uri="{FF2B5EF4-FFF2-40B4-BE49-F238E27FC236}">
              <a16:creationId xmlns:a16="http://schemas.microsoft.com/office/drawing/2014/main" id="{00000000-0008-0000-0500-00000A000000}"/>
            </a:ext>
          </a:extLst>
        </xdr:cNvPr>
        <xdr:cNvSpPr/>
      </xdr:nvSpPr>
      <xdr:spPr>
        <a:xfrm>
          <a:off x="18761075" y="8312150"/>
          <a:ext cx="377825" cy="1533525"/>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43</xdr:col>
      <xdr:colOff>593725</xdr:colOff>
      <xdr:row>109</xdr:row>
      <xdr:rowOff>19050</xdr:rowOff>
    </xdr:from>
    <xdr:to>
      <xdr:col>44</xdr:col>
      <xdr:colOff>190865</xdr:colOff>
      <xdr:row>112</xdr:row>
      <xdr:rowOff>139700</xdr:rowOff>
    </xdr:to>
    <xdr:sp macro="" textlink="">
      <xdr:nvSpPr>
        <xdr:cNvPr id="11" name="2 Cerrar llave">
          <a:extLst>
            <a:ext uri="{FF2B5EF4-FFF2-40B4-BE49-F238E27FC236}">
              <a16:creationId xmlns:a16="http://schemas.microsoft.com/office/drawing/2014/main" id="{00000000-0008-0000-0500-00000B000000}"/>
            </a:ext>
          </a:extLst>
        </xdr:cNvPr>
        <xdr:cNvSpPr/>
      </xdr:nvSpPr>
      <xdr:spPr>
        <a:xfrm>
          <a:off x="18827750" y="10474325"/>
          <a:ext cx="377825" cy="93345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44</xdr:col>
      <xdr:colOff>209550</xdr:colOff>
      <xdr:row>108</xdr:row>
      <xdr:rowOff>154354</xdr:rowOff>
    </xdr:from>
    <xdr:to>
      <xdr:col>45</xdr:col>
      <xdr:colOff>527190</xdr:colOff>
      <xdr:row>113</xdr:row>
      <xdr:rowOff>17584</xdr:rowOff>
    </xdr:to>
    <xdr:sp macro="" textlink="">
      <xdr:nvSpPr>
        <xdr:cNvPr id="12" name="3 Rectángulo">
          <a:extLst>
            <a:ext uri="{FF2B5EF4-FFF2-40B4-BE49-F238E27FC236}">
              <a16:creationId xmlns:a16="http://schemas.microsoft.com/office/drawing/2014/main" id="{00000000-0008-0000-0500-00000C000000}"/>
            </a:ext>
          </a:extLst>
        </xdr:cNvPr>
        <xdr:cNvSpPr/>
      </xdr:nvSpPr>
      <xdr:spPr>
        <a:xfrm>
          <a:off x="19224625" y="10431829"/>
          <a:ext cx="1066800" cy="1063380"/>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Q5.</a:t>
          </a:r>
        </a:p>
      </xdr:txBody>
    </xdr:sp>
    <xdr:clientData/>
  </xdr:twoCellAnchor>
  <xdr:twoCellAnchor>
    <xdr:from>
      <xdr:col>0</xdr:col>
      <xdr:colOff>0</xdr:colOff>
      <xdr:row>128</xdr:row>
      <xdr:rowOff>0</xdr:rowOff>
    </xdr:from>
    <xdr:to>
      <xdr:col>25</xdr:col>
      <xdr:colOff>296638</xdr:colOff>
      <xdr:row>135</xdr:row>
      <xdr:rowOff>73025</xdr:rowOff>
    </xdr:to>
    <xdr:sp macro="" textlink="">
      <xdr:nvSpPr>
        <xdr:cNvPr id="13" name="CuadroTexto 6">
          <a:extLst>
            <a:ext uri="{FF2B5EF4-FFF2-40B4-BE49-F238E27FC236}">
              <a16:creationId xmlns:a16="http://schemas.microsoft.com/office/drawing/2014/main" id="{00000000-0008-0000-0500-00000D000000}"/>
            </a:ext>
          </a:extLst>
        </xdr:cNvPr>
        <xdr:cNvSpPr txBox="1"/>
      </xdr:nvSpPr>
      <xdr:spPr>
        <a:xfrm>
          <a:off x="0" y="14639925"/>
          <a:ext cx="7014936" cy="120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ysClr val="windowText" lastClr="000000"/>
              </a:solidFill>
            </a:rPr>
            <a:t>Source: </a:t>
          </a:r>
          <a:r>
            <a:rPr lang="es-CL" sz="1000">
              <a:solidFill>
                <a:sysClr val="windowText" lastClr="000000"/>
              </a:solidFill>
              <a:effectLst/>
              <a:latin typeface="+mn-lt"/>
              <a:ea typeface="+mn-ea"/>
              <a:cs typeface="+mn-cs"/>
            </a:rPr>
            <a:t>Tax Expenditure Reports, elaborated by Servicio de Impuestos Internos (Chilean Internal Revenue Service).</a:t>
          </a:r>
          <a:endParaRPr lang="es-CL" sz="1000">
            <a:solidFill>
              <a:sysClr val="windowText" lastClr="000000"/>
            </a:solidFill>
            <a:effectLst/>
          </a:endParaRPr>
        </a:p>
        <a:p>
          <a:endParaRPr lang="es-CL" sz="1000">
            <a:solidFill>
              <a:sysClr val="windowText" lastClr="000000"/>
            </a:solidFill>
          </a:endParaRPr>
        </a:p>
        <a:p>
          <a:r>
            <a:rPr lang="es-CL" sz="1000">
              <a:solidFill>
                <a:sysClr val="windowText" lastClr="000000"/>
              </a:solidFill>
            </a:rPr>
            <a:t>Note: </a:t>
          </a:r>
        </a:p>
        <a:p>
          <a:r>
            <a:rPr lang="es-CL" sz="1000">
              <a:solidFill>
                <a:sysClr val="windowText" lastClr="000000"/>
              </a:solidFill>
            </a:rPr>
            <a:t>a) Tax expenditure measurement began in 2002 and is made on a cash basis.</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ysClr val="windowText" lastClr="000000"/>
              </a:solidFill>
            </a:rPr>
            <a:t>b) </a:t>
          </a:r>
          <a:r>
            <a:rPr lang="es-CL" sz="1000">
              <a:solidFill>
                <a:sysClr val="windowText" lastClr="000000"/>
              </a:solidFill>
              <a:latin typeface="+mn-lt"/>
              <a:ea typeface="+mn-ea"/>
              <a:cs typeface="+mn-cs"/>
            </a:rPr>
            <a:t>Tax breaks concerning pensions (compulsory or voluntary) were excluded.</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ysClr val="windowText" lastClr="000000"/>
              </a:solidFill>
              <a:latin typeface="+mn-lt"/>
              <a:ea typeface="+mn-ea"/>
              <a:cs typeface="+mn-cs"/>
            </a:rPr>
            <a:t>c) It is only included the compulsory deduction of contributions to private pensiones.</a:t>
          </a:r>
        </a:p>
        <a:p>
          <a:pPr marL="0" marR="0" indent="0" defTabSz="914400" eaLnBrk="1" fontAlgn="auto" latinLnBrk="0" hangingPunct="1">
            <a:lnSpc>
              <a:spcPct val="100000"/>
            </a:lnSpc>
            <a:spcBef>
              <a:spcPts val="0"/>
            </a:spcBef>
            <a:spcAft>
              <a:spcPts val="0"/>
            </a:spcAft>
            <a:buClrTx/>
            <a:buSzTx/>
            <a:buFontTx/>
            <a:buNone/>
            <a:tabLst/>
            <a:defRPr/>
          </a:pPr>
          <a:endParaRPr lang="es-CL" sz="1100">
            <a:solidFill>
              <a:srgbClr val="0070C0"/>
            </a:solidFill>
          </a:endParaRPr>
        </a:p>
        <a:p>
          <a:endParaRPr lang="es-CL">
            <a:effectLst/>
          </a:endParaRPr>
        </a:p>
      </xdr:txBody>
    </xdr:sp>
    <xdr:clientData/>
  </xdr:twoCellAnchor>
  <xdr:twoCellAnchor>
    <xdr:from>
      <xdr:col>1</xdr:col>
      <xdr:colOff>107950</xdr:colOff>
      <xdr:row>30</xdr:row>
      <xdr:rowOff>76200</xdr:rowOff>
    </xdr:from>
    <xdr:to>
      <xdr:col>29</xdr:col>
      <xdr:colOff>812940</xdr:colOff>
      <xdr:row>35</xdr:row>
      <xdr:rowOff>107043</xdr:rowOff>
    </xdr:to>
    <xdr:sp macro="" textlink="">
      <xdr:nvSpPr>
        <xdr:cNvPr id="14" name="CuadroTexto 5">
          <a:extLst>
            <a:ext uri="{FF2B5EF4-FFF2-40B4-BE49-F238E27FC236}">
              <a16:creationId xmlns:a16="http://schemas.microsoft.com/office/drawing/2014/main" id="{00000000-0008-0000-0500-00000E000000}"/>
            </a:ext>
          </a:extLst>
        </xdr:cNvPr>
        <xdr:cNvSpPr txBox="1"/>
      </xdr:nvSpPr>
      <xdr:spPr>
        <a:xfrm>
          <a:off x="107950" y="5359400"/>
          <a:ext cx="4019690" cy="818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ysClr val="windowText" lastClr="000000"/>
              </a:solidFill>
              <a:latin typeface="Times New Roman" panose="02020603050405020304" pitchFamily="18" charset="0"/>
              <a:cs typeface="Times New Roman" panose="02020603050405020304" pitchFamily="18" charset="0"/>
            </a:rPr>
            <a:t>Source: SII Annual Sworn Statement N°1812 on Revenue from Retirement</a:t>
          </a:r>
          <a:r>
            <a:rPr lang="es-CL" sz="1000" baseline="0">
              <a:solidFill>
                <a:sysClr val="windowText" lastClr="000000"/>
              </a:solidFill>
              <a:latin typeface="Times New Roman" panose="02020603050405020304" pitchFamily="18" charset="0"/>
              <a:cs typeface="Times New Roman" panose="02020603050405020304" pitchFamily="18" charset="0"/>
            </a:rPr>
            <a:t> and </a:t>
          </a:r>
          <a:r>
            <a:rPr lang="es-CL" sz="1000">
              <a:solidFill>
                <a:sysClr val="windowText" lastClr="000000"/>
              </a:solidFill>
              <a:latin typeface="Times New Roman" panose="02020603050405020304" pitchFamily="18" charset="0"/>
              <a:cs typeface="Times New Roman" panose="02020603050405020304" pitchFamily="18" charset="0"/>
            </a:rPr>
            <a:t>Pensions, and Withholding of Single Second Category Tax (Income Tax Law). Tax years 2004 to 2021.</a:t>
          </a:r>
        </a:p>
        <a:p>
          <a:endParaRPr lang="es-CL" sz="1000">
            <a:solidFill>
              <a:sysClr val="windowText" lastClr="000000"/>
            </a:solidFill>
            <a:latin typeface="Times New Roman" panose="02020603050405020304" pitchFamily="18" charset="0"/>
            <a:cs typeface="Times New Roman" panose="02020603050405020304" pitchFamily="18" charset="0"/>
          </a:endParaRPr>
        </a:p>
        <a:p>
          <a:r>
            <a:rPr lang="es-CL" sz="1000">
              <a:solidFill>
                <a:sysClr val="windowText" lastClr="000000"/>
              </a:solidFill>
              <a:latin typeface="Times New Roman" panose="02020603050405020304" pitchFamily="18" charset="0"/>
              <a:cs typeface="Times New Roman" panose="02020603050405020304" pitchFamily="18" charset="0"/>
            </a:rPr>
            <a:t>Note:  Figures represent only the  Second Category</a:t>
          </a:r>
          <a:r>
            <a:rPr lang="es-CL" sz="1000" baseline="0">
              <a:solidFill>
                <a:sysClr val="windowText" lastClr="000000"/>
              </a:solidFill>
              <a:latin typeface="Times New Roman" panose="02020603050405020304" pitchFamily="18" charset="0"/>
              <a:cs typeface="Times New Roman" panose="02020603050405020304" pitchFamily="18" charset="0"/>
            </a:rPr>
            <a:t> tax paid </a:t>
          </a:r>
          <a:r>
            <a:rPr lang="es-CL" sz="1000">
              <a:solidFill>
                <a:sysClr val="windowText" lastClr="000000"/>
              </a:solidFill>
              <a:latin typeface="Times New Roman" panose="02020603050405020304" pitchFamily="18" charset="0"/>
              <a:cs typeface="Times New Roman" panose="02020603050405020304" pitchFamily="18" charset="0"/>
            </a:rPr>
            <a:t>on pensions and retirements.</a:t>
          </a:r>
        </a:p>
        <a:p>
          <a:endParaRPr lang="es-CL" sz="1100">
            <a:solidFill>
              <a:srgbClr val="0070C0"/>
            </a:solidFill>
          </a:endParaRPr>
        </a:p>
      </xdr:txBody>
    </xdr:sp>
    <xdr:clientData/>
  </xdr:twoCellAnchor>
  <xdr:twoCellAnchor>
    <xdr:from>
      <xdr:col>46</xdr:col>
      <xdr:colOff>65141</xdr:colOff>
      <xdr:row>106</xdr:row>
      <xdr:rowOff>66134</xdr:rowOff>
    </xdr:from>
    <xdr:to>
      <xdr:col>47</xdr:col>
      <xdr:colOff>363435</xdr:colOff>
      <xdr:row>118</xdr:row>
      <xdr:rowOff>189312</xdr:rowOff>
    </xdr:to>
    <xdr:sp macro="" textlink="">
      <xdr:nvSpPr>
        <xdr:cNvPr id="15" name="4 Rectángulo">
          <a:extLst>
            <a:ext uri="{FF2B5EF4-FFF2-40B4-BE49-F238E27FC236}">
              <a16:creationId xmlns:a16="http://schemas.microsoft.com/office/drawing/2014/main" id="{00000000-0008-0000-0500-00000F000000}"/>
            </a:ext>
          </a:extLst>
        </xdr:cNvPr>
        <xdr:cNvSpPr/>
      </xdr:nvSpPr>
      <xdr:spPr>
        <a:xfrm>
          <a:off x="15209891" y="11293728"/>
          <a:ext cx="1060294" cy="2171053"/>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Q4.</a:t>
          </a:r>
        </a:p>
      </xdr:txBody>
    </xdr:sp>
    <xdr:clientData/>
  </xdr:twoCellAnchor>
  <xdr:twoCellAnchor>
    <xdr:from>
      <xdr:col>44</xdr:col>
      <xdr:colOff>365509</xdr:colOff>
      <xdr:row>117</xdr:row>
      <xdr:rowOff>171099</xdr:rowOff>
    </xdr:from>
    <xdr:to>
      <xdr:col>45</xdr:col>
      <xdr:colOff>683149</xdr:colOff>
      <xdr:row>121</xdr:row>
      <xdr:rowOff>10255</xdr:rowOff>
    </xdr:to>
    <xdr:sp macro="" textlink="">
      <xdr:nvSpPr>
        <xdr:cNvPr id="16" name="3 Rectángulo">
          <a:extLst>
            <a:ext uri="{FF2B5EF4-FFF2-40B4-BE49-F238E27FC236}">
              <a16:creationId xmlns:a16="http://schemas.microsoft.com/office/drawing/2014/main" id="{00000000-0008-0000-0500-000010000000}"/>
            </a:ext>
          </a:extLst>
        </xdr:cNvPr>
        <xdr:cNvSpPr/>
      </xdr:nvSpPr>
      <xdr:spPr>
        <a:xfrm>
          <a:off x="13129009" y="15436499"/>
          <a:ext cx="990740" cy="1071056"/>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Q5.</a:t>
          </a:r>
        </a:p>
      </xdr:txBody>
    </xdr:sp>
    <xdr:clientData/>
  </xdr:twoCellAnchor>
  <xdr:twoCellAnchor>
    <xdr:from>
      <xdr:col>1</xdr:col>
      <xdr:colOff>40822</xdr:colOff>
      <xdr:row>134</xdr:row>
      <xdr:rowOff>666750</xdr:rowOff>
    </xdr:from>
    <xdr:to>
      <xdr:col>2</xdr:col>
      <xdr:colOff>4888105</xdr:colOff>
      <xdr:row>148</xdr:row>
      <xdr:rowOff>115137</xdr:rowOff>
    </xdr:to>
    <xdr:sp macro="" textlink="">
      <xdr:nvSpPr>
        <xdr:cNvPr id="17" name="CuadroTexto 6">
          <a:extLst>
            <a:ext uri="{FF2B5EF4-FFF2-40B4-BE49-F238E27FC236}">
              <a16:creationId xmlns:a16="http://schemas.microsoft.com/office/drawing/2014/main" id="{00000000-0008-0000-0500-000011000000}"/>
            </a:ext>
          </a:extLst>
        </xdr:cNvPr>
        <xdr:cNvSpPr txBox="1"/>
      </xdr:nvSpPr>
      <xdr:spPr>
        <a:xfrm>
          <a:off x="40822" y="19443700"/>
          <a:ext cx="1964383" cy="23376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L" sz="1000" b="1">
              <a:solidFill>
                <a:sysClr val="windowText" lastClr="000000"/>
              </a:solidFill>
            </a:rPr>
            <a:t>Source</a:t>
          </a:r>
          <a:r>
            <a:rPr lang="es-CL" sz="1000">
              <a:solidFill>
                <a:sysClr val="windowText" lastClr="000000"/>
              </a:solidFill>
            </a:rPr>
            <a:t>: </a:t>
          </a:r>
          <a:r>
            <a:rPr lang="es-CL" sz="1000">
              <a:solidFill>
                <a:sysClr val="windowText" lastClr="000000"/>
              </a:solidFill>
              <a:effectLst/>
              <a:latin typeface="+mn-lt"/>
              <a:ea typeface="+mn-ea"/>
              <a:cs typeface="+mn-cs"/>
            </a:rPr>
            <a:t>Tax Expenditure Reports, elaborated by Servicio de Impuestos Internos (the Chilean Internal Revenue Service).</a:t>
          </a:r>
          <a:endParaRPr lang="es-CL" sz="1000">
            <a:solidFill>
              <a:sysClr val="windowText" lastClr="000000"/>
            </a:solidFill>
            <a:effectLst/>
          </a:endParaRPr>
        </a:p>
        <a:p>
          <a:endParaRPr lang="es-CL" sz="1000">
            <a:solidFill>
              <a:sysClr val="windowText" lastClr="000000"/>
            </a:solidFill>
          </a:endParaRPr>
        </a:p>
        <a:p>
          <a:r>
            <a:rPr lang="es-CL" sz="1000" b="1">
              <a:solidFill>
                <a:sysClr val="windowText" lastClr="000000"/>
              </a:solidFill>
            </a:rPr>
            <a:t>Notes: </a:t>
          </a:r>
        </a:p>
        <a:p>
          <a:r>
            <a:rPr lang="es-CL" sz="1000">
              <a:solidFill>
                <a:sysClr val="windowText" lastClr="000000"/>
              </a:solidFill>
            </a:rPr>
            <a:t>a) </a:t>
          </a:r>
          <a:r>
            <a:rPr lang="en-US" sz="1100">
              <a:solidFill>
                <a:schemeClr val="dk1"/>
              </a:solidFill>
              <a:effectLst/>
              <a:latin typeface="+mn-lt"/>
              <a:ea typeface="+mn-ea"/>
              <a:cs typeface="+mn-cs"/>
            </a:rPr>
            <a:t>According to a suggestion given by the OECD-IMF in the report “Tax Expenditures and Corrective Taxes in Chile: A joint IMF/OECD Assessment” (</a:t>
          </a:r>
          <a:r>
            <a:rPr lang="en-US" sz="1100" u="sng">
              <a:solidFill>
                <a:schemeClr val="dk1"/>
              </a:solidFill>
              <a:effectLst/>
              <a:latin typeface="+mn-lt"/>
              <a:ea typeface="+mn-ea"/>
              <a:cs typeface="+mn-cs"/>
            </a:rPr>
            <a:t>https://www.hacienda.cl/noticias-y-eventos/noticias/ministerio-de-hacienda-crea-comision-tributaria-para-el-crecimiento-y-la/612921</a:t>
          </a:r>
          <a:r>
            <a:rPr lang="en-US" sz="1100">
              <a:solidFill>
                <a:schemeClr val="dk1"/>
              </a:solidFill>
              <a:effectLst/>
              <a:latin typeface="+mn-lt"/>
              <a:ea typeface="+mn-ea"/>
              <a:cs typeface="+mn-cs"/>
            </a:rPr>
            <a:t> ), compulsory social security contributions were excluded from the Tax Report Expenditure (from 2019 onwards).</a:t>
          </a:r>
        </a:p>
        <a:p>
          <a:r>
            <a:rPr lang="en-US" sz="1100">
              <a:solidFill>
                <a:schemeClr val="dk1"/>
              </a:solidFill>
              <a:effectLst/>
              <a:latin typeface="+mn-lt"/>
              <a:ea typeface="+mn-ea"/>
              <a:cs typeface="+mn-cs"/>
            </a:rPr>
            <a:t>b) This item includes deduction of the voluntary contribution to pensions; taxation of pensions from voluntary</a:t>
          </a:r>
          <a:r>
            <a:rPr lang="en-US" sz="1100" baseline="0">
              <a:solidFill>
                <a:schemeClr val="dk1"/>
              </a:solidFill>
              <a:effectLst/>
              <a:latin typeface="+mn-lt"/>
              <a:ea typeface="+mn-ea"/>
              <a:cs typeface="+mn-cs"/>
            </a:rPr>
            <a:t> pension savings</a:t>
          </a:r>
          <a:r>
            <a:rPr lang="en-US" sz="1100">
              <a:solidFill>
                <a:schemeClr val="dk1"/>
              </a:solidFill>
              <a:effectLst/>
              <a:latin typeface="+mn-lt"/>
              <a:ea typeface="+mn-ea"/>
              <a:cs typeface="+mn-cs"/>
            </a:rPr>
            <a:t>; </a:t>
          </a:r>
          <a:r>
            <a:rPr lang="es-CL" sz="1100">
              <a:solidFill>
                <a:schemeClr val="dk1"/>
              </a:solidFill>
              <a:effectLst/>
              <a:latin typeface="+mn-lt"/>
              <a:ea typeface="+mn-ea"/>
              <a:cs typeface="+mn-cs"/>
            </a:rPr>
            <a:t>return on investment o</a:t>
          </a:r>
          <a:r>
            <a:rPr lang="en-US" sz="1100">
              <a:solidFill>
                <a:schemeClr val="dk1"/>
              </a:solidFill>
              <a:effectLst/>
              <a:latin typeface="+mn-lt"/>
              <a:ea typeface="+mn-ea"/>
              <a:cs typeface="+mn-cs"/>
            </a:rPr>
            <a:t>f funds; and taxation on early withdrawals.</a:t>
          </a:r>
          <a:endParaRPr lang="es-CL" sz="1000">
            <a:solidFill>
              <a:sysClr val="windowText" lastClr="000000"/>
            </a:solidFill>
          </a:endParaRPr>
        </a:p>
      </xdr:txBody>
    </xdr:sp>
    <xdr:clientData/>
  </xdr:twoCellAnchor>
  <xdr:twoCellAnchor>
    <xdr:from>
      <xdr:col>43</xdr:col>
      <xdr:colOff>743160</xdr:colOff>
      <xdr:row>102</xdr:row>
      <xdr:rowOff>136071</xdr:rowOff>
    </xdr:from>
    <xdr:to>
      <xdr:col>44</xdr:col>
      <xdr:colOff>318772</xdr:colOff>
      <xdr:row>113</xdr:row>
      <xdr:rowOff>146537</xdr:rowOff>
    </xdr:to>
    <xdr:sp macro="" textlink="">
      <xdr:nvSpPr>
        <xdr:cNvPr id="18" name="5 Cerrar llave">
          <a:extLst>
            <a:ext uri="{FF2B5EF4-FFF2-40B4-BE49-F238E27FC236}">
              <a16:creationId xmlns:a16="http://schemas.microsoft.com/office/drawing/2014/main" id="{00000000-0008-0000-0500-000012000000}"/>
            </a:ext>
          </a:extLst>
        </xdr:cNvPr>
        <xdr:cNvSpPr/>
      </xdr:nvSpPr>
      <xdr:spPr>
        <a:xfrm>
          <a:off x="12763710" y="12861471"/>
          <a:ext cx="318562" cy="1890066"/>
        </a:xfrm>
        <a:prstGeom prst="rightBrace">
          <a:avLst>
            <a:gd name="adj1" fmla="val 0"/>
            <a:gd name="adj2" fmla="val 50000"/>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44</xdr:col>
      <xdr:colOff>31751</xdr:colOff>
      <xdr:row>118</xdr:row>
      <xdr:rowOff>0</xdr:rowOff>
    </xdr:from>
    <xdr:to>
      <xdr:col>44</xdr:col>
      <xdr:colOff>366347</xdr:colOff>
      <xdr:row>120</xdr:row>
      <xdr:rowOff>198874</xdr:rowOff>
    </xdr:to>
    <xdr:sp macro="" textlink="">
      <xdr:nvSpPr>
        <xdr:cNvPr id="19" name="2 Cerrar llave">
          <a:extLst>
            <a:ext uri="{FF2B5EF4-FFF2-40B4-BE49-F238E27FC236}">
              <a16:creationId xmlns:a16="http://schemas.microsoft.com/office/drawing/2014/main" id="{00000000-0008-0000-0500-000013000000}"/>
            </a:ext>
          </a:extLst>
        </xdr:cNvPr>
        <xdr:cNvSpPr/>
      </xdr:nvSpPr>
      <xdr:spPr>
        <a:xfrm>
          <a:off x="12795251" y="15436850"/>
          <a:ext cx="334596" cy="1049774"/>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ircabc.europa.eu/sd/d/137d91eb-ba89-43e0-b62f-7a6bdc422c66/Ordi29/c/usr/DONNEES/NL/1997/Construit/Nl90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990"/>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ecd.org/social/soc/SOCX_Manuel_2019.pdf" TargetMode="External"/><Relationship Id="rId1" Type="http://schemas.openxmlformats.org/officeDocument/2006/relationships/hyperlink" Target="http://www.oecd.org/social/expenditure.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hyperlink" Target="http://vm.fi/"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vm.fi/"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finanzaspublicas.hacienda.gob.mx/es/Finanzas_Publicas/Informes_al_Congreso_de_la_Un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tv.admin.ch/index.html?lang=dt&amp;webcode=d_1787_de" TargetMode="External"/><Relationship Id="rId2" Type="http://schemas.openxmlformats.org/officeDocument/2006/relationships/hyperlink" Target="http://www.estv.admin.ch/dokumentation/00075/00803/index.html?lang=fr&amp;download=NHzLpZeg7t,lnp6I0NTU042l2Z6ln1ae2IZn4Z2qZpnO2Yuq2Z6gpJCDdYJ,hGym162epYbg2c_JjKbNoKSn6A--" TargetMode="External"/><Relationship Id="rId1" Type="http://schemas.openxmlformats.org/officeDocument/2006/relationships/hyperlink" Target="http://www.estv.admin.ch/dokumentation/00075/00803/index.html?lang=fr&amp;download=NHzLpZeg7t,lnp6I0NTU042l2Z6ln1ae2IZn4Z2qZpnO2Yuq2Z6gpJCDdYJ,hGym162epYbg2c_JjKbNoKSn6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834D-0E8E-48FB-8032-91F2BCC9997A}">
  <sheetPr>
    <pageSetUpPr fitToPage="1"/>
  </sheetPr>
  <dimension ref="A1:D20"/>
  <sheetViews>
    <sheetView tabSelected="1" workbookViewId="0">
      <selection sqref="A1:A1048576"/>
    </sheetView>
  </sheetViews>
  <sheetFormatPr defaultRowHeight="15"/>
  <cols>
    <col min="1" max="1" width="81.5546875" style="847" customWidth="1"/>
    <col min="2" max="256" width="8.88671875" style="843"/>
    <col min="257" max="257" width="81.5546875" style="843" customWidth="1"/>
    <col min="258" max="512" width="8.88671875" style="843"/>
    <col min="513" max="513" width="81.5546875" style="843" customWidth="1"/>
    <col min="514" max="768" width="8.88671875" style="843"/>
    <col min="769" max="769" width="81.5546875" style="843" customWidth="1"/>
    <col min="770" max="1024" width="8.88671875" style="843"/>
    <col min="1025" max="1025" width="81.5546875" style="843" customWidth="1"/>
    <col min="1026" max="1280" width="8.88671875" style="843"/>
    <col min="1281" max="1281" width="81.5546875" style="843" customWidth="1"/>
    <col min="1282" max="1536" width="8.88671875" style="843"/>
    <col min="1537" max="1537" width="81.5546875" style="843" customWidth="1"/>
    <col min="1538" max="1792" width="8.88671875" style="843"/>
    <col min="1793" max="1793" width="81.5546875" style="843" customWidth="1"/>
    <col min="1794" max="2048" width="8.88671875" style="843"/>
    <col min="2049" max="2049" width="81.5546875" style="843" customWidth="1"/>
    <col min="2050" max="2304" width="8.88671875" style="843"/>
    <col min="2305" max="2305" width="81.5546875" style="843" customWidth="1"/>
    <col min="2306" max="2560" width="8.88671875" style="843"/>
    <col min="2561" max="2561" width="81.5546875" style="843" customWidth="1"/>
    <col min="2562" max="2816" width="8.88671875" style="843"/>
    <col min="2817" max="2817" width="81.5546875" style="843" customWidth="1"/>
    <col min="2818" max="3072" width="8.88671875" style="843"/>
    <col min="3073" max="3073" width="81.5546875" style="843" customWidth="1"/>
    <col min="3074" max="3328" width="8.88671875" style="843"/>
    <col min="3329" max="3329" width="81.5546875" style="843" customWidth="1"/>
    <col min="3330" max="3584" width="8.88671875" style="843"/>
    <col min="3585" max="3585" width="81.5546875" style="843" customWidth="1"/>
    <col min="3586" max="3840" width="8.88671875" style="843"/>
    <col min="3841" max="3841" width="81.5546875" style="843" customWidth="1"/>
    <col min="3842" max="4096" width="8.88671875" style="843"/>
    <col min="4097" max="4097" width="81.5546875" style="843" customWidth="1"/>
    <col min="4098" max="4352" width="8.88671875" style="843"/>
    <col min="4353" max="4353" width="81.5546875" style="843" customWidth="1"/>
    <col min="4354" max="4608" width="8.88671875" style="843"/>
    <col min="4609" max="4609" width="81.5546875" style="843" customWidth="1"/>
    <col min="4610" max="4864" width="8.88671875" style="843"/>
    <col min="4865" max="4865" width="81.5546875" style="843" customWidth="1"/>
    <col min="4866" max="5120" width="8.88671875" style="843"/>
    <col min="5121" max="5121" width="81.5546875" style="843" customWidth="1"/>
    <col min="5122" max="5376" width="8.88671875" style="843"/>
    <col min="5377" max="5377" width="81.5546875" style="843" customWidth="1"/>
    <col min="5378" max="5632" width="8.88671875" style="843"/>
    <col min="5633" max="5633" width="81.5546875" style="843" customWidth="1"/>
    <col min="5634" max="5888" width="8.88671875" style="843"/>
    <col min="5889" max="5889" width="81.5546875" style="843" customWidth="1"/>
    <col min="5890" max="6144" width="8.88671875" style="843"/>
    <col min="6145" max="6145" width="81.5546875" style="843" customWidth="1"/>
    <col min="6146" max="6400" width="8.88671875" style="843"/>
    <col min="6401" max="6401" width="81.5546875" style="843" customWidth="1"/>
    <col min="6402" max="6656" width="8.88671875" style="843"/>
    <col min="6657" max="6657" width="81.5546875" style="843" customWidth="1"/>
    <col min="6658" max="6912" width="8.88671875" style="843"/>
    <col min="6913" max="6913" width="81.5546875" style="843" customWidth="1"/>
    <col min="6914" max="7168" width="8.88671875" style="843"/>
    <col min="7169" max="7169" width="81.5546875" style="843" customWidth="1"/>
    <col min="7170" max="7424" width="8.88671875" style="843"/>
    <col min="7425" max="7425" width="81.5546875" style="843" customWidth="1"/>
    <col min="7426" max="7680" width="8.88671875" style="843"/>
    <col min="7681" max="7681" width="81.5546875" style="843" customWidth="1"/>
    <col min="7682" max="7936" width="8.88671875" style="843"/>
    <col min="7937" max="7937" width="81.5546875" style="843" customWidth="1"/>
    <col min="7938" max="8192" width="8.88671875" style="843"/>
    <col min="8193" max="8193" width="81.5546875" style="843" customWidth="1"/>
    <col min="8194" max="8448" width="8.88671875" style="843"/>
    <col min="8449" max="8449" width="81.5546875" style="843" customWidth="1"/>
    <col min="8450" max="8704" width="8.88671875" style="843"/>
    <col min="8705" max="8705" width="81.5546875" style="843" customWidth="1"/>
    <col min="8706" max="8960" width="8.88671875" style="843"/>
    <col min="8961" max="8961" width="81.5546875" style="843" customWidth="1"/>
    <col min="8962" max="9216" width="8.88671875" style="843"/>
    <col min="9217" max="9217" width="81.5546875" style="843" customWidth="1"/>
    <col min="9218" max="9472" width="8.88671875" style="843"/>
    <col min="9473" max="9473" width="81.5546875" style="843" customWidth="1"/>
    <col min="9474" max="9728" width="8.88671875" style="843"/>
    <col min="9729" max="9729" width="81.5546875" style="843" customWidth="1"/>
    <col min="9730" max="9984" width="8.88671875" style="843"/>
    <col min="9985" max="9985" width="81.5546875" style="843" customWidth="1"/>
    <col min="9986" max="10240" width="8.88671875" style="843"/>
    <col min="10241" max="10241" width="81.5546875" style="843" customWidth="1"/>
    <col min="10242" max="10496" width="8.88671875" style="843"/>
    <col min="10497" max="10497" width="81.5546875" style="843" customWidth="1"/>
    <col min="10498" max="10752" width="8.88671875" style="843"/>
    <col min="10753" max="10753" width="81.5546875" style="843" customWidth="1"/>
    <col min="10754" max="11008" width="8.88671875" style="843"/>
    <col min="11009" max="11009" width="81.5546875" style="843" customWidth="1"/>
    <col min="11010" max="11264" width="8.88671875" style="843"/>
    <col min="11265" max="11265" width="81.5546875" style="843" customWidth="1"/>
    <col min="11266" max="11520" width="8.88671875" style="843"/>
    <col min="11521" max="11521" width="81.5546875" style="843" customWidth="1"/>
    <col min="11522" max="11776" width="8.88671875" style="843"/>
    <col min="11777" max="11777" width="81.5546875" style="843" customWidth="1"/>
    <col min="11778" max="12032" width="8.88671875" style="843"/>
    <col min="12033" max="12033" width="81.5546875" style="843" customWidth="1"/>
    <col min="12034" max="12288" width="8.88671875" style="843"/>
    <col min="12289" max="12289" width="81.5546875" style="843" customWidth="1"/>
    <col min="12290" max="12544" width="8.88671875" style="843"/>
    <col min="12545" max="12545" width="81.5546875" style="843" customWidth="1"/>
    <col min="12546" max="12800" width="8.88671875" style="843"/>
    <col min="12801" max="12801" width="81.5546875" style="843" customWidth="1"/>
    <col min="12802" max="13056" width="8.88671875" style="843"/>
    <col min="13057" max="13057" width="81.5546875" style="843" customWidth="1"/>
    <col min="13058" max="13312" width="8.88671875" style="843"/>
    <col min="13313" max="13313" width="81.5546875" style="843" customWidth="1"/>
    <col min="13314" max="13568" width="8.88671875" style="843"/>
    <col min="13569" max="13569" width="81.5546875" style="843" customWidth="1"/>
    <col min="13570" max="13824" width="8.88671875" style="843"/>
    <col min="13825" max="13825" width="81.5546875" style="843" customWidth="1"/>
    <col min="13826" max="14080" width="8.88671875" style="843"/>
    <col min="14081" max="14081" width="81.5546875" style="843" customWidth="1"/>
    <col min="14082" max="14336" width="8.88671875" style="843"/>
    <col min="14337" max="14337" width="81.5546875" style="843" customWidth="1"/>
    <col min="14338" max="14592" width="8.88671875" style="843"/>
    <col min="14593" max="14593" width="81.5546875" style="843" customWidth="1"/>
    <col min="14594" max="14848" width="8.88671875" style="843"/>
    <col min="14849" max="14849" width="81.5546875" style="843" customWidth="1"/>
    <col min="14850" max="15104" width="8.88671875" style="843"/>
    <col min="15105" max="15105" width="81.5546875" style="843" customWidth="1"/>
    <col min="15106" max="15360" width="8.88671875" style="843"/>
    <col min="15361" max="15361" width="81.5546875" style="843" customWidth="1"/>
    <col min="15362" max="15616" width="8.88671875" style="843"/>
    <col min="15617" max="15617" width="81.5546875" style="843" customWidth="1"/>
    <col min="15618" max="15872" width="8.88671875" style="843"/>
    <col min="15873" max="15873" width="81.5546875" style="843" customWidth="1"/>
    <col min="15874" max="16128" width="8.88671875" style="843"/>
    <col min="16129" max="16129" width="81.5546875" style="843" customWidth="1"/>
    <col min="16130" max="16384" width="8.88671875" style="843"/>
  </cols>
  <sheetData>
    <row r="1" spans="1:4">
      <c r="A1" s="842" t="s">
        <v>1402</v>
      </c>
      <c r="B1" s="158"/>
      <c r="C1" s="158"/>
      <c r="D1" s="158"/>
    </row>
    <row r="2" spans="1:4" ht="30" customHeight="1">
      <c r="A2" s="844"/>
      <c r="B2" s="158"/>
      <c r="C2" s="158"/>
      <c r="D2" s="158"/>
    </row>
    <row r="3" spans="1:4">
      <c r="A3" s="844" t="s">
        <v>243</v>
      </c>
    </row>
    <row r="4" spans="1:4">
      <c r="A4" s="844" t="s">
        <v>26</v>
      </c>
    </row>
    <row r="5" spans="1:4">
      <c r="A5" s="844" t="s">
        <v>1403</v>
      </c>
    </row>
    <row r="6" spans="1:4">
      <c r="A6" s="844"/>
    </row>
    <row r="7" spans="1:4">
      <c r="A7" s="844" t="s">
        <v>1404</v>
      </c>
    </row>
    <row r="8" spans="1:4">
      <c r="A8" s="844" t="s">
        <v>1405</v>
      </c>
    </row>
    <row r="9" spans="1:4">
      <c r="A9" s="844" t="s">
        <v>1406</v>
      </c>
    </row>
    <row r="10" spans="1:4">
      <c r="A10" s="844" t="s">
        <v>1407</v>
      </c>
    </row>
    <row r="13" spans="1:4" ht="14.25" customHeight="1">
      <c r="A13" s="845" t="s">
        <v>1408</v>
      </c>
      <c r="B13" s="158"/>
      <c r="C13" s="158"/>
      <c r="D13" s="158"/>
    </row>
    <row r="14" spans="1:4">
      <c r="A14" s="314" t="s">
        <v>1908</v>
      </c>
      <c r="B14" s="158"/>
      <c r="C14" s="158"/>
      <c r="D14" s="158"/>
    </row>
    <row r="15" spans="1:4">
      <c r="A15" s="844" t="s">
        <v>1909</v>
      </c>
      <c r="B15" s="158"/>
      <c r="C15" s="158"/>
      <c r="D15" s="158"/>
    </row>
    <row r="17" spans="1:4">
      <c r="A17" s="314" t="s">
        <v>1409</v>
      </c>
      <c r="B17" s="158"/>
      <c r="C17" s="158"/>
      <c r="D17" s="158"/>
    </row>
    <row r="18" spans="1:4" s="844" customFormat="1" ht="12.75"/>
    <row r="19" spans="1:4" s="844" customFormat="1" ht="12.75"/>
    <row r="20" spans="1:4">
      <c r="A20" s="846" t="s">
        <v>1910</v>
      </c>
    </row>
  </sheetData>
  <hyperlinks>
    <hyperlink ref="A17" r:id="rId1" xr:uid="{8051808D-3108-4713-9BD0-20DFDD1C5366}"/>
    <hyperlink ref="A14" r:id="rId2" xr:uid="{7B6B5A19-74FB-4DD2-B158-3B9B083CB968}"/>
  </hyperlinks>
  <pageMargins left="0.70866141732283472" right="0.70866141732283472" top="0.74803149606299213" bottom="0.74803149606299213" header="0.31496062992125984" footer="0.31496062992125984"/>
  <pageSetup paperSize="9"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Q168"/>
  <sheetViews>
    <sheetView topLeftCell="B15" zoomScale="95" zoomScaleNormal="95" workbookViewId="0">
      <selection activeCell="B15" sqref="B15:AQ136"/>
    </sheetView>
  </sheetViews>
  <sheetFormatPr defaultColWidth="8.88671875" defaultRowHeight="12.75"/>
  <cols>
    <col min="1" max="1" width="9.77734375" style="165" hidden="1" customWidth="1"/>
    <col min="2" max="2" width="9.77734375" style="165" customWidth="1"/>
    <col min="3" max="3" width="54" style="165" customWidth="1"/>
    <col min="4" max="15" width="2.33203125" style="165" hidden="1" customWidth="1"/>
    <col min="16" max="16" width="4.21875" style="165" hidden="1" customWidth="1"/>
    <col min="17" max="17" width="1.44140625" style="165" hidden="1" customWidth="1"/>
    <col min="18" max="18" width="5.33203125" style="165" hidden="1" customWidth="1"/>
    <col min="19" max="19" width="1.44140625" style="165" hidden="1" customWidth="1"/>
    <col min="20" max="20" width="4.77734375" style="165" hidden="1" customWidth="1"/>
    <col min="21" max="21" width="1.44140625" style="165" hidden="1" customWidth="1"/>
    <col min="22" max="22" width="4.44140625" style="165" hidden="1" customWidth="1"/>
    <col min="23" max="23" width="1.44140625" style="165" hidden="1" customWidth="1"/>
    <col min="24" max="24" width="7.5546875" style="75" customWidth="1"/>
    <col min="25" max="25" width="2.88671875" style="75" customWidth="1"/>
    <col min="26" max="26" width="7.5546875" style="75" customWidth="1"/>
    <col min="27" max="27" width="2.88671875" style="75" customWidth="1"/>
    <col min="28" max="28" width="8.109375" style="75" customWidth="1"/>
    <col min="29" max="29" width="2.6640625" style="75" customWidth="1"/>
    <col min="30" max="30" width="7.5546875" style="75" customWidth="1"/>
    <col min="31" max="31" width="2.33203125" style="75" customWidth="1"/>
    <col min="32" max="43" width="6.77734375" style="75" customWidth="1"/>
    <col min="44" max="16384" width="8.88671875" style="165"/>
  </cols>
  <sheetData>
    <row r="1" spans="1:43" hidden="1">
      <c r="B1" s="165" t="s">
        <v>1465</v>
      </c>
    </row>
    <row r="2" spans="1:43" hidden="1"/>
    <row r="3" spans="1:43" hidden="1"/>
    <row r="4" spans="1:43" hidden="1">
      <c r="B4" s="547" t="s">
        <v>1137</v>
      </c>
      <c r="C4" s="75"/>
      <c r="D4" s="75"/>
      <c r="E4" s="75"/>
      <c r="F4" s="75"/>
      <c r="G4" s="75"/>
      <c r="H4" s="75"/>
      <c r="I4" s="75"/>
      <c r="J4" s="75"/>
      <c r="K4" s="75"/>
      <c r="L4" s="75"/>
      <c r="M4" s="75"/>
      <c r="N4" s="75"/>
      <c r="O4" s="75"/>
      <c r="P4" s="75">
        <v>1993</v>
      </c>
      <c r="Q4" s="75"/>
      <c r="R4" s="75">
        <v>1995</v>
      </c>
      <c r="S4" s="75"/>
      <c r="T4" s="75">
        <v>1997</v>
      </c>
      <c r="U4" s="75"/>
      <c r="V4" s="75">
        <v>1999</v>
      </c>
      <c r="W4" s="75"/>
      <c r="X4" s="75">
        <v>2001</v>
      </c>
      <c r="Z4" s="75">
        <v>2003</v>
      </c>
      <c r="AB4" s="75">
        <v>2005</v>
      </c>
      <c r="AD4" s="75">
        <v>2007</v>
      </c>
      <c r="AF4" s="75">
        <v>2009</v>
      </c>
      <c r="AG4" s="75">
        <v>2010</v>
      </c>
      <c r="AH4" s="75">
        <v>2011</v>
      </c>
      <c r="AI4" s="75">
        <v>2012</v>
      </c>
      <c r="AJ4" s="75">
        <v>2013</v>
      </c>
      <c r="AK4" s="75">
        <v>2014</v>
      </c>
      <c r="AL4" s="75">
        <v>2015</v>
      </c>
      <c r="AM4" s="75">
        <v>2016</v>
      </c>
      <c r="AN4" s="75">
        <v>2017</v>
      </c>
      <c r="AO4" s="75">
        <v>2018</v>
      </c>
      <c r="AP4" s="75">
        <v>2019</v>
      </c>
      <c r="AQ4" s="75">
        <v>2020</v>
      </c>
    </row>
    <row r="5" spans="1:43" hidden="1">
      <c r="B5" s="547"/>
      <c r="C5" s="75"/>
      <c r="D5" s="75"/>
      <c r="E5" s="75"/>
      <c r="F5" s="75"/>
      <c r="G5" s="75"/>
      <c r="H5" s="75"/>
      <c r="I5" s="75"/>
      <c r="J5" s="75"/>
      <c r="K5" s="75"/>
      <c r="L5" s="75"/>
      <c r="M5" s="75"/>
      <c r="N5" s="75"/>
      <c r="O5" s="75"/>
      <c r="P5" s="75"/>
      <c r="Q5" s="75"/>
      <c r="R5" s="75"/>
      <c r="S5" s="75"/>
      <c r="T5" s="75"/>
      <c r="U5" s="75"/>
      <c r="V5" s="75"/>
      <c r="W5" s="75"/>
    </row>
    <row r="6" spans="1:43" hidden="1">
      <c r="A6" s="165" t="s">
        <v>2</v>
      </c>
      <c r="B6" s="547" t="s">
        <v>3</v>
      </c>
      <c r="C6" s="75"/>
      <c r="D6" s="75"/>
      <c r="E6" s="75"/>
      <c r="F6" s="75"/>
      <c r="G6" s="75"/>
      <c r="H6" s="75"/>
      <c r="I6" s="75"/>
      <c r="J6" s="75"/>
      <c r="K6" s="75"/>
      <c r="L6" s="75"/>
      <c r="M6" s="75"/>
      <c r="N6" s="75"/>
      <c r="O6" s="75"/>
      <c r="P6" s="75">
        <v>0</v>
      </c>
      <c r="Q6" s="75"/>
      <c r="R6" s="75">
        <v>0</v>
      </c>
      <c r="S6" s="75"/>
      <c r="T6" s="75">
        <v>0</v>
      </c>
      <c r="U6" s="75"/>
      <c r="V6" s="75">
        <v>0</v>
      </c>
      <c r="W6" s="75"/>
      <c r="X6" s="166">
        <f>X99</f>
        <v>896</v>
      </c>
      <c r="Y6" s="166"/>
      <c r="Z6" s="166">
        <f>Z99</f>
        <v>1034</v>
      </c>
      <c r="AA6" s="166"/>
      <c r="AB6" s="166">
        <f>AB99</f>
        <v>1204.0327272727272</v>
      </c>
      <c r="AC6" s="166"/>
      <c r="AD6" s="166">
        <f>AD99</f>
        <v>1849.3925289256199</v>
      </c>
      <c r="AE6" s="166"/>
      <c r="AF6" s="166">
        <f t="shared" ref="AF6:AM6" si="0">AF99</f>
        <v>2056.8384673178061</v>
      </c>
      <c r="AG6" s="166">
        <f>AG99</f>
        <v>811.5</v>
      </c>
      <c r="AH6" s="166">
        <f t="shared" si="0"/>
        <v>788.25</v>
      </c>
      <c r="AI6" s="166">
        <f t="shared" si="0"/>
        <v>793</v>
      </c>
      <c r="AJ6" s="166">
        <f t="shared" si="0"/>
        <v>875</v>
      </c>
      <c r="AK6" s="166">
        <f t="shared" si="0"/>
        <v>906</v>
      </c>
      <c r="AL6" s="166">
        <f t="shared" si="0"/>
        <v>918</v>
      </c>
      <c r="AM6" s="166">
        <f t="shared" si="0"/>
        <v>2569.35</v>
      </c>
      <c r="AN6" s="166">
        <f>AN99</f>
        <v>2945.5</v>
      </c>
      <c r="AO6" s="166">
        <f>AO99</f>
        <v>3184</v>
      </c>
      <c r="AP6" s="166">
        <f>AP99</f>
        <v>2572.5531212721526</v>
      </c>
      <c r="AQ6" s="166">
        <f t="shared" ref="AQ6" si="1">AQ99</f>
        <v>2490.8130988192338</v>
      </c>
    </row>
    <row r="7" spans="1:43" hidden="1">
      <c r="A7" s="165" t="s">
        <v>4</v>
      </c>
      <c r="B7" s="547" t="s">
        <v>5</v>
      </c>
      <c r="C7" s="75"/>
      <c r="D7" s="75"/>
      <c r="E7" s="75"/>
      <c r="F7" s="75"/>
      <c r="G7" s="75"/>
      <c r="H7" s="75"/>
      <c r="I7" s="75"/>
      <c r="J7" s="75"/>
      <c r="K7" s="75"/>
      <c r="L7" s="75"/>
      <c r="M7" s="75"/>
      <c r="N7" s="75"/>
      <c r="O7" s="75"/>
      <c r="P7" s="75">
        <v>0</v>
      </c>
      <c r="Q7" s="75"/>
      <c r="R7" s="75">
        <v>0</v>
      </c>
      <c r="S7" s="75"/>
      <c r="T7" s="75">
        <v>0</v>
      </c>
      <c r="U7" s="75"/>
      <c r="V7" s="75">
        <v>0</v>
      </c>
      <c r="W7" s="75"/>
      <c r="X7" s="166">
        <f>X115</f>
        <v>4073</v>
      </c>
      <c r="Y7" s="166"/>
      <c r="Z7" s="166">
        <f>Z115</f>
        <v>1485</v>
      </c>
      <c r="AA7" s="166"/>
      <c r="AB7" s="166">
        <f>AB115</f>
        <v>1701</v>
      </c>
      <c r="AC7" s="166"/>
      <c r="AD7" s="166">
        <f>AD115</f>
        <v>1966</v>
      </c>
      <c r="AE7" s="166"/>
      <c r="AF7" s="166">
        <f t="shared" ref="AF7:AM7" si="2">AF115</f>
        <v>1767</v>
      </c>
      <c r="AG7" s="166">
        <f>AG115</f>
        <v>1814</v>
      </c>
      <c r="AH7" s="166">
        <f t="shared" si="2"/>
        <v>1731</v>
      </c>
      <c r="AI7" s="166">
        <f t="shared" si="2"/>
        <v>1571</v>
      </c>
      <c r="AJ7" s="166">
        <f t="shared" si="2"/>
        <v>1200</v>
      </c>
      <c r="AK7" s="166">
        <f t="shared" si="2"/>
        <v>1625</v>
      </c>
      <c r="AL7" s="166">
        <f>AL115</f>
        <v>1683</v>
      </c>
      <c r="AM7" s="166">
        <f t="shared" si="2"/>
        <v>1749</v>
      </c>
      <c r="AN7" s="166">
        <f>AN115</f>
        <v>1811</v>
      </c>
      <c r="AO7" s="166">
        <f>AO115</f>
        <v>1889</v>
      </c>
      <c r="AP7" s="166">
        <f t="shared" ref="AP7:AQ7" si="3">AP115</f>
        <v>1879</v>
      </c>
      <c r="AQ7" s="166">
        <f t="shared" si="3"/>
        <v>1887.4642120000003</v>
      </c>
    </row>
    <row r="8" spans="1:43" hidden="1">
      <c r="A8" s="165" t="s">
        <v>6</v>
      </c>
      <c r="B8" s="547"/>
      <c r="C8" s="75"/>
      <c r="D8" s="75"/>
      <c r="E8" s="75"/>
      <c r="F8" s="75"/>
      <c r="G8" s="75"/>
      <c r="H8" s="75"/>
      <c r="I8" s="75"/>
      <c r="J8" s="75"/>
      <c r="K8" s="75"/>
      <c r="L8" s="75"/>
      <c r="M8" s="75"/>
      <c r="N8" s="75"/>
      <c r="O8" s="75"/>
      <c r="P8" s="75"/>
      <c r="Q8" s="75"/>
      <c r="R8" s="75"/>
      <c r="S8" s="75"/>
      <c r="T8" s="75"/>
      <c r="U8" s="75"/>
      <c r="V8" s="75"/>
      <c r="W8" s="75"/>
      <c r="X8" s="166"/>
      <c r="Y8" s="166"/>
      <c r="Z8" s="166"/>
      <c r="AA8" s="166"/>
      <c r="AB8" s="166"/>
      <c r="AC8" s="166"/>
      <c r="AD8" s="166"/>
      <c r="AE8" s="166"/>
      <c r="AF8" s="166"/>
      <c r="AG8" s="166"/>
      <c r="AH8" s="166"/>
      <c r="AI8" s="166"/>
      <c r="AJ8" s="166"/>
      <c r="AK8" s="255"/>
      <c r="AL8" s="255"/>
    </row>
    <row r="9" spans="1:43" hidden="1">
      <c r="B9" s="547"/>
      <c r="C9" s="75"/>
      <c r="D9" s="75"/>
      <c r="E9" s="75"/>
      <c r="F9" s="75"/>
      <c r="G9" s="75"/>
      <c r="H9" s="75"/>
      <c r="I9" s="75"/>
      <c r="J9" s="75"/>
      <c r="K9" s="75"/>
      <c r="L9" s="75"/>
      <c r="M9" s="75"/>
      <c r="N9" s="75"/>
      <c r="O9" s="75"/>
      <c r="P9" s="75"/>
      <c r="Q9" s="75"/>
      <c r="R9" s="75"/>
      <c r="S9" s="75"/>
      <c r="T9" s="75"/>
      <c r="U9" s="75"/>
      <c r="V9" s="75"/>
      <c r="W9" s="75"/>
      <c r="X9" s="166"/>
      <c r="Y9" s="166"/>
      <c r="Z9" s="166"/>
      <c r="AA9" s="166"/>
      <c r="AB9" s="166"/>
      <c r="AC9" s="166"/>
      <c r="AD9" s="166"/>
      <c r="AE9" s="166"/>
      <c r="AF9" s="166"/>
      <c r="AG9" s="166"/>
      <c r="AH9" s="166"/>
      <c r="AI9" s="166"/>
      <c r="AJ9" s="166"/>
      <c r="AK9" s="255"/>
      <c r="AL9" s="255"/>
    </row>
    <row r="10" spans="1:43" hidden="1">
      <c r="B10" s="547" t="s">
        <v>110</v>
      </c>
      <c r="C10" s="75"/>
      <c r="D10" s="75"/>
      <c r="E10" s="75"/>
      <c r="F10" s="75"/>
      <c r="G10" s="75"/>
      <c r="H10" s="75"/>
      <c r="I10" s="75"/>
      <c r="J10" s="75"/>
      <c r="K10" s="75"/>
      <c r="L10" s="75"/>
      <c r="M10" s="75"/>
      <c r="N10" s="75"/>
      <c r="O10" s="75"/>
      <c r="P10" s="75"/>
      <c r="Q10" s="75"/>
      <c r="R10" s="75"/>
      <c r="S10" s="75"/>
      <c r="T10" s="75"/>
      <c r="U10" s="75"/>
      <c r="V10" s="75"/>
      <c r="W10" s="75"/>
      <c r="X10" s="166">
        <f>X122</f>
        <v>845</v>
      </c>
      <c r="Y10" s="166"/>
      <c r="Z10" s="166">
        <f>Z122</f>
        <v>1299</v>
      </c>
      <c r="AA10" s="166"/>
      <c r="AB10" s="166">
        <f>AB122</f>
        <v>1473</v>
      </c>
      <c r="AC10" s="166"/>
      <c r="AD10" s="166">
        <f>AD122</f>
        <v>1462</v>
      </c>
      <c r="AE10" s="166"/>
      <c r="AF10" s="166">
        <f t="shared" ref="AF10:AM10" si="4">AF122</f>
        <v>2245.6</v>
      </c>
      <c r="AG10" s="166" t="str">
        <f t="shared" si="4"/>
        <v>..</v>
      </c>
      <c r="AH10" s="166" t="str">
        <f t="shared" si="4"/>
        <v>..</v>
      </c>
      <c r="AI10" s="166" t="str">
        <f t="shared" si="4"/>
        <v>..</v>
      </c>
      <c r="AJ10" s="166" t="str">
        <f t="shared" si="4"/>
        <v>..</v>
      </c>
      <c r="AK10" s="166" t="str">
        <f t="shared" si="4"/>
        <v>..</v>
      </c>
      <c r="AL10" s="166" t="str">
        <f t="shared" si="4"/>
        <v>..</v>
      </c>
      <c r="AM10" s="166" t="str">
        <f t="shared" si="4"/>
        <v>..</v>
      </c>
      <c r="AN10" s="166" t="str">
        <f>AN122</f>
        <v>..</v>
      </c>
      <c r="AO10" s="166" t="str">
        <f>AO122</f>
        <v>..</v>
      </c>
      <c r="AP10" s="166">
        <f>AP122</f>
        <v>1308.6574284701003</v>
      </c>
      <c r="AQ10" s="166">
        <f t="shared" ref="AQ10" si="5">AQ122</f>
        <v>1334.5372658408389</v>
      </c>
    </row>
    <row r="11" spans="1:43" hidden="1">
      <c r="B11" s="547"/>
      <c r="C11" s="75"/>
      <c r="D11" s="75"/>
      <c r="E11" s="75"/>
      <c r="F11" s="75"/>
      <c r="G11" s="75"/>
      <c r="H11" s="75"/>
      <c r="I11" s="75"/>
      <c r="J11" s="75"/>
      <c r="K11" s="75"/>
      <c r="L11" s="75"/>
      <c r="M11" s="75"/>
      <c r="N11" s="75"/>
      <c r="O11" s="75"/>
      <c r="P11" s="75"/>
      <c r="Q11" s="75"/>
      <c r="R11" s="75"/>
      <c r="S11" s="75"/>
      <c r="T11" s="75"/>
      <c r="U11" s="75"/>
      <c r="V11" s="75"/>
      <c r="W11" s="75"/>
      <c r="X11" s="166"/>
      <c r="Y11" s="166"/>
      <c r="Z11" s="166"/>
      <c r="AA11" s="166"/>
      <c r="AB11" s="166"/>
      <c r="AC11" s="166"/>
      <c r="AD11" s="166"/>
      <c r="AE11" s="166"/>
      <c r="AF11" s="166"/>
      <c r="AG11" s="166"/>
      <c r="AH11" s="166"/>
      <c r="AI11" s="166"/>
      <c r="AJ11" s="166"/>
      <c r="AK11" s="255"/>
      <c r="AL11" s="255"/>
    </row>
    <row r="12" spans="1:43" hidden="1">
      <c r="B12" s="547" t="s">
        <v>8</v>
      </c>
      <c r="C12" s="75"/>
      <c r="D12" s="75"/>
      <c r="E12" s="75"/>
      <c r="F12" s="75"/>
      <c r="G12" s="75"/>
      <c r="H12" s="75"/>
      <c r="I12" s="75"/>
      <c r="J12" s="75"/>
      <c r="K12" s="75"/>
      <c r="L12" s="75"/>
      <c r="M12" s="75"/>
      <c r="N12" s="75"/>
      <c r="O12" s="75"/>
      <c r="P12" s="75"/>
      <c r="Q12" s="75"/>
      <c r="R12" s="75"/>
      <c r="S12" s="75"/>
      <c r="T12" s="75"/>
      <c r="U12" s="75"/>
      <c r="V12" s="75"/>
      <c r="W12" s="75"/>
      <c r="X12" s="166"/>
      <c r="Y12" s="166"/>
      <c r="Z12" s="166"/>
      <c r="AA12" s="166"/>
      <c r="AB12" s="166"/>
      <c r="AC12" s="166"/>
      <c r="AD12" s="166"/>
      <c r="AE12" s="166"/>
      <c r="AF12" s="166"/>
      <c r="AG12" s="166"/>
      <c r="AH12" s="166"/>
      <c r="AI12" s="166"/>
      <c r="AJ12" s="166"/>
      <c r="AK12" s="166"/>
      <c r="AL12" s="166"/>
      <c r="AM12" s="166">
        <f>AM109</f>
        <v>1575</v>
      </c>
      <c r="AN12" s="166">
        <f t="shared" ref="AN12:AQ12" si="6">AN109</f>
        <v>1704</v>
      </c>
      <c r="AO12" s="166">
        <f t="shared" si="6"/>
        <v>1869</v>
      </c>
      <c r="AP12" s="166">
        <f t="shared" si="6"/>
        <v>1602.8738236569002</v>
      </c>
      <c r="AQ12" s="166">
        <f t="shared" si="6"/>
        <v>1400</v>
      </c>
    </row>
    <row r="13" spans="1:43" hidden="1">
      <c r="B13" s="547"/>
      <c r="C13" s="75"/>
      <c r="D13" s="75"/>
      <c r="E13" s="75"/>
      <c r="F13" s="75"/>
      <c r="G13" s="75"/>
      <c r="H13" s="75"/>
      <c r="I13" s="75"/>
      <c r="J13" s="75"/>
      <c r="K13" s="75"/>
      <c r="L13" s="75"/>
      <c r="M13" s="75"/>
      <c r="N13" s="75"/>
      <c r="O13" s="75"/>
      <c r="P13" s="75"/>
      <c r="Q13" s="75"/>
      <c r="R13" s="75"/>
      <c r="S13" s="75"/>
      <c r="T13" s="75"/>
      <c r="U13" s="75"/>
      <c r="V13" s="75"/>
      <c r="W13" s="75"/>
      <c r="X13" s="166"/>
      <c r="Y13" s="166"/>
      <c r="Z13" s="166"/>
      <c r="AA13" s="166"/>
      <c r="AB13" s="166"/>
      <c r="AC13" s="166"/>
      <c r="AD13" s="166"/>
      <c r="AE13" s="166"/>
      <c r="AF13" s="166"/>
      <c r="AG13" s="166"/>
      <c r="AH13" s="166"/>
    </row>
    <row r="14" spans="1:43" hidden="1">
      <c r="B14" s="75"/>
      <c r="C14" s="75"/>
      <c r="D14" s="75"/>
      <c r="E14" s="75"/>
      <c r="F14" s="75"/>
      <c r="G14" s="75"/>
      <c r="H14" s="75"/>
      <c r="I14" s="75"/>
      <c r="J14" s="75"/>
      <c r="K14" s="75"/>
      <c r="L14" s="75"/>
      <c r="M14" s="75"/>
      <c r="N14" s="75"/>
      <c r="O14" s="75"/>
      <c r="P14" s="75"/>
      <c r="Q14" s="75"/>
      <c r="R14" s="75"/>
      <c r="S14" s="75"/>
      <c r="T14" s="75"/>
      <c r="U14" s="75"/>
      <c r="V14" s="75"/>
      <c r="W14" s="75"/>
      <c r="X14" s="166"/>
      <c r="Y14" s="166"/>
      <c r="Z14" s="166"/>
      <c r="AA14" s="166"/>
      <c r="AB14" s="166"/>
      <c r="AC14" s="166"/>
      <c r="AD14" s="166"/>
      <c r="AE14" s="166"/>
      <c r="AF14" s="166"/>
      <c r="AG14" s="166"/>
    </row>
    <row r="15" spans="1:43" ht="27.75" customHeight="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42"/>
      <c r="AQ15" s="1942"/>
    </row>
    <row r="16" spans="1:43">
      <c r="B16" s="75"/>
      <c r="C16" s="75"/>
      <c r="D16" s="75"/>
      <c r="E16" s="75"/>
      <c r="F16" s="75"/>
      <c r="G16" s="75"/>
      <c r="H16" s="75"/>
      <c r="I16" s="75"/>
      <c r="J16" s="75"/>
      <c r="K16" s="75"/>
      <c r="L16" s="75"/>
      <c r="M16" s="75"/>
      <c r="N16" s="75"/>
      <c r="O16" s="166"/>
      <c r="P16" s="166"/>
      <c r="Q16" s="166"/>
      <c r="R16" s="166"/>
      <c r="S16" s="166"/>
      <c r="T16" s="166"/>
      <c r="U16" s="166"/>
      <c r="V16" s="166"/>
      <c r="W16" s="166"/>
      <c r="X16" s="169"/>
      <c r="Y16" s="166"/>
      <c r="Z16" s="166"/>
      <c r="AA16" s="166"/>
      <c r="AB16" s="166"/>
      <c r="AC16" s="166"/>
      <c r="AD16" s="166"/>
      <c r="AE16" s="166"/>
      <c r="AF16" s="166"/>
      <c r="AG16" s="166"/>
    </row>
    <row r="17" spans="2:43">
      <c r="B17" s="170" t="s">
        <v>1465</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66"/>
    </row>
    <row r="18" spans="2:43">
      <c r="B18" s="578"/>
      <c r="C18" s="75"/>
      <c r="D18" s="75"/>
      <c r="E18" s="75"/>
      <c r="F18" s="75"/>
      <c r="G18" s="75"/>
      <c r="H18" s="75"/>
      <c r="I18" s="75"/>
      <c r="J18" s="75"/>
      <c r="K18" s="75"/>
      <c r="L18" s="75"/>
      <c r="M18" s="75"/>
      <c r="N18" s="75"/>
      <c r="O18" s="166"/>
      <c r="P18" s="166"/>
      <c r="Q18" s="166"/>
      <c r="R18" s="166"/>
      <c r="S18" s="166"/>
      <c r="T18" s="166"/>
      <c r="U18" s="166"/>
      <c r="V18" s="166"/>
      <c r="W18" s="166"/>
      <c r="X18" s="169"/>
      <c r="Y18" s="166"/>
      <c r="Z18" s="166"/>
      <c r="AA18" s="166"/>
      <c r="AB18" s="166"/>
      <c r="AC18" s="166"/>
      <c r="AD18" s="166"/>
      <c r="AE18" s="166"/>
      <c r="AF18" s="166"/>
      <c r="AG18" s="166"/>
    </row>
    <row r="19" spans="2:43">
      <c r="B19" s="170" t="s">
        <v>1466</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66"/>
    </row>
    <row r="20" spans="2:43">
      <c r="B20" s="592"/>
      <c r="C20" s="200"/>
      <c r="D20" s="200"/>
      <c r="E20" s="200"/>
      <c r="F20" s="200"/>
      <c r="G20" s="200"/>
      <c r="H20" s="200"/>
      <c r="I20" s="200"/>
      <c r="J20" s="200"/>
      <c r="K20" s="200"/>
      <c r="L20" s="200"/>
      <c r="M20" s="200"/>
      <c r="N20" s="200"/>
      <c r="O20" s="256"/>
      <c r="P20" s="256"/>
      <c r="Q20" s="256"/>
      <c r="R20" s="256"/>
      <c r="S20" s="256"/>
      <c r="T20" s="256"/>
      <c r="U20" s="256"/>
      <c r="V20" s="256"/>
      <c r="W20" s="256"/>
      <c r="X20" s="256"/>
      <c r="Y20" s="256"/>
      <c r="Z20" s="256"/>
      <c r="AA20" s="256"/>
      <c r="AB20" s="256"/>
      <c r="AC20" s="256"/>
      <c r="AD20" s="169"/>
      <c r="AE20" s="169"/>
      <c r="AF20" s="169"/>
      <c r="AG20" s="166"/>
    </row>
    <row r="21" spans="2:43">
      <c r="B21" s="578"/>
      <c r="C21" s="75"/>
      <c r="D21" s="75"/>
      <c r="E21" s="75"/>
      <c r="F21" s="75"/>
      <c r="G21" s="75"/>
      <c r="H21" s="75"/>
      <c r="I21" s="75"/>
      <c r="J21" s="75"/>
      <c r="K21" s="75"/>
      <c r="L21" s="75"/>
      <c r="M21" s="75"/>
      <c r="N21" s="75"/>
      <c r="O21" s="166"/>
      <c r="P21" s="166"/>
      <c r="Q21" s="166"/>
      <c r="R21" s="166"/>
      <c r="S21" s="166"/>
      <c r="T21" s="166"/>
      <c r="U21" s="166"/>
      <c r="V21" s="166"/>
      <c r="W21" s="166"/>
      <c r="X21" s="257">
        <v>2001</v>
      </c>
      <c r="Y21" s="258"/>
      <c r="Z21" s="257">
        <v>2003</v>
      </c>
      <c r="AA21" s="258"/>
      <c r="AB21" s="257">
        <v>2005</v>
      </c>
      <c r="AC21" s="258"/>
      <c r="AD21" s="259">
        <v>2007</v>
      </c>
      <c r="AE21" s="546"/>
      <c r="AF21" s="259">
        <v>2009</v>
      </c>
      <c r="AG21" s="202">
        <v>2010</v>
      </c>
      <c r="AH21" s="202">
        <v>2011</v>
      </c>
      <c r="AI21" s="202">
        <v>2012</v>
      </c>
      <c r="AJ21" s="202">
        <v>2013</v>
      </c>
      <c r="AK21" s="202">
        <v>2014</v>
      </c>
      <c r="AL21" s="202">
        <v>2015</v>
      </c>
      <c r="AM21" s="202">
        <v>2016</v>
      </c>
      <c r="AN21" s="202">
        <v>2017</v>
      </c>
      <c r="AO21" s="202">
        <v>2018</v>
      </c>
      <c r="AP21" s="202">
        <v>2019</v>
      </c>
      <c r="AQ21" s="202">
        <v>2020</v>
      </c>
    </row>
    <row r="22" spans="2:43">
      <c r="B22" s="578" t="s">
        <v>1467</v>
      </c>
      <c r="C22" s="75"/>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166"/>
    </row>
    <row r="23" spans="2:43">
      <c r="B23" s="578" t="s">
        <v>1468</v>
      </c>
      <c r="C23" s="75"/>
      <c r="D23" s="75"/>
      <c r="E23" s="75"/>
      <c r="F23" s="75"/>
      <c r="G23" s="75"/>
      <c r="H23" s="75"/>
      <c r="I23" s="75"/>
      <c r="J23" s="75"/>
      <c r="K23" s="75"/>
      <c r="L23" s="75"/>
      <c r="M23" s="75"/>
      <c r="N23" s="75"/>
      <c r="O23" s="75"/>
      <c r="P23" s="75"/>
      <c r="Q23" s="75"/>
      <c r="R23" s="75"/>
      <c r="S23" s="75"/>
      <c r="T23" s="75"/>
      <c r="U23" s="75"/>
      <c r="V23" s="75"/>
      <c r="W23" s="75"/>
      <c r="X23" s="244">
        <v>1</v>
      </c>
      <c r="Y23" s="244"/>
      <c r="Z23" s="244">
        <v>3</v>
      </c>
      <c r="AA23" s="244"/>
      <c r="AB23" s="244">
        <v>14.6</v>
      </c>
      <c r="AC23" s="244"/>
      <c r="AD23" s="244">
        <v>10.99488</v>
      </c>
      <c r="AE23" s="244"/>
      <c r="AF23" s="241">
        <v>3.7</v>
      </c>
      <c r="AG23" s="241">
        <v>5.3</v>
      </c>
      <c r="AH23" s="241">
        <v>8.6</v>
      </c>
      <c r="AI23" s="75">
        <v>12.5</v>
      </c>
      <c r="AJ23" s="75">
        <v>16.100000000000001</v>
      </c>
      <c r="AK23" s="75">
        <v>17.7</v>
      </c>
      <c r="AL23" s="75">
        <v>18.8</v>
      </c>
      <c r="AM23" s="75">
        <v>20.399999999999999</v>
      </c>
      <c r="AN23" s="621">
        <v>16.12</v>
      </c>
      <c r="AO23" s="621">
        <v>10.53</v>
      </c>
      <c r="AP23" s="1201">
        <f>AO23</f>
        <v>10.53</v>
      </c>
    </row>
    <row r="24" spans="2:43">
      <c r="B24" s="592"/>
      <c r="C24" s="172"/>
      <c r="D24" s="172"/>
      <c r="E24" s="172"/>
      <c r="F24" s="172"/>
      <c r="G24" s="172"/>
      <c r="H24" s="172"/>
      <c r="I24" s="172"/>
      <c r="J24" s="172"/>
      <c r="K24" s="172"/>
      <c r="L24" s="172"/>
      <c r="M24" s="172"/>
      <c r="N24" s="172"/>
      <c r="O24" s="172"/>
      <c r="P24" s="172"/>
      <c r="Q24" s="172"/>
      <c r="R24" s="172"/>
      <c r="S24" s="172"/>
      <c r="T24" s="172"/>
      <c r="U24" s="172"/>
      <c r="V24" s="172"/>
      <c r="W24" s="172"/>
      <c r="X24" s="256"/>
      <c r="Y24" s="256"/>
      <c r="Z24" s="256"/>
      <c r="AA24" s="256"/>
      <c r="AB24" s="256"/>
      <c r="AC24" s="256"/>
      <c r="AD24" s="256"/>
      <c r="AE24" s="256"/>
      <c r="AF24" s="256"/>
      <c r="AG24" s="256"/>
      <c r="AH24" s="256"/>
      <c r="AI24" s="256"/>
      <c r="AJ24" s="256"/>
      <c r="AK24" s="256"/>
      <c r="AL24" s="256"/>
      <c r="AM24" s="256"/>
      <c r="AN24" s="256"/>
      <c r="AO24" s="256"/>
      <c r="AP24" s="256"/>
      <c r="AQ24" s="256"/>
    </row>
    <row r="25" spans="2:43">
      <c r="B25" s="578"/>
      <c r="X25" s="166"/>
      <c r="Y25" s="166"/>
      <c r="Z25" s="166"/>
      <c r="AA25" s="166"/>
      <c r="AB25" s="166"/>
      <c r="AC25" s="166"/>
      <c r="AD25" s="166"/>
      <c r="AE25" s="166"/>
      <c r="AF25" s="166"/>
      <c r="AG25" s="166"/>
    </row>
    <row r="26" spans="2:43">
      <c r="B26" s="578" t="s">
        <v>1469</v>
      </c>
      <c r="X26" s="166"/>
      <c r="Y26" s="166"/>
      <c r="Z26" s="166"/>
      <c r="AA26" s="166"/>
      <c r="AB26" s="166"/>
      <c r="AC26" s="166"/>
      <c r="AD26" s="166"/>
      <c r="AE26" s="166"/>
      <c r="AF26" s="166"/>
      <c r="AG26" s="166"/>
    </row>
    <row r="27" spans="2:43">
      <c r="X27" s="166"/>
      <c r="Y27" s="166"/>
      <c r="Z27" s="166"/>
      <c r="AA27" s="166"/>
      <c r="AB27" s="166"/>
      <c r="AC27" s="166"/>
      <c r="AD27" s="166"/>
      <c r="AE27" s="166"/>
      <c r="AF27" s="166"/>
      <c r="AG27" s="166"/>
    </row>
    <row r="28" spans="2:43" hidden="1">
      <c r="X28" s="166"/>
      <c r="Y28" s="166"/>
      <c r="Z28" s="166"/>
      <c r="AA28" s="166"/>
      <c r="AB28" s="166"/>
      <c r="AC28" s="166"/>
      <c r="AD28" s="166"/>
      <c r="AE28" s="166"/>
      <c r="AF28" s="166"/>
      <c r="AG28" s="166"/>
    </row>
    <row r="29" spans="2:43" hidden="1">
      <c r="X29" s="166"/>
      <c r="Y29" s="166"/>
      <c r="Z29" s="166"/>
      <c r="AA29" s="166"/>
      <c r="AB29" s="166"/>
      <c r="AC29" s="166"/>
      <c r="AD29" s="166"/>
      <c r="AE29" s="166"/>
      <c r="AF29" s="166"/>
      <c r="AG29" s="166"/>
    </row>
    <row r="30" spans="2:43" hidden="1">
      <c r="X30" s="166"/>
      <c r="Y30" s="166"/>
      <c r="Z30" s="166"/>
      <c r="AA30" s="166"/>
      <c r="AB30" s="166"/>
      <c r="AC30" s="166"/>
      <c r="AD30" s="166"/>
      <c r="AE30" s="166"/>
      <c r="AF30" s="166"/>
      <c r="AG30" s="166"/>
    </row>
    <row r="31" spans="2:43" hidden="1">
      <c r="X31" s="166"/>
      <c r="Y31" s="166"/>
      <c r="Z31" s="166"/>
      <c r="AA31" s="166"/>
      <c r="AB31" s="166"/>
      <c r="AC31" s="166"/>
      <c r="AD31" s="166"/>
      <c r="AE31" s="166"/>
      <c r="AF31" s="166"/>
      <c r="AG31" s="166"/>
    </row>
    <row r="32" spans="2:43" hidden="1">
      <c r="X32" s="166"/>
      <c r="Y32" s="166"/>
      <c r="Z32" s="166"/>
      <c r="AA32" s="166"/>
      <c r="AB32" s="166"/>
      <c r="AC32" s="166"/>
      <c r="AD32" s="166"/>
      <c r="AE32" s="166"/>
      <c r="AF32" s="166"/>
      <c r="AG32" s="166"/>
    </row>
    <row r="33" spans="2:33" hidden="1">
      <c r="X33" s="166"/>
      <c r="Y33" s="166"/>
      <c r="Z33" s="166"/>
      <c r="AA33" s="166"/>
      <c r="AB33" s="166"/>
      <c r="AC33" s="166"/>
      <c r="AD33" s="166"/>
      <c r="AE33" s="166"/>
      <c r="AF33" s="166"/>
      <c r="AG33" s="166"/>
    </row>
    <row r="34" spans="2:33" hidden="1">
      <c r="X34" s="166"/>
      <c r="Y34" s="166"/>
      <c r="Z34" s="166"/>
      <c r="AA34" s="166"/>
      <c r="AB34" s="166"/>
      <c r="AC34" s="166"/>
      <c r="AD34" s="166"/>
      <c r="AE34" s="166"/>
      <c r="AF34" s="166"/>
      <c r="AG34" s="166"/>
    </row>
    <row r="35" spans="2:33" hidden="1">
      <c r="X35" s="166"/>
      <c r="Y35" s="166"/>
      <c r="Z35" s="166"/>
      <c r="AA35" s="166"/>
      <c r="AB35" s="166"/>
      <c r="AC35" s="166"/>
      <c r="AD35" s="166"/>
      <c r="AE35" s="166"/>
      <c r="AF35" s="166"/>
      <c r="AG35" s="166"/>
    </row>
    <row r="36" spans="2:33" hidden="1">
      <c r="X36" s="166"/>
      <c r="Y36" s="166"/>
      <c r="Z36" s="166"/>
      <c r="AA36" s="166"/>
      <c r="AB36" s="166"/>
      <c r="AC36" s="166"/>
      <c r="AD36" s="166"/>
      <c r="AE36" s="166"/>
      <c r="AF36" s="166"/>
      <c r="AG36" s="166"/>
    </row>
    <row r="37" spans="2:33" hidden="1">
      <c r="X37" s="166"/>
      <c r="Y37" s="166"/>
      <c r="Z37" s="166"/>
      <c r="AA37" s="166"/>
      <c r="AB37" s="166"/>
      <c r="AC37" s="166"/>
      <c r="AD37" s="166"/>
      <c r="AE37" s="166"/>
      <c r="AF37" s="166"/>
      <c r="AG37" s="166"/>
    </row>
    <row r="38" spans="2:33" hidden="1">
      <c r="X38" s="166"/>
      <c r="Y38" s="166"/>
      <c r="Z38" s="166"/>
      <c r="AA38" s="166"/>
      <c r="AB38" s="166"/>
      <c r="AC38" s="166"/>
      <c r="AD38" s="166"/>
      <c r="AE38" s="166"/>
      <c r="AF38" s="166"/>
      <c r="AG38" s="166"/>
    </row>
    <row r="39" spans="2:33" hidden="1">
      <c r="X39" s="166"/>
      <c r="Y39" s="166"/>
      <c r="Z39" s="166"/>
      <c r="AA39" s="166"/>
      <c r="AB39" s="166"/>
      <c r="AC39" s="166"/>
      <c r="AD39" s="166"/>
      <c r="AE39" s="166"/>
      <c r="AF39" s="166"/>
      <c r="AG39" s="166"/>
    </row>
    <row r="40" spans="2:33" hidden="1">
      <c r="X40" s="166"/>
      <c r="Y40" s="166"/>
      <c r="Z40" s="166"/>
      <c r="AA40" s="166"/>
      <c r="AB40" s="166"/>
      <c r="AC40" s="166"/>
      <c r="AD40" s="166"/>
      <c r="AE40" s="166"/>
      <c r="AF40" s="166"/>
      <c r="AG40" s="166"/>
    </row>
    <row r="41" spans="2:33" hidden="1">
      <c r="X41" s="166"/>
      <c r="Y41" s="166"/>
      <c r="Z41" s="166"/>
      <c r="AA41" s="166"/>
      <c r="AB41" s="166"/>
      <c r="AC41" s="166"/>
      <c r="AD41" s="166"/>
      <c r="AE41" s="166"/>
      <c r="AF41" s="166"/>
      <c r="AG41" s="166"/>
    </row>
    <row r="42" spans="2:33" hidden="1">
      <c r="X42" s="166"/>
      <c r="Y42" s="166"/>
      <c r="Z42" s="166"/>
      <c r="AA42" s="166"/>
      <c r="AB42" s="166"/>
      <c r="AC42" s="166"/>
      <c r="AD42" s="166"/>
      <c r="AE42" s="166"/>
      <c r="AF42" s="166"/>
      <c r="AG42" s="166"/>
    </row>
    <row r="43" spans="2:33" hidden="1">
      <c r="X43" s="166"/>
      <c r="Y43" s="166"/>
      <c r="Z43" s="166"/>
      <c r="AA43" s="166"/>
      <c r="AB43" s="166"/>
      <c r="AC43" s="166"/>
      <c r="AD43" s="166"/>
      <c r="AE43" s="166"/>
      <c r="AF43" s="166"/>
      <c r="AG43" s="166"/>
    </row>
    <row r="44" spans="2:33" hidden="1">
      <c r="B44" s="547"/>
      <c r="C44" s="547"/>
      <c r="D44" s="547"/>
      <c r="E44" s="547"/>
      <c r="F44" s="547"/>
      <c r="G44" s="547"/>
      <c r="H44" s="547"/>
      <c r="I44" s="547"/>
      <c r="J44" s="547"/>
      <c r="K44" s="547"/>
      <c r="L44" s="547"/>
      <c r="M44" s="547"/>
      <c r="N44" s="547"/>
      <c r="O44" s="547"/>
      <c r="P44" s="547"/>
      <c r="Q44" s="547"/>
      <c r="R44" s="547"/>
      <c r="S44" s="547"/>
      <c r="T44" s="547"/>
      <c r="U44" s="547"/>
      <c r="V44" s="547"/>
      <c r="W44" s="547"/>
      <c r="X44" s="166"/>
      <c r="Y44" s="166"/>
      <c r="Z44" s="166"/>
      <c r="AA44" s="166"/>
      <c r="AB44" s="166"/>
      <c r="AC44" s="166"/>
      <c r="AD44" s="166"/>
      <c r="AE44" s="166"/>
      <c r="AF44" s="166"/>
      <c r="AG44" s="166"/>
    </row>
    <row r="45" spans="2:33" hidden="1">
      <c r="B45" s="547"/>
      <c r="C45" s="547"/>
      <c r="D45" s="547"/>
      <c r="E45" s="547"/>
      <c r="F45" s="547"/>
      <c r="G45" s="547"/>
      <c r="H45" s="547"/>
      <c r="I45" s="547"/>
      <c r="J45" s="547"/>
      <c r="K45" s="547"/>
      <c r="L45" s="547"/>
      <c r="M45" s="547"/>
      <c r="N45" s="547"/>
      <c r="O45" s="547"/>
      <c r="P45" s="547"/>
      <c r="Q45" s="547"/>
      <c r="R45" s="547"/>
      <c r="S45" s="547"/>
      <c r="T45" s="547"/>
      <c r="U45" s="547"/>
      <c r="V45" s="547"/>
      <c r="W45" s="547"/>
      <c r="X45" s="166"/>
      <c r="Y45" s="166"/>
      <c r="Z45" s="166"/>
      <c r="AA45" s="166"/>
      <c r="AB45" s="166"/>
      <c r="AC45" s="166"/>
      <c r="AD45" s="166"/>
      <c r="AE45" s="166"/>
      <c r="AF45" s="166"/>
      <c r="AG45" s="166"/>
    </row>
    <row r="46" spans="2:33" hidden="1">
      <c r="B46" s="547"/>
      <c r="C46" s="547"/>
      <c r="D46" s="547"/>
      <c r="E46" s="547"/>
      <c r="F46" s="547"/>
      <c r="G46" s="547"/>
      <c r="H46" s="547"/>
      <c r="I46" s="547"/>
      <c r="J46" s="547"/>
      <c r="K46" s="547"/>
      <c r="L46" s="547"/>
      <c r="M46" s="547"/>
      <c r="N46" s="547"/>
      <c r="O46" s="547"/>
      <c r="P46" s="547"/>
      <c r="Q46" s="547"/>
      <c r="R46" s="547"/>
      <c r="S46" s="547"/>
      <c r="T46" s="547"/>
      <c r="U46" s="547"/>
      <c r="V46" s="547"/>
      <c r="W46" s="547"/>
      <c r="X46" s="166"/>
      <c r="Y46" s="166"/>
      <c r="Z46" s="166"/>
      <c r="AA46" s="166"/>
      <c r="AB46" s="166"/>
      <c r="AC46" s="166"/>
      <c r="AD46" s="166"/>
      <c r="AE46" s="166"/>
      <c r="AF46" s="166"/>
      <c r="AG46" s="166"/>
    </row>
    <row r="47" spans="2:33" hidden="1">
      <c r="B47" s="547"/>
      <c r="C47" s="547"/>
      <c r="D47" s="547"/>
      <c r="E47" s="547"/>
      <c r="F47" s="547"/>
      <c r="G47" s="547"/>
      <c r="H47" s="547"/>
      <c r="I47" s="547"/>
      <c r="J47" s="547"/>
      <c r="K47" s="547"/>
      <c r="L47" s="547"/>
      <c r="M47" s="547"/>
      <c r="N47" s="547"/>
      <c r="O47" s="547"/>
      <c r="P47" s="547"/>
      <c r="Q47" s="547"/>
      <c r="R47" s="547"/>
      <c r="S47" s="547"/>
      <c r="T47" s="547"/>
      <c r="U47" s="547"/>
      <c r="V47" s="547"/>
      <c r="W47" s="547"/>
      <c r="X47" s="166"/>
      <c r="Y47" s="166"/>
      <c r="Z47" s="166"/>
      <c r="AA47" s="166"/>
      <c r="AB47" s="166"/>
      <c r="AC47" s="166"/>
      <c r="AD47" s="166"/>
      <c r="AE47" s="166"/>
      <c r="AF47" s="166"/>
      <c r="AG47" s="166"/>
    </row>
    <row r="48" spans="2:33" ht="15" hidden="1">
      <c r="B48" s="548"/>
      <c r="C48" s="549"/>
      <c r="D48" s="549"/>
      <c r="E48" s="549"/>
      <c r="F48" s="549"/>
      <c r="G48" s="549"/>
      <c r="H48" s="549"/>
      <c r="I48" s="549"/>
      <c r="J48" s="549"/>
      <c r="K48" s="549"/>
      <c r="L48" s="549"/>
      <c r="M48" s="549"/>
      <c r="N48" s="549"/>
      <c r="O48" s="549"/>
      <c r="P48" s="549"/>
      <c r="Q48" s="549"/>
      <c r="R48" s="549"/>
      <c r="S48" s="549"/>
      <c r="T48" s="549"/>
      <c r="U48" s="549"/>
      <c r="V48" s="549"/>
      <c r="W48" s="549"/>
      <c r="X48" s="549"/>
      <c r="Y48" s="549"/>
      <c r="Z48" s="549"/>
      <c r="AA48" s="166"/>
      <c r="AB48" s="166"/>
      <c r="AC48" s="166"/>
      <c r="AD48" s="166"/>
      <c r="AE48" s="166"/>
      <c r="AF48" s="166"/>
      <c r="AG48" s="166"/>
    </row>
    <row r="49" spans="2:43" ht="15" hidden="1">
      <c r="B49" s="548"/>
      <c r="C49" s="549"/>
      <c r="D49" s="549"/>
      <c r="E49" s="549"/>
      <c r="F49" s="549"/>
      <c r="G49" s="549"/>
      <c r="H49" s="549"/>
      <c r="I49" s="549"/>
      <c r="J49" s="549"/>
      <c r="K49" s="549"/>
      <c r="L49" s="549"/>
      <c r="M49" s="549"/>
      <c r="N49" s="549"/>
      <c r="O49" s="549"/>
      <c r="P49" s="549"/>
      <c r="Q49" s="549"/>
      <c r="R49" s="549"/>
      <c r="S49" s="549"/>
      <c r="T49" s="549"/>
      <c r="U49" s="549"/>
      <c r="V49" s="549"/>
      <c r="W49" s="549"/>
      <c r="X49" s="549"/>
      <c r="Y49" s="549"/>
      <c r="Z49" s="549"/>
      <c r="AA49" s="166"/>
      <c r="AB49" s="166"/>
      <c r="AC49" s="166"/>
      <c r="AD49" s="166"/>
      <c r="AE49" s="166"/>
      <c r="AF49" s="166"/>
      <c r="AG49" s="166"/>
    </row>
    <row r="50" spans="2:43" ht="15" hidden="1">
      <c r="B50" s="548"/>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166"/>
      <c r="AB50" s="166"/>
      <c r="AC50" s="166"/>
      <c r="AD50" s="166"/>
      <c r="AE50" s="166"/>
      <c r="AF50" s="166"/>
      <c r="AG50" s="166"/>
    </row>
    <row r="51" spans="2:43" hidden="1">
      <c r="B51" s="547"/>
      <c r="C51" s="547"/>
      <c r="D51" s="547"/>
      <c r="E51" s="547"/>
      <c r="F51" s="547"/>
      <c r="G51" s="547"/>
      <c r="H51" s="547"/>
      <c r="I51" s="547"/>
      <c r="J51" s="547"/>
      <c r="K51" s="547"/>
      <c r="L51" s="547"/>
      <c r="M51" s="547"/>
      <c r="N51" s="547"/>
      <c r="O51" s="547"/>
      <c r="P51" s="547"/>
      <c r="Q51" s="547"/>
      <c r="R51" s="547"/>
      <c r="S51" s="547"/>
      <c r="T51" s="547"/>
      <c r="U51" s="547"/>
      <c r="V51" s="547"/>
      <c r="W51" s="547"/>
      <c r="X51" s="166"/>
      <c r="Y51" s="166"/>
      <c r="Z51" s="166"/>
      <c r="AA51" s="166"/>
      <c r="AB51" s="166"/>
      <c r="AC51" s="166"/>
      <c r="AD51" s="166"/>
      <c r="AE51" s="166"/>
      <c r="AF51" s="166"/>
      <c r="AG51" s="166"/>
    </row>
    <row r="52" spans="2:43" hidden="1">
      <c r="B52" s="547"/>
      <c r="C52" s="547"/>
      <c r="D52" s="547"/>
      <c r="E52" s="547"/>
      <c r="F52" s="547"/>
      <c r="G52" s="547"/>
      <c r="H52" s="547"/>
      <c r="I52" s="547"/>
      <c r="J52" s="547"/>
      <c r="K52" s="547"/>
      <c r="L52" s="547"/>
      <c r="M52" s="547"/>
      <c r="N52" s="547"/>
      <c r="O52" s="547"/>
      <c r="P52" s="547"/>
      <c r="Q52" s="547"/>
      <c r="R52" s="547"/>
      <c r="S52" s="547"/>
      <c r="T52" s="547"/>
      <c r="U52" s="547"/>
      <c r="V52" s="547"/>
      <c r="W52" s="547"/>
      <c r="X52" s="166"/>
      <c r="Y52" s="166"/>
      <c r="Z52" s="166"/>
      <c r="AA52" s="166"/>
      <c r="AB52" s="166"/>
      <c r="AC52" s="166"/>
      <c r="AD52" s="166"/>
      <c r="AE52" s="166"/>
      <c r="AF52" s="166"/>
      <c r="AG52" s="166"/>
    </row>
    <row r="53" spans="2:43" hidden="1">
      <c r="B53" s="547"/>
      <c r="C53" s="547"/>
      <c r="D53" s="547"/>
      <c r="E53" s="547"/>
      <c r="F53" s="547"/>
      <c r="G53" s="547"/>
      <c r="H53" s="547"/>
      <c r="I53" s="547"/>
      <c r="J53" s="547"/>
      <c r="K53" s="547"/>
      <c r="L53" s="547"/>
      <c r="M53" s="547"/>
      <c r="N53" s="547"/>
      <c r="O53" s="547"/>
      <c r="P53" s="547"/>
      <c r="Q53" s="547"/>
      <c r="R53" s="547"/>
      <c r="S53" s="547"/>
      <c r="T53" s="547"/>
      <c r="U53" s="547"/>
      <c r="V53" s="547"/>
      <c r="W53" s="547"/>
      <c r="X53" s="166"/>
      <c r="Y53" s="166"/>
      <c r="Z53" s="166"/>
      <c r="AA53" s="166"/>
      <c r="AB53" s="166"/>
      <c r="AC53" s="166"/>
      <c r="AD53" s="166"/>
      <c r="AE53" s="166"/>
      <c r="AF53" s="166"/>
      <c r="AG53" s="166"/>
    </row>
    <row r="54" spans="2:43" hidden="1">
      <c r="B54" s="547"/>
      <c r="C54" s="547"/>
      <c r="D54" s="547"/>
      <c r="E54" s="547"/>
      <c r="F54" s="547"/>
      <c r="G54" s="547"/>
      <c r="H54" s="547"/>
      <c r="I54" s="547"/>
      <c r="J54" s="547"/>
      <c r="K54" s="547"/>
      <c r="L54" s="547"/>
      <c r="M54" s="547"/>
      <c r="N54" s="547"/>
      <c r="O54" s="547"/>
      <c r="P54" s="547"/>
      <c r="Q54" s="547"/>
      <c r="R54" s="547"/>
      <c r="S54" s="547"/>
      <c r="T54" s="547"/>
      <c r="U54" s="547"/>
      <c r="V54" s="547"/>
      <c r="W54" s="547"/>
      <c r="X54" s="166"/>
      <c r="Y54" s="166"/>
      <c r="Z54" s="166"/>
      <c r="AA54" s="166"/>
      <c r="AB54" s="166"/>
      <c r="AC54" s="166"/>
      <c r="AD54" s="166"/>
      <c r="AE54" s="166"/>
      <c r="AF54" s="166"/>
      <c r="AG54" s="166"/>
    </row>
    <row r="55" spans="2:43" hidden="1">
      <c r="B55" s="547"/>
      <c r="C55" s="547"/>
      <c r="D55" s="547"/>
      <c r="E55" s="547"/>
      <c r="F55" s="547"/>
      <c r="G55" s="547"/>
      <c r="H55" s="547"/>
      <c r="I55" s="547"/>
      <c r="J55" s="547"/>
      <c r="K55" s="547"/>
      <c r="L55" s="547"/>
      <c r="M55" s="547"/>
      <c r="N55" s="547"/>
      <c r="O55" s="547"/>
      <c r="P55" s="547"/>
      <c r="Q55" s="547"/>
      <c r="R55" s="547"/>
      <c r="S55" s="547"/>
      <c r="T55" s="547"/>
      <c r="U55" s="547"/>
      <c r="V55" s="547"/>
      <c r="W55" s="547"/>
      <c r="X55" s="166"/>
      <c r="Y55" s="166"/>
      <c r="Z55" s="166"/>
      <c r="AA55" s="166"/>
      <c r="AB55" s="166"/>
      <c r="AC55" s="166"/>
      <c r="AD55" s="166"/>
      <c r="AE55" s="166"/>
      <c r="AF55" s="166"/>
      <c r="AG55" s="166"/>
    </row>
    <row r="56" spans="2:43" hidden="1">
      <c r="B56" s="547"/>
      <c r="C56" s="547"/>
      <c r="D56" s="547"/>
      <c r="E56" s="547"/>
      <c r="F56" s="547"/>
      <c r="G56" s="547"/>
      <c r="H56" s="547"/>
      <c r="I56" s="547"/>
      <c r="J56" s="547"/>
      <c r="K56" s="547"/>
      <c r="L56" s="547"/>
      <c r="M56" s="547"/>
      <c r="N56" s="547"/>
      <c r="O56" s="547"/>
      <c r="P56" s="547"/>
      <c r="Q56" s="547"/>
      <c r="R56" s="547"/>
      <c r="S56" s="547"/>
      <c r="T56" s="547"/>
      <c r="U56" s="547"/>
      <c r="V56" s="547"/>
      <c r="W56" s="547"/>
      <c r="X56" s="166"/>
      <c r="Y56" s="166"/>
      <c r="Z56" s="166"/>
      <c r="AA56" s="166"/>
      <c r="AB56" s="166"/>
      <c r="AC56" s="166"/>
      <c r="AD56" s="166"/>
      <c r="AE56" s="166"/>
      <c r="AF56" s="166"/>
      <c r="AG56" s="166"/>
    </row>
    <row r="57" spans="2:43" hidden="1">
      <c r="B57" s="547"/>
      <c r="C57" s="547"/>
      <c r="D57" s="547"/>
      <c r="E57" s="547"/>
      <c r="F57" s="547"/>
      <c r="G57" s="547"/>
      <c r="H57" s="547"/>
      <c r="I57" s="547"/>
      <c r="J57" s="547"/>
      <c r="K57" s="547"/>
      <c r="L57" s="547"/>
      <c r="M57" s="547"/>
      <c r="N57" s="547"/>
      <c r="O57" s="547"/>
      <c r="P57" s="547"/>
      <c r="Q57" s="547"/>
      <c r="R57" s="547"/>
      <c r="S57" s="547"/>
      <c r="T57" s="547"/>
      <c r="U57" s="547"/>
      <c r="V57" s="547"/>
      <c r="W57" s="547"/>
      <c r="X57" s="166"/>
      <c r="Y57" s="166"/>
      <c r="Z57" s="166"/>
      <c r="AA57" s="166"/>
      <c r="AB57" s="166"/>
      <c r="AC57" s="166"/>
      <c r="AD57" s="166"/>
      <c r="AE57" s="166"/>
      <c r="AF57" s="166"/>
      <c r="AG57" s="166"/>
    </row>
    <row r="58" spans="2:43" hidden="1">
      <c r="X58" s="166"/>
      <c r="Y58" s="166"/>
      <c r="Z58" s="166"/>
      <c r="AA58" s="166"/>
      <c r="AB58" s="166"/>
      <c r="AC58" s="166"/>
      <c r="AD58" s="166"/>
      <c r="AE58" s="166"/>
      <c r="AF58" s="166"/>
      <c r="AG58" s="166"/>
    </row>
    <row r="59" spans="2:43">
      <c r="X59" s="166"/>
      <c r="Y59" s="166"/>
      <c r="Z59" s="166"/>
      <c r="AA59" s="166"/>
      <c r="AB59" s="166"/>
      <c r="AC59" s="166"/>
      <c r="AD59" s="166"/>
      <c r="AE59" s="166"/>
      <c r="AF59" s="166"/>
      <c r="AG59" s="166"/>
    </row>
    <row r="60" spans="2:43" ht="15">
      <c r="B60" s="1943" t="s">
        <v>26</v>
      </c>
      <c r="C60" s="1942"/>
      <c r="D60" s="1942"/>
      <c r="E60" s="1942"/>
      <c r="F60" s="1942"/>
      <c r="G60" s="1942"/>
      <c r="H60" s="1942"/>
      <c r="I60" s="1942"/>
      <c r="J60" s="1942"/>
      <c r="K60" s="1942"/>
      <c r="L60" s="1942"/>
      <c r="M60" s="1942"/>
      <c r="N60" s="1942"/>
      <c r="O60" s="1942"/>
      <c r="P60" s="1942"/>
      <c r="Q60" s="1942"/>
      <c r="R60" s="1942"/>
      <c r="S60" s="1942"/>
      <c r="T60" s="1942"/>
      <c r="U60" s="1942"/>
      <c r="V60" s="1942"/>
      <c r="W60" s="1942"/>
      <c r="X60" s="1942"/>
      <c r="Y60" s="1942"/>
      <c r="Z60" s="1942"/>
      <c r="AA60" s="1942"/>
      <c r="AB60" s="1942"/>
      <c r="AC60" s="1942"/>
      <c r="AD60" s="1942"/>
      <c r="AE60" s="1942"/>
      <c r="AF60" s="1942"/>
      <c r="AG60" s="1942"/>
      <c r="AH60" s="1942"/>
      <c r="AI60" s="1942"/>
      <c r="AJ60" s="1942"/>
      <c r="AK60" s="1942"/>
      <c r="AL60" s="1942"/>
      <c r="AM60" s="1942"/>
      <c r="AN60" s="1942"/>
      <c r="AO60" s="1942"/>
      <c r="AP60" s="1942"/>
    </row>
    <row r="61" spans="2:43" ht="15">
      <c r="B61" s="1944" t="s">
        <v>1470</v>
      </c>
      <c r="C61" s="1945"/>
      <c r="D61" s="1945"/>
      <c r="E61" s="1945"/>
      <c r="F61" s="1945"/>
      <c r="G61" s="1945"/>
      <c r="H61" s="1945"/>
      <c r="I61" s="1945"/>
      <c r="J61" s="1945"/>
      <c r="K61" s="1945"/>
      <c r="L61" s="1945"/>
      <c r="M61" s="1945"/>
      <c r="N61" s="1945"/>
      <c r="O61" s="1945"/>
      <c r="P61" s="1945"/>
      <c r="Q61" s="1945"/>
      <c r="R61" s="1945"/>
      <c r="S61" s="1945"/>
      <c r="T61" s="1945"/>
      <c r="U61" s="1945"/>
      <c r="V61" s="1945"/>
      <c r="W61" s="1945"/>
      <c r="X61" s="1945"/>
      <c r="Y61" s="1945"/>
      <c r="Z61" s="1945"/>
      <c r="AA61" s="1945"/>
      <c r="AB61" s="1945"/>
      <c r="AC61" s="1945"/>
      <c r="AD61" s="1945"/>
      <c r="AE61" s="1945"/>
      <c r="AF61" s="1945"/>
      <c r="AG61" s="1945"/>
      <c r="AH61" s="1945"/>
      <c r="AI61" s="1945"/>
      <c r="AJ61" s="1945"/>
      <c r="AK61" s="1945"/>
      <c r="AL61" s="1945"/>
      <c r="AM61" s="1942"/>
      <c r="AN61" s="1942"/>
      <c r="AO61" s="1942"/>
      <c r="AP61" s="1942"/>
    </row>
    <row r="62" spans="2:43">
      <c r="B62" s="192"/>
      <c r="C62" s="192"/>
      <c r="D62" s="192"/>
      <c r="E62" s="192"/>
      <c r="F62" s="192"/>
      <c r="G62" s="192"/>
      <c r="H62" s="192"/>
      <c r="I62" s="192"/>
      <c r="J62" s="192"/>
      <c r="K62" s="192"/>
      <c r="L62" s="192"/>
      <c r="M62" s="192"/>
      <c r="N62" s="192"/>
      <c r="O62" s="193"/>
      <c r="P62" s="194"/>
      <c r="Q62" s="194"/>
      <c r="R62" s="194"/>
      <c r="S62" s="194"/>
      <c r="T62" s="194"/>
      <c r="U62" s="194"/>
      <c r="V62" s="194"/>
      <c r="W62" s="194"/>
      <c r="X62" s="195"/>
      <c r="Y62" s="196"/>
      <c r="Z62" s="196"/>
      <c r="AA62" s="196"/>
      <c r="AB62" s="196"/>
      <c r="AC62" s="196"/>
      <c r="AD62" s="196"/>
      <c r="AE62" s="196"/>
      <c r="AF62" s="196"/>
      <c r="AG62" s="166"/>
    </row>
    <row r="63" spans="2:43">
      <c r="B63" s="165" t="s">
        <v>1882</v>
      </c>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201"/>
      <c r="AF63" s="202">
        <v>2009</v>
      </c>
      <c r="AG63" s="202">
        <v>2010</v>
      </c>
      <c r="AH63" s="202">
        <v>2011</v>
      </c>
      <c r="AI63" s="202">
        <v>2012</v>
      </c>
      <c r="AJ63" s="202">
        <v>2013</v>
      </c>
      <c r="AK63" s="202">
        <v>2014</v>
      </c>
      <c r="AL63" s="202">
        <v>2015</v>
      </c>
      <c r="AM63" s="202">
        <v>2016</v>
      </c>
      <c r="AN63" s="202">
        <v>2017</v>
      </c>
      <c r="AO63" s="202">
        <v>2018</v>
      </c>
      <c r="AP63" s="202">
        <v>2019</v>
      </c>
      <c r="AQ63" s="202">
        <v>2020</v>
      </c>
    </row>
    <row r="64" spans="2:43">
      <c r="B64" s="165" t="s">
        <v>1883</v>
      </c>
      <c r="E64" s="167"/>
      <c r="F64" s="167"/>
      <c r="G64" s="167"/>
      <c r="H64" s="167"/>
      <c r="I64" s="167"/>
      <c r="J64" s="167"/>
      <c r="K64" s="167"/>
      <c r="L64" s="167"/>
      <c r="M64" s="167"/>
      <c r="N64" s="167"/>
      <c r="O64" s="197"/>
      <c r="P64" s="198"/>
      <c r="Q64" s="199"/>
      <c r="R64" s="198"/>
      <c r="S64" s="198"/>
      <c r="T64" s="198"/>
      <c r="U64" s="198"/>
      <c r="V64" s="198"/>
      <c r="W64" s="198"/>
      <c r="Y64" s="203"/>
      <c r="AA64" s="203"/>
      <c r="AB64" s="203"/>
      <c r="AC64" s="203"/>
    </row>
    <row r="65" spans="2:43">
      <c r="B65" s="268" t="s">
        <v>28</v>
      </c>
      <c r="C65" s="165" t="s">
        <v>29</v>
      </c>
      <c r="E65" s="167"/>
      <c r="F65" s="167"/>
      <c r="G65" s="167"/>
      <c r="H65" s="167"/>
      <c r="I65" s="167"/>
      <c r="J65" s="167"/>
      <c r="K65" s="167"/>
      <c r="L65" s="167"/>
      <c r="M65" s="167"/>
      <c r="N65" s="167"/>
      <c r="O65" s="197"/>
      <c r="P65" s="198"/>
      <c r="Q65" s="199"/>
      <c r="R65" s="198"/>
      <c r="S65" s="198"/>
      <c r="T65" s="198"/>
      <c r="U65" s="198"/>
      <c r="V65" s="198"/>
      <c r="W65" s="198"/>
      <c r="X65" s="166">
        <v>1281927</v>
      </c>
      <c r="Y65" s="75">
        <v>1338828</v>
      </c>
      <c r="Z65" s="166">
        <v>1409028</v>
      </c>
      <c r="AA65" s="75">
        <v>1499509</v>
      </c>
      <c r="AB65" s="166">
        <v>1570631</v>
      </c>
      <c r="AC65" s="75">
        <v>1658302</v>
      </c>
      <c r="AD65" s="166">
        <v>1777777</v>
      </c>
      <c r="AE65" s="166">
        <v>1915425</v>
      </c>
      <c r="AF65" s="166">
        <v>1923150</v>
      </c>
      <c r="AG65" s="166">
        <v>1958476</v>
      </c>
      <c r="AH65" s="166">
        <v>1999939</v>
      </c>
      <c r="AI65" s="166">
        <v>2020907</v>
      </c>
      <c r="AJ65" s="166">
        <v>2053564</v>
      </c>
      <c r="AK65" s="166">
        <v>2100050</v>
      </c>
      <c r="AL65" s="166">
        <v>2181310</v>
      </c>
      <c r="AM65" s="166">
        <v>2273044</v>
      </c>
      <c r="AN65" s="166">
        <v>2419859</v>
      </c>
      <c r="AO65" s="166">
        <v>2567905</v>
      </c>
      <c r="AP65" s="166">
        <v>2711342</v>
      </c>
      <c r="AQ65" s="166">
        <v>2597784</v>
      </c>
    </row>
    <row r="66" spans="2:43">
      <c r="E66" s="167"/>
      <c r="F66" s="167"/>
      <c r="G66" s="167"/>
      <c r="H66" s="167"/>
      <c r="I66" s="167"/>
      <c r="J66" s="167"/>
      <c r="K66" s="167"/>
      <c r="L66" s="167"/>
      <c r="M66" s="167"/>
      <c r="N66" s="167"/>
      <c r="O66" s="197"/>
      <c r="P66" s="198"/>
      <c r="Q66" s="199"/>
      <c r="R66" s="198"/>
      <c r="S66" s="198"/>
      <c r="T66" s="198"/>
      <c r="U66" s="198"/>
      <c r="V66" s="198"/>
      <c r="W66" s="198"/>
      <c r="X66" s="166"/>
      <c r="Z66" s="166"/>
      <c r="AB66" s="166"/>
      <c r="AD66" s="166"/>
      <c r="AE66" s="166"/>
      <c r="AF66" s="166"/>
      <c r="AG66" s="166"/>
      <c r="AH66" s="166"/>
      <c r="AI66" s="166"/>
      <c r="AJ66" s="166"/>
      <c r="AK66" s="166"/>
      <c r="AL66" s="166"/>
      <c r="AM66" s="166"/>
      <c r="AN66" s="166"/>
      <c r="AO66" s="166"/>
      <c r="AP66" s="166"/>
      <c r="AQ66" s="166"/>
    </row>
    <row r="67" spans="2:43">
      <c r="B67" s="268" t="s">
        <v>30</v>
      </c>
      <c r="C67" s="165" t="s">
        <v>31</v>
      </c>
      <c r="E67" s="167"/>
      <c r="F67" s="167"/>
      <c r="G67" s="167"/>
      <c r="H67" s="167"/>
      <c r="I67" s="167"/>
      <c r="J67" s="167"/>
      <c r="K67" s="167"/>
      <c r="L67" s="167"/>
      <c r="M67" s="167"/>
      <c r="N67" s="167"/>
      <c r="O67" s="197"/>
      <c r="P67" s="198"/>
      <c r="Q67" s="199"/>
      <c r="R67" s="198"/>
      <c r="S67" s="198"/>
      <c r="T67" s="198"/>
      <c r="U67" s="198"/>
      <c r="V67" s="198"/>
      <c r="W67" s="198"/>
      <c r="X67" s="166">
        <v>1576286</v>
      </c>
      <c r="Y67" s="75">
        <v>1671724</v>
      </c>
      <c r="Z67" s="166">
        <v>1773410</v>
      </c>
      <c r="AA67" s="75">
        <v>1869547</v>
      </c>
      <c r="AB67" s="166">
        <v>1954111</v>
      </c>
      <c r="AC67" s="75">
        <v>2059436</v>
      </c>
      <c r="AD67" s="166">
        <v>2196104</v>
      </c>
      <c r="AE67" s="166">
        <v>2354521</v>
      </c>
      <c r="AF67" s="166">
        <v>2388516</v>
      </c>
      <c r="AG67" s="166">
        <v>2424766</v>
      </c>
      <c r="AH67" s="166">
        <v>2454231</v>
      </c>
      <c r="AI67" s="166">
        <v>2456908</v>
      </c>
      <c r="AJ67" s="166">
        <v>2503949</v>
      </c>
      <c r="AK67" s="166">
        <v>2560632</v>
      </c>
      <c r="AL67" s="166">
        <v>2658437</v>
      </c>
      <c r="AM67" s="166">
        <v>2763210</v>
      </c>
      <c r="AN67" s="166">
        <v>2916704</v>
      </c>
      <c r="AO67" s="166">
        <v>3096016</v>
      </c>
      <c r="AP67" s="166">
        <v>3269029</v>
      </c>
      <c r="AQ67" s="166">
        <v>3196024</v>
      </c>
    </row>
    <row r="68" spans="2:43">
      <c r="E68" s="167"/>
      <c r="F68" s="167"/>
      <c r="G68" s="167"/>
      <c r="H68" s="167"/>
      <c r="I68" s="167"/>
      <c r="J68" s="167"/>
      <c r="K68" s="167"/>
      <c r="L68" s="167"/>
      <c r="M68" s="167"/>
      <c r="N68" s="167"/>
      <c r="O68" s="197"/>
      <c r="P68" s="198"/>
      <c r="Q68" s="199"/>
      <c r="R68" s="198"/>
      <c r="S68" s="198"/>
      <c r="T68" s="198"/>
      <c r="U68" s="198"/>
      <c r="V68" s="198"/>
      <c r="W68" s="198"/>
      <c r="AF68" s="166"/>
      <c r="AG68" s="166"/>
      <c r="AH68" s="166"/>
      <c r="AI68" s="166"/>
      <c r="AJ68" s="166"/>
      <c r="AK68" s="166"/>
      <c r="AL68" s="166"/>
      <c r="AM68" s="166"/>
      <c r="AN68" s="166"/>
      <c r="AO68" s="166"/>
      <c r="AP68" s="166"/>
      <c r="AQ68" s="166"/>
    </row>
    <row r="69" spans="2:43">
      <c r="B69" s="268" t="s">
        <v>32</v>
      </c>
      <c r="C69" s="165" t="s">
        <v>33</v>
      </c>
      <c r="E69" s="167"/>
      <c r="F69" s="167"/>
      <c r="G69" s="167"/>
      <c r="H69" s="167"/>
      <c r="I69" s="167"/>
      <c r="J69" s="167"/>
      <c r="K69" s="167"/>
      <c r="L69" s="167"/>
      <c r="M69" s="167"/>
      <c r="N69" s="167"/>
      <c r="O69" s="197"/>
      <c r="P69" s="198"/>
      <c r="Q69" s="199"/>
      <c r="R69" s="198"/>
      <c r="S69" s="198"/>
      <c r="T69" s="198"/>
      <c r="U69" s="198"/>
      <c r="V69" s="198"/>
      <c r="W69" s="198"/>
      <c r="X69" s="166">
        <f>SUM(X71:X72)</f>
        <v>226686</v>
      </c>
      <c r="Y69" s="75">
        <f t="shared" ref="Y69:AQ69" si="7">SUM(Y71:Y72)</f>
        <v>234829</v>
      </c>
      <c r="Z69" s="166">
        <f t="shared" si="7"/>
        <v>251925</v>
      </c>
      <c r="AA69" s="75">
        <f t="shared" si="7"/>
        <v>303987</v>
      </c>
      <c r="AB69" s="166">
        <f t="shared" si="7"/>
        <v>325652</v>
      </c>
      <c r="AC69" s="75">
        <f t="shared" si="7"/>
        <v>333633.80099999998</v>
      </c>
      <c r="AD69" s="166">
        <f t="shared" si="7"/>
        <v>365780.489</v>
      </c>
      <c r="AE69" s="166">
        <f t="shared" si="7"/>
        <v>396415.68900000001</v>
      </c>
      <c r="AF69" s="166">
        <f t="shared" si="7"/>
        <v>395830.94099999999</v>
      </c>
      <c r="AG69" s="166">
        <f t="shared" si="7"/>
        <v>401858.47100000002</v>
      </c>
      <c r="AH69" s="166">
        <f t="shared" si="7"/>
        <v>426290.57700000005</v>
      </c>
      <c r="AI69" s="166">
        <f t="shared" si="7"/>
        <v>437834.13399999996</v>
      </c>
      <c r="AJ69" s="166">
        <f t="shared" si="7"/>
        <v>453582.09899999999</v>
      </c>
      <c r="AK69" s="166">
        <f t="shared" si="7"/>
        <v>444354.87800000003</v>
      </c>
      <c r="AL69" s="166">
        <f t="shared" si="7"/>
        <v>487058.875</v>
      </c>
      <c r="AM69" s="166">
        <f t="shared" si="7"/>
        <v>512316.44299999997</v>
      </c>
      <c r="AN69" s="166">
        <f t="shared" si="7"/>
        <v>551650.96799999999</v>
      </c>
      <c r="AO69" s="166">
        <f t="shared" si="7"/>
        <v>573914.96900000004</v>
      </c>
      <c r="AP69" s="166">
        <f t="shared" si="7"/>
        <v>603658.20700000005</v>
      </c>
      <c r="AQ69" s="166">
        <f t="shared" si="7"/>
        <v>579923.04799999995</v>
      </c>
    </row>
    <row r="70" spans="2:43">
      <c r="E70" s="167"/>
      <c r="F70" s="167"/>
      <c r="G70" s="167"/>
      <c r="H70" s="167"/>
      <c r="I70" s="167"/>
      <c r="J70" s="167"/>
      <c r="K70" s="167"/>
      <c r="L70" s="167"/>
      <c r="M70" s="167"/>
      <c r="N70" s="167"/>
      <c r="O70" s="197"/>
      <c r="P70" s="198"/>
      <c r="Q70" s="199"/>
      <c r="R70" s="198"/>
      <c r="S70" s="198"/>
      <c r="T70" s="198"/>
      <c r="U70" s="198"/>
      <c r="V70" s="198"/>
      <c r="W70" s="198"/>
      <c r="AF70" s="166"/>
      <c r="AG70" s="166"/>
      <c r="AH70" s="166"/>
      <c r="AI70" s="166"/>
      <c r="AJ70" s="166"/>
      <c r="AK70" s="166"/>
      <c r="AL70" s="166"/>
      <c r="AM70" s="166"/>
      <c r="AN70" s="166"/>
      <c r="AO70" s="166"/>
      <c r="AP70" s="166"/>
      <c r="AQ70" s="166"/>
    </row>
    <row r="71" spans="2:43">
      <c r="C71" s="165" t="s">
        <v>34</v>
      </c>
      <c r="E71" s="167"/>
      <c r="F71" s="167"/>
      <c r="G71" s="167"/>
      <c r="H71" s="167"/>
      <c r="I71" s="167"/>
      <c r="J71" s="167"/>
      <c r="K71" s="167"/>
      <c r="L71" s="167"/>
      <c r="M71" s="167"/>
      <c r="N71" s="167"/>
      <c r="O71" s="197"/>
      <c r="P71" s="198"/>
      <c r="Q71" s="199"/>
      <c r="R71" s="198"/>
      <c r="S71" s="198"/>
      <c r="T71" s="198"/>
      <c r="U71" s="198"/>
      <c r="V71" s="198"/>
      <c r="W71" s="198"/>
      <c r="X71" s="166">
        <v>149893</v>
      </c>
      <c r="Y71" s="75">
        <v>155135</v>
      </c>
      <c r="Z71" s="166">
        <v>164250</v>
      </c>
      <c r="AA71" s="75">
        <v>204702</v>
      </c>
      <c r="AB71" s="166">
        <v>215118</v>
      </c>
      <c r="AC71" s="75">
        <v>213728.234</v>
      </c>
      <c r="AD71" s="166">
        <v>232288.117</v>
      </c>
      <c r="AE71" s="166">
        <v>260365.94700000001</v>
      </c>
      <c r="AF71" s="166">
        <v>258627.49400000001</v>
      </c>
      <c r="AG71" s="166">
        <v>263457.185</v>
      </c>
      <c r="AH71" s="166">
        <v>276533.09600000002</v>
      </c>
      <c r="AI71" s="166">
        <v>286115.59899999999</v>
      </c>
      <c r="AJ71" s="166">
        <v>303822.09299999999</v>
      </c>
      <c r="AK71" s="166">
        <v>319484.95</v>
      </c>
      <c r="AL71" s="166">
        <v>333273.80199999997</v>
      </c>
      <c r="AM71" s="166">
        <v>353915.19799999997</v>
      </c>
      <c r="AN71" s="166">
        <v>387536.78399999999</v>
      </c>
      <c r="AO71" s="166">
        <v>408538.342</v>
      </c>
      <c r="AP71" s="166">
        <v>435462.83</v>
      </c>
      <c r="AQ71" s="166">
        <v>422478.99900000001</v>
      </c>
    </row>
    <row r="72" spans="2:43">
      <c r="C72" s="165" t="s">
        <v>35</v>
      </c>
      <c r="E72" s="167"/>
      <c r="F72" s="167"/>
      <c r="G72" s="167"/>
      <c r="H72" s="167"/>
      <c r="I72" s="167"/>
      <c r="J72" s="167"/>
      <c r="K72" s="167"/>
      <c r="L72" s="167"/>
      <c r="M72" s="167"/>
      <c r="N72" s="167"/>
      <c r="O72" s="197"/>
      <c r="P72" s="198"/>
      <c r="Q72" s="199"/>
      <c r="R72" s="198"/>
      <c r="S72" s="198"/>
      <c r="T72" s="198"/>
      <c r="U72" s="198"/>
      <c r="V72" s="198"/>
      <c r="W72" s="198"/>
      <c r="X72" s="166">
        <v>76793</v>
      </c>
      <c r="Y72" s="75">
        <v>79694</v>
      </c>
      <c r="Z72" s="166">
        <v>87675</v>
      </c>
      <c r="AA72" s="75">
        <v>99285</v>
      </c>
      <c r="AB72" s="166">
        <v>110534</v>
      </c>
      <c r="AC72" s="75">
        <v>119905.56700000001</v>
      </c>
      <c r="AD72" s="166">
        <v>133492.372</v>
      </c>
      <c r="AE72" s="166">
        <v>136049.742</v>
      </c>
      <c r="AF72" s="166">
        <v>137203.44700000001</v>
      </c>
      <c r="AG72" s="166">
        <v>138401.28599999999</v>
      </c>
      <c r="AH72" s="166">
        <v>149757.481</v>
      </c>
      <c r="AI72" s="166">
        <v>151718.535</v>
      </c>
      <c r="AJ72" s="166">
        <v>149760.00599999999</v>
      </c>
      <c r="AK72" s="166">
        <v>124869.928</v>
      </c>
      <c r="AL72" s="166">
        <v>153785.073</v>
      </c>
      <c r="AM72" s="166">
        <v>158401.245</v>
      </c>
      <c r="AN72" s="166">
        <v>164114.18400000001</v>
      </c>
      <c r="AO72" s="166">
        <v>165376.62700000001</v>
      </c>
      <c r="AP72" s="166">
        <v>168195.37700000001</v>
      </c>
      <c r="AQ72" s="166">
        <v>157444.049</v>
      </c>
    </row>
    <row r="73" spans="2:43">
      <c r="E73" s="167"/>
      <c r="F73" s="167"/>
      <c r="G73" s="167"/>
      <c r="H73" s="167"/>
      <c r="I73" s="167"/>
      <c r="J73" s="167"/>
      <c r="K73" s="167"/>
      <c r="L73" s="167"/>
      <c r="M73" s="167"/>
      <c r="N73" s="167"/>
      <c r="O73" s="197"/>
      <c r="P73" s="198"/>
      <c r="Q73" s="199"/>
      <c r="R73" s="198"/>
      <c r="S73" s="198"/>
      <c r="T73" s="198"/>
      <c r="U73" s="198"/>
      <c r="V73" s="198"/>
      <c r="W73" s="198"/>
      <c r="X73" s="166"/>
      <c r="Z73" s="166"/>
      <c r="AB73" s="166"/>
      <c r="AD73" s="166"/>
      <c r="AE73" s="166"/>
      <c r="AF73" s="166"/>
      <c r="AG73" s="166"/>
      <c r="AH73" s="166"/>
      <c r="AI73" s="166"/>
      <c r="AJ73" s="166"/>
      <c r="AK73" s="166"/>
      <c r="AL73" s="166"/>
      <c r="AM73" s="166"/>
      <c r="AN73" s="166"/>
      <c r="AO73" s="166"/>
      <c r="AP73" s="166"/>
      <c r="AQ73" s="166"/>
    </row>
    <row r="74" spans="2:43">
      <c r="B74" s="268" t="s">
        <v>36</v>
      </c>
      <c r="C74" s="165" t="s">
        <v>37</v>
      </c>
      <c r="E74" s="167"/>
      <c r="F74" s="167"/>
      <c r="G74" s="167"/>
      <c r="H74" s="167"/>
      <c r="I74" s="167"/>
      <c r="J74" s="167"/>
      <c r="K74" s="167"/>
      <c r="L74" s="167"/>
      <c r="M74" s="167"/>
      <c r="N74" s="167"/>
      <c r="O74" s="197"/>
      <c r="P74" s="198"/>
      <c r="Q74" s="199"/>
      <c r="R74" s="198"/>
      <c r="S74" s="198"/>
      <c r="T74" s="198"/>
      <c r="U74" s="198"/>
      <c r="V74" s="198"/>
      <c r="W74" s="198"/>
      <c r="X74" s="166">
        <v>236864</v>
      </c>
      <c r="Y74" s="75">
        <v>244576</v>
      </c>
      <c r="Z74" s="166">
        <v>262453</v>
      </c>
      <c r="AA74" s="75">
        <v>311597</v>
      </c>
      <c r="AB74" s="166">
        <v>331447</v>
      </c>
      <c r="AC74" s="75">
        <v>339356.80000000005</v>
      </c>
      <c r="AD74" s="166">
        <v>372441.12</v>
      </c>
      <c r="AE74" s="166">
        <v>402961.92499999999</v>
      </c>
      <c r="AF74" s="166">
        <v>401589.92499999999</v>
      </c>
      <c r="AG74" s="166">
        <v>408645.22699999996</v>
      </c>
      <c r="AH74" s="166">
        <v>433488.804</v>
      </c>
      <c r="AI74" s="166">
        <v>444262.21500000003</v>
      </c>
      <c r="AJ74" s="166">
        <v>459419.33499999996</v>
      </c>
      <c r="AK74" s="166">
        <v>451629.391</v>
      </c>
      <c r="AL74" s="166">
        <v>495290.853</v>
      </c>
      <c r="AM74" s="166">
        <v>520692.03100000002</v>
      </c>
      <c r="AN74" s="166">
        <v>560303.14</v>
      </c>
      <c r="AO74" s="166">
        <v>582754.38599999994</v>
      </c>
      <c r="AP74" s="166">
        <v>613003.29799999995</v>
      </c>
      <c r="AQ74" s="166">
        <v>588342.61</v>
      </c>
    </row>
    <row r="75" spans="2:43">
      <c r="E75" s="167"/>
      <c r="F75" s="167"/>
      <c r="G75" s="167"/>
      <c r="H75" s="167"/>
      <c r="I75" s="167"/>
      <c r="J75" s="167"/>
      <c r="K75" s="167"/>
      <c r="L75" s="167"/>
      <c r="M75" s="167"/>
      <c r="N75" s="167"/>
      <c r="O75" s="197"/>
      <c r="P75" s="198"/>
      <c r="Q75" s="199"/>
      <c r="R75" s="198"/>
      <c r="S75" s="198"/>
      <c r="T75" s="198"/>
      <c r="U75" s="198"/>
      <c r="V75" s="198"/>
      <c r="W75" s="198"/>
      <c r="X75" s="166"/>
      <c r="Z75" s="166"/>
      <c r="AB75" s="166"/>
      <c r="AD75" s="166"/>
      <c r="AE75" s="166"/>
      <c r="AF75" s="166"/>
      <c r="AG75" s="166"/>
      <c r="AH75" s="166"/>
      <c r="AI75" s="166"/>
      <c r="AJ75" s="166"/>
      <c r="AK75" s="166"/>
      <c r="AL75" s="166"/>
      <c r="AM75" s="166"/>
      <c r="AN75" s="166"/>
      <c r="AO75" s="166"/>
      <c r="AP75" s="166"/>
      <c r="AQ75" s="166"/>
    </row>
    <row r="76" spans="2:43">
      <c r="B76" s="268" t="s">
        <v>38</v>
      </c>
      <c r="C76" s="165" t="s">
        <v>39</v>
      </c>
      <c r="E76" s="167"/>
      <c r="F76" s="167"/>
      <c r="G76" s="167"/>
      <c r="H76" s="167"/>
      <c r="I76" s="167"/>
      <c r="J76" s="167"/>
      <c r="K76" s="167"/>
      <c r="L76" s="167"/>
      <c r="M76" s="167"/>
      <c r="N76" s="167"/>
      <c r="O76" s="197"/>
      <c r="P76" s="198"/>
      <c r="Q76" s="199"/>
      <c r="R76" s="198"/>
      <c r="S76" s="198"/>
      <c r="T76" s="198"/>
      <c r="U76" s="198"/>
      <c r="V76" s="198"/>
      <c r="W76" s="198"/>
      <c r="X76" s="166">
        <v>255029</v>
      </c>
      <c r="Y76" s="75">
        <v>265865</v>
      </c>
      <c r="Z76" s="166">
        <v>285108</v>
      </c>
      <c r="AA76" s="75">
        <v>334939</v>
      </c>
      <c r="AB76" s="166">
        <v>356535</v>
      </c>
      <c r="AC76" s="75">
        <v>365598.72700000001</v>
      </c>
      <c r="AD76" s="166">
        <v>399483.84099999996</v>
      </c>
      <c r="AE76" s="166">
        <v>430349.08100000001</v>
      </c>
      <c r="AF76" s="166">
        <v>427505.65599999996</v>
      </c>
      <c r="AG76" s="166">
        <v>434385.54099999997</v>
      </c>
      <c r="AH76" s="166">
        <v>459538.09</v>
      </c>
      <c r="AI76" s="166">
        <v>469630.67800000001</v>
      </c>
      <c r="AJ76" s="166">
        <v>483942.79</v>
      </c>
      <c r="AK76" s="166">
        <v>476795.92000000004</v>
      </c>
      <c r="AL76" s="166">
        <v>520746.95199999999</v>
      </c>
      <c r="AM76" s="166">
        <v>547004.60699999996</v>
      </c>
      <c r="AN76" s="166">
        <v>587544.28600000008</v>
      </c>
      <c r="AO76" s="166">
        <v>610830.02</v>
      </c>
      <c r="AP76" s="166">
        <v>641867.12300000002</v>
      </c>
      <c r="AQ76" s="166">
        <v>616148.64300000004</v>
      </c>
    </row>
    <row r="77" spans="2:43">
      <c r="B77" s="268"/>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E77" s="166"/>
      <c r="AF77" s="166"/>
      <c r="AG77" s="166"/>
      <c r="AH77" s="166"/>
      <c r="AI77" s="166"/>
      <c r="AJ77" s="166"/>
      <c r="AK77" s="166"/>
      <c r="AL77" s="166"/>
      <c r="AM77" s="166"/>
      <c r="AN77" s="166"/>
    </row>
    <row r="78" spans="2:43">
      <c r="B78" s="165" t="s">
        <v>40</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E78" s="166"/>
      <c r="AF78" s="166"/>
      <c r="AG78" s="166"/>
      <c r="AH78" s="166"/>
    </row>
    <row r="79" spans="2:43">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E79" s="166"/>
      <c r="AF79" s="166"/>
      <c r="AG79" s="166"/>
      <c r="AH79" s="166"/>
    </row>
    <row r="80" spans="2:43">
      <c r="B80" s="269"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f>X69/X67</f>
        <v>0.14381019688051533</v>
      </c>
      <c r="Y80" s="171">
        <f t="shared" ref="Y80:AQ80" si="8">Y69/Y67</f>
        <v>0.14047115432930316</v>
      </c>
      <c r="Z80" s="207">
        <f t="shared" si="8"/>
        <v>0.14205682837020203</v>
      </c>
      <c r="AA80" s="171">
        <f t="shared" si="8"/>
        <v>0.16259928207207414</v>
      </c>
      <c r="AB80" s="207">
        <f t="shared" si="8"/>
        <v>0.16664969390172821</v>
      </c>
      <c r="AC80" s="171">
        <f t="shared" si="8"/>
        <v>0.16200250991048035</v>
      </c>
      <c r="AD80" s="207">
        <f t="shared" si="8"/>
        <v>0.16655881916339116</v>
      </c>
      <c r="AE80" s="207">
        <f t="shared" si="8"/>
        <v>0.16836362427856877</v>
      </c>
      <c r="AF80" s="207">
        <f t="shared" si="8"/>
        <v>0.16572254110920756</v>
      </c>
      <c r="AG80" s="207">
        <f t="shared" si="8"/>
        <v>0.165730825572447</v>
      </c>
      <c r="AH80" s="207">
        <f t="shared" si="8"/>
        <v>0.1736961911898269</v>
      </c>
      <c r="AI80" s="207">
        <f t="shared" si="8"/>
        <v>0.17820534346422412</v>
      </c>
      <c r="AJ80" s="207">
        <f t="shared" si="8"/>
        <v>0.18114670027224994</v>
      </c>
      <c r="AK80" s="207">
        <f t="shared" si="8"/>
        <v>0.17353328318946262</v>
      </c>
      <c r="AL80" s="207">
        <f t="shared" si="8"/>
        <v>0.1832124947854698</v>
      </c>
      <c r="AM80" s="207">
        <f t="shared" si="8"/>
        <v>0.18540626409140093</v>
      </c>
      <c r="AN80" s="207">
        <f t="shared" si="8"/>
        <v>0.18913505381416831</v>
      </c>
      <c r="AO80" s="207">
        <f t="shared" si="8"/>
        <v>0.18537209400726612</v>
      </c>
      <c r="AP80" s="207">
        <f t="shared" si="8"/>
        <v>0.18465978949712591</v>
      </c>
      <c r="AQ80" s="207">
        <f t="shared" si="8"/>
        <v>0.1814514058717957</v>
      </c>
    </row>
    <row r="81" spans="2:43">
      <c r="E81" s="167"/>
      <c r="F81" s="167"/>
      <c r="G81" s="167"/>
      <c r="H81" s="167"/>
      <c r="I81" s="167"/>
      <c r="J81" s="167"/>
      <c r="K81" s="167"/>
      <c r="L81" s="167"/>
      <c r="M81" s="167"/>
      <c r="N81" s="167"/>
      <c r="O81" s="197"/>
      <c r="P81" s="198"/>
      <c r="Q81" s="199"/>
      <c r="R81" s="198"/>
      <c r="S81" s="198"/>
      <c r="T81" s="198"/>
      <c r="U81" s="198"/>
      <c r="V81" s="198"/>
      <c r="W81" s="198"/>
      <c r="X81" s="166"/>
      <c r="Z81" s="166"/>
      <c r="AB81" s="166"/>
      <c r="AD81" s="166"/>
      <c r="AE81" s="166"/>
      <c r="AF81" s="208"/>
      <c r="AG81" s="208"/>
      <c r="AH81" s="208"/>
      <c r="AI81" s="208"/>
      <c r="AJ81" s="208"/>
      <c r="AK81" s="208"/>
      <c r="AL81" s="208"/>
      <c r="AM81" s="208"/>
      <c r="AN81" s="208"/>
      <c r="AO81" s="208"/>
      <c r="AP81" s="208"/>
      <c r="AQ81" s="208"/>
    </row>
    <row r="82" spans="2:43">
      <c r="B82" s="268" t="s">
        <v>43</v>
      </c>
      <c r="C82" s="165" t="s">
        <v>44</v>
      </c>
      <c r="E82" s="167"/>
      <c r="F82" s="167"/>
      <c r="G82" s="167"/>
      <c r="H82" s="167"/>
      <c r="I82" s="167"/>
      <c r="J82" s="167"/>
      <c r="K82" s="167"/>
      <c r="L82" s="167"/>
      <c r="M82" s="167"/>
      <c r="N82" s="167"/>
      <c r="O82" s="197"/>
      <c r="P82" s="198"/>
      <c r="Q82" s="199"/>
      <c r="R82" s="198"/>
      <c r="S82" s="198"/>
      <c r="T82" s="198"/>
      <c r="U82" s="198"/>
      <c r="V82" s="198"/>
      <c r="W82" s="198"/>
      <c r="X82" s="208">
        <f>X76/X67</f>
        <v>0.1617910709097207</v>
      </c>
      <c r="Y82" s="75">
        <f t="shared" ref="Y82:AQ82" si="9">Y76/Y67</f>
        <v>0.1590364198874934</v>
      </c>
      <c r="Z82" s="208">
        <f t="shared" si="9"/>
        <v>0.16076823746341792</v>
      </c>
      <c r="AA82" s="75">
        <f t="shared" si="9"/>
        <v>0.17915516432590356</v>
      </c>
      <c r="AB82" s="208">
        <f t="shared" si="9"/>
        <v>0.18245381147744422</v>
      </c>
      <c r="AC82" s="75">
        <f t="shared" si="9"/>
        <v>0.17752371377406242</v>
      </c>
      <c r="AD82" s="208">
        <f t="shared" si="9"/>
        <v>0.18190570255324884</v>
      </c>
      <c r="AE82" s="208">
        <f t="shared" si="9"/>
        <v>0.18277563929138879</v>
      </c>
      <c r="AF82" s="208">
        <f t="shared" si="9"/>
        <v>0.1789837941215382</v>
      </c>
      <c r="AG82" s="208">
        <f t="shared" si="9"/>
        <v>0.17914534474666832</v>
      </c>
      <c r="AH82" s="208">
        <f t="shared" si="9"/>
        <v>0.18724320978750575</v>
      </c>
      <c r="AI82" s="208">
        <f t="shared" si="9"/>
        <v>0.19114703440259057</v>
      </c>
      <c r="AJ82" s="208">
        <f t="shared" si="9"/>
        <v>0.19327182382708274</v>
      </c>
      <c r="AK82" s="208">
        <f t="shared" si="9"/>
        <v>0.18620243752323648</v>
      </c>
      <c r="AL82" s="208">
        <f t="shared" si="9"/>
        <v>0.19588463145825913</v>
      </c>
      <c r="AM82" s="208">
        <f t="shared" si="9"/>
        <v>0.19795983910017695</v>
      </c>
      <c r="AN82" s="208">
        <f t="shared" si="9"/>
        <v>0.2014411767529376</v>
      </c>
      <c r="AO82" s="208">
        <f t="shared" si="9"/>
        <v>0.19729549847287611</v>
      </c>
      <c r="AP82" s="208">
        <f t="shared" si="9"/>
        <v>0.19634794399193156</v>
      </c>
      <c r="AQ82" s="208">
        <f t="shared" si="9"/>
        <v>0.19278598752700232</v>
      </c>
    </row>
    <row r="83" spans="2:43">
      <c r="E83" s="167"/>
      <c r="F83" s="167"/>
      <c r="G83" s="167"/>
      <c r="H83" s="167"/>
      <c r="I83" s="167"/>
      <c r="J83" s="167"/>
      <c r="K83" s="167"/>
      <c r="L83" s="167"/>
      <c r="M83" s="167"/>
      <c r="N83" s="167"/>
      <c r="O83" s="197"/>
      <c r="P83" s="198"/>
      <c r="Q83" s="199"/>
      <c r="R83" s="198"/>
      <c r="S83" s="198"/>
      <c r="T83" s="198"/>
      <c r="U83" s="198"/>
      <c r="V83" s="198"/>
      <c r="W83" s="198"/>
      <c r="X83" s="166"/>
      <c r="Z83" s="166"/>
      <c r="AB83" s="166"/>
      <c r="AD83" s="166"/>
      <c r="AE83" s="166"/>
      <c r="AF83" s="208"/>
      <c r="AG83" s="208"/>
      <c r="AH83" s="208"/>
      <c r="AI83" s="208"/>
      <c r="AJ83" s="208"/>
      <c r="AK83" s="208"/>
      <c r="AL83" s="208"/>
      <c r="AM83" s="208"/>
      <c r="AN83" s="208"/>
      <c r="AO83" s="208"/>
      <c r="AP83" s="208"/>
      <c r="AQ83" s="208"/>
    </row>
    <row r="84" spans="2:43">
      <c r="B84" s="268" t="s">
        <v>45</v>
      </c>
      <c r="C84" s="165" t="s">
        <v>46</v>
      </c>
      <c r="E84" s="167"/>
      <c r="F84" s="167"/>
      <c r="G84" s="167"/>
      <c r="H84" s="167"/>
      <c r="I84" s="167"/>
      <c r="J84" s="167"/>
      <c r="K84" s="167"/>
      <c r="L84" s="167"/>
      <c r="M84" s="167"/>
      <c r="N84" s="167"/>
      <c r="O84" s="197"/>
      <c r="P84" s="198"/>
      <c r="Q84" s="199"/>
      <c r="R84" s="198"/>
      <c r="S84" s="198"/>
      <c r="T84" s="198"/>
      <c r="U84" s="198"/>
      <c r="V84" s="198"/>
      <c r="W84" s="198"/>
      <c r="X84" s="208">
        <f>X76/X65</f>
        <v>0.19894190542831222</v>
      </c>
      <c r="Y84" s="75">
        <f t="shared" ref="Y84:AQ84" si="10">Y76/Y65</f>
        <v>0.19858040017089573</v>
      </c>
      <c r="Z84" s="208">
        <f t="shared" si="10"/>
        <v>0.20234374334647715</v>
      </c>
      <c r="AA84" s="75">
        <f t="shared" si="10"/>
        <v>0.22336578173255378</v>
      </c>
      <c r="AB84" s="208">
        <f t="shared" si="10"/>
        <v>0.22700112247879992</v>
      </c>
      <c r="AC84" s="75">
        <f t="shared" si="10"/>
        <v>0.22046570950285294</v>
      </c>
      <c r="AD84" s="550">
        <f t="shared" si="10"/>
        <v>0.22470975887301947</v>
      </c>
      <c r="AE84" s="550">
        <f t="shared" si="10"/>
        <v>0.22467550595820771</v>
      </c>
      <c r="AF84" s="550">
        <f t="shared" si="10"/>
        <v>0.22229449392923067</v>
      </c>
      <c r="AG84" s="550">
        <f t="shared" si="10"/>
        <v>0.22179773507564043</v>
      </c>
      <c r="AH84" s="550">
        <f t="shared" si="10"/>
        <v>0.22977605316962169</v>
      </c>
      <c r="AI84" s="208">
        <f t="shared" si="10"/>
        <v>0.23238609099775498</v>
      </c>
      <c r="AJ84" s="208">
        <f t="shared" si="10"/>
        <v>0.23565995021338512</v>
      </c>
      <c r="AK84" s="208">
        <f t="shared" si="10"/>
        <v>0.22704027046975073</v>
      </c>
      <c r="AL84" s="208">
        <f t="shared" si="10"/>
        <v>0.23873129082982245</v>
      </c>
      <c r="AM84" s="208">
        <f t="shared" si="10"/>
        <v>0.24064849030639088</v>
      </c>
      <c r="AN84" s="208">
        <f t="shared" si="10"/>
        <v>0.24280104171358749</v>
      </c>
      <c r="AO84" s="208">
        <f t="shared" si="10"/>
        <v>0.23787095706422162</v>
      </c>
      <c r="AP84" s="208">
        <f t="shared" si="10"/>
        <v>0.23673410547249296</v>
      </c>
      <c r="AQ84" s="208">
        <f t="shared" si="10"/>
        <v>0.23718239969142932</v>
      </c>
    </row>
    <row r="85" spans="2:43">
      <c r="B85" s="172"/>
      <c r="C85" s="172"/>
      <c r="D85" s="172"/>
      <c r="E85" s="192"/>
      <c r="F85" s="192"/>
      <c r="G85" s="192"/>
      <c r="H85" s="192"/>
      <c r="I85" s="192"/>
      <c r="J85" s="192"/>
      <c r="K85" s="192"/>
      <c r="L85" s="192"/>
      <c r="M85" s="192"/>
      <c r="N85" s="192"/>
      <c r="O85" s="193"/>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c r="E86" s="167"/>
      <c r="F86" s="167"/>
      <c r="G86" s="167"/>
      <c r="H86" s="167"/>
      <c r="I86" s="167"/>
      <c r="J86" s="167"/>
      <c r="K86" s="167"/>
      <c r="L86" s="167"/>
      <c r="M86" s="167"/>
      <c r="N86" s="167"/>
      <c r="O86" s="197"/>
      <c r="P86" s="198"/>
      <c r="Q86" s="199"/>
      <c r="R86" s="198"/>
      <c r="S86" s="198"/>
      <c r="T86" s="198"/>
      <c r="U86" s="198"/>
      <c r="V86" s="198"/>
      <c r="W86" s="198"/>
      <c r="AG86" s="166"/>
    </row>
    <row r="87" spans="2:43" ht="15">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551"/>
      <c r="AF87" s="551"/>
      <c r="AG87" s="166"/>
    </row>
    <row r="88" spans="2:43" ht="15">
      <c r="B88" s="593"/>
      <c r="C88" s="594"/>
      <c r="D88" s="594"/>
      <c r="E88" s="594"/>
      <c r="F88" s="594"/>
      <c r="G88" s="594"/>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51"/>
      <c r="AF88" s="551"/>
      <c r="AG88" s="166"/>
    </row>
    <row r="89" spans="2:43" ht="15" hidden="1">
      <c r="B89" s="593"/>
      <c r="C89" s="594"/>
      <c r="D89" s="594"/>
      <c r="E89" s="594"/>
      <c r="F89" s="594"/>
      <c r="G89" s="594"/>
      <c r="H89" s="594"/>
      <c r="I89" s="594"/>
      <c r="J89" s="594"/>
      <c r="K89" s="594"/>
      <c r="L89" s="594"/>
      <c r="M89" s="594"/>
      <c r="N89" s="594"/>
      <c r="O89" s="594"/>
      <c r="P89" s="594"/>
      <c r="Q89" s="594"/>
      <c r="R89" s="594"/>
      <c r="S89" s="594"/>
      <c r="T89" s="594"/>
      <c r="U89" s="594"/>
      <c r="V89" s="594"/>
      <c r="W89" s="594"/>
      <c r="X89" s="594"/>
      <c r="Y89" s="594"/>
      <c r="Z89" s="594"/>
      <c r="AA89" s="594"/>
      <c r="AB89" s="594"/>
      <c r="AC89" s="594"/>
      <c r="AD89" s="594"/>
      <c r="AE89" s="551"/>
      <c r="AF89" s="551"/>
      <c r="AG89" s="166"/>
    </row>
    <row r="90" spans="2:43" ht="15" hidden="1">
      <c r="B90" s="593"/>
      <c r="C90" s="594"/>
      <c r="D90" s="594"/>
      <c r="E90" s="594"/>
      <c r="F90" s="594"/>
      <c r="G90" s="594"/>
      <c r="H90" s="594"/>
      <c r="I90" s="594"/>
      <c r="J90" s="594"/>
      <c r="K90" s="594"/>
      <c r="L90" s="594"/>
      <c r="M90" s="594"/>
      <c r="N90" s="594"/>
      <c r="O90" s="594"/>
      <c r="P90" s="594"/>
      <c r="Q90" s="594"/>
      <c r="R90" s="594"/>
      <c r="S90" s="594"/>
      <c r="T90" s="594"/>
      <c r="U90" s="594"/>
      <c r="V90" s="594"/>
      <c r="W90" s="594"/>
      <c r="X90" s="594"/>
      <c r="Y90" s="594"/>
      <c r="Z90" s="594"/>
      <c r="AA90" s="594"/>
      <c r="AB90" s="594"/>
      <c r="AC90" s="594"/>
      <c r="AD90" s="594"/>
      <c r="AE90" s="551"/>
      <c r="AF90" s="551"/>
      <c r="AG90" s="166"/>
    </row>
    <row r="91" spans="2:43" ht="15" hidden="1">
      <c r="B91" s="593"/>
      <c r="C91" s="594"/>
      <c r="D91" s="594"/>
      <c r="E91" s="594"/>
      <c r="F91" s="594"/>
      <c r="G91" s="594"/>
      <c r="H91" s="594"/>
      <c r="I91" s="594"/>
      <c r="J91" s="594"/>
      <c r="K91" s="594"/>
      <c r="L91" s="594"/>
      <c r="M91" s="594"/>
      <c r="N91" s="594"/>
      <c r="O91" s="594"/>
      <c r="P91" s="594"/>
      <c r="Q91" s="594"/>
      <c r="R91" s="594"/>
      <c r="S91" s="594"/>
      <c r="T91" s="594"/>
      <c r="U91" s="594"/>
      <c r="V91" s="594"/>
      <c r="W91" s="594"/>
      <c r="X91" s="594"/>
      <c r="Y91" s="594"/>
      <c r="Z91" s="594"/>
      <c r="AA91" s="594"/>
      <c r="AB91" s="594"/>
      <c r="AC91" s="594"/>
      <c r="AD91" s="594"/>
      <c r="AE91" s="551"/>
      <c r="AF91" s="551"/>
      <c r="AG91" s="166"/>
    </row>
    <row r="92" spans="2:43" ht="15" hidden="1">
      <c r="B92" s="593"/>
      <c r="C92" s="594"/>
      <c r="D92" s="594"/>
      <c r="E92" s="594"/>
      <c r="F92" s="594"/>
      <c r="G92" s="594"/>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51"/>
      <c r="AF92" s="551"/>
      <c r="AG92" s="166"/>
    </row>
    <row r="93" spans="2:43" hidden="1">
      <c r="X93" s="166"/>
      <c r="Y93" s="166"/>
      <c r="Z93" s="166"/>
      <c r="AA93" s="166"/>
      <c r="AB93" s="166"/>
      <c r="AC93" s="166"/>
      <c r="AD93" s="166"/>
      <c r="AE93" s="166"/>
      <c r="AF93" s="166"/>
      <c r="AG93" s="166"/>
    </row>
    <row r="94" spans="2:43">
      <c r="X94" s="166"/>
      <c r="Y94" s="166"/>
      <c r="Z94" s="166"/>
      <c r="AA94" s="166"/>
      <c r="AB94" s="166"/>
      <c r="AC94" s="166"/>
      <c r="AD94" s="166"/>
      <c r="AE94" s="166"/>
      <c r="AF94" s="166"/>
      <c r="AG94" s="166"/>
    </row>
    <row r="95" spans="2:43">
      <c r="B95" s="170" t="s">
        <v>1471</v>
      </c>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66"/>
    </row>
    <row r="96" spans="2:43">
      <c r="B96" s="192"/>
      <c r="C96" s="192"/>
      <c r="D96" s="192"/>
      <c r="E96" s="192"/>
      <c r="F96" s="192"/>
      <c r="G96" s="192"/>
      <c r="H96" s="192"/>
      <c r="I96" s="192"/>
      <c r="J96" s="192"/>
      <c r="K96" s="192"/>
      <c r="L96" s="192"/>
      <c r="M96" s="192"/>
      <c r="N96" s="192"/>
      <c r="O96" s="193"/>
      <c r="P96" s="194"/>
      <c r="Q96" s="194"/>
      <c r="R96" s="194"/>
      <c r="S96" s="194"/>
      <c r="T96" s="194"/>
      <c r="U96" s="194"/>
      <c r="V96" s="194"/>
      <c r="W96" s="194"/>
      <c r="X96" s="195"/>
      <c r="Y96" s="195"/>
      <c r="Z96" s="195"/>
      <c r="AA96" s="195"/>
      <c r="AB96" s="195"/>
      <c r="AC96" s="195"/>
      <c r="AD96" s="196"/>
      <c r="AE96" s="196"/>
      <c r="AF96" s="196"/>
      <c r="AG96" s="166"/>
    </row>
    <row r="97" spans="2:43">
      <c r="B97" s="209"/>
      <c r="C97" s="209"/>
      <c r="D97" s="209"/>
      <c r="E97" s="209"/>
      <c r="F97" s="209"/>
      <c r="G97" s="209"/>
      <c r="H97" s="209"/>
      <c r="I97" s="209"/>
      <c r="J97" s="209"/>
      <c r="K97" s="209"/>
      <c r="L97" s="209"/>
      <c r="M97" s="209"/>
      <c r="N97" s="209"/>
      <c r="O97" s="210"/>
      <c r="P97" s="198"/>
      <c r="Q97" s="198"/>
      <c r="R97" s="198"/>
      <c r="S97" s="198"/>
      <c r="T97" s="198"/>
      <c r="U97" s="198"/>
      <c r="V97" s="198"/>
      <c r="W97" s="198"/>
      <c r="X97" s="585">
        <v>2001</v>
      </c>
      <c r="Y97" s="586"/>
      <c r="Z97" s="585">
        <v>2003</v>
      </c>
      <c r="AA97" s="586"/>
      <c r="AB97" s="585">
        <v>2005</v>
      </c>
      <c r="AC97" s="586"/>
      <c r="AD97" s="585">
        <v>2007</v>
      </c>
      <c r="AE97" s="587"/>
      <c r="AF97" s="211">
        <v>2009</v>
      </c>
      <c r="AG97" s="202">
        <v>2010</v>
      </c>
      <c r="AH97" s="202">
        <v>2011</v>
      </c>
      <c r="AI97" s="202">
        <v>2012</v>
      </c>
      <c r="AJ97" s="202">
        <v>2013</v>
      </c>
      <c r="AK97" s="202">
        <v>2014</v>
      </c>
      <c r="AL97" s="202">
        <v>2015</v>
      </c>
      <c r="AM97" s="202">
        <v>2016</v>
      </c>
      <c r="AN97" s="202">
        <v>2017</v>
      </c>
      <c r="AO97" s="202">
        <v>2018</v>
      </c>
      <c r="AP97" s="202">
        <v>2019</v>
      </c>
      <c r="AQ97" s="202">
        <v>2020</v>
      </c>
    </row>
    <row r="98" spans="2:43">
      <c r="R98" s="261"/>
      <c r="S98" s="261"/>
      <c r="T98" s="261"/>
      <c r="U98" s="261"/>
      <c r="V98" s="261"/>
      <c r="W98" s="261"/>
      <c r="X98" s="588"/>
      <c r="Y98" s="588"/>
      <c r="Z98" s="588"/>
      <c r="AA98" s="588"/>
      <c r="AB98" s="588"/>
      <c r="AC98" s="588"/>
      <c r="AD98" s="588"/>
      <c r="AE98" s="588"/>
      <c r="AF98" s="244"/>
      <c r="AG98" s="166"/>
    </row>
    <row r="99" spans="2:43">
      <c r="B99" s="217" t="s">
        <v>49</v>
      </c>
      <c r="X99" s="273">
        <f>SUM(X102,X109:X113)</f>
        <v>896</v>
      </c>
      <c r="Y99" s="273"/>
      <c r="Z99" s="273">
        <f t="shared" ref="Z99:AQ99" si="11">SUM(Z102,Z109:Z113)</f>
        <v>1034</v>
      </c>
      <c r="AA99" s="273"/>
      <c r="AB99" s="273">
        <f t="shared" si="11"/>
        <v>1204.0327272727272</v>
      </c>
      <c r="AC99" s="273"/>
      <c r="AD99" s="273">
        <f t="shared" si="11"/>
        <v>1849.3925289256199</v>
      </c>
      <c r="AE99" s="273"/>
      <c r="AF99" s="273">
        <f t="shared" si="11"/>
        <v>2056.8384673178061</v>
      </c>
      <c r="AG99" s="273">
        <f t="shared" si="11"/>
        <v>811.5</v>
      </c>
      <c r="AH99" s="273">
        <f t="shared" si="11"/>
        <v>788.25</v>
      </c>
      <c r="AI99" s="273">
        <f t="shared" si="11"/>
        <v>793</v>
      </c>
      <c r="AJ99" s="273">
        <f t="shared" si="11"/>
        <v>875</v>
      </c>
      <c r="AK99" s="273">
        <f t="shared" si="11"/>
        <v>906</v>
      </c>
      <c r="AL99" s="273">
        <f>SUM(AL102,AL109:AL113)</f>
        <v>918</v>
      </c>
      <c r="AM99" s="273">
        <f>SUM(AM102,AM109:AM113)</f>
        <v>2569.35</v>
      </c>
      <c r="AN99" s="273">
        <f>SUM(AN102,AN109:AN113)</f>
        <v>2945.5</v>
      </c>
      <c r="AO99" s="273">
        <f>SUM(AO102,AO109:AO113)</f>
        <v>3184</v>
      </c>
      <c r="AP99" s="273">
        <f>SUM(AP102,AP109:AP113)</f>
        <v>2572.5531212721526</v>
      </c>
      <c r="AQ99" s="273">
        <f t="shared" si="11"/>
        <v>2490.8130988192338</v>
      </c>
    </row>
    <row r="100" spans="2:43">
      <c r="B100" s="165" t="s">
        <v>1472</v>
      </c>
      <c r="X100" s="583"/>
      <c r="Y100" s="583"/>
      <c r="Z100" s="583"/>
      <c r="AA100" s="583"/>
      <c r="AB100" s="583"/>
      <c r="AC100" s="583"/>
      <c r="AD100" s="583"/>
      <c r="AE100" s="583"/>
      <c r="AF100" s="166"/>
      <c r="AG100" s="166"/>
      <c r="AH100" s="166"/>
      <c r="AI100" s="166"/>
      <c r="AJ100" s="166"/>
      <c r="AK100" s="166"/>
      <c r="AL100" s="166"/>
      <c r="AM100" s="166"/>
    </row>
    <row r="101" spans="2:43">
      <c r="B101" s="165" t="s">
        <v>1473</v>
      </c>
      <c r="X101" s="583"/>
      <c r="Y101" s="583"/>
      <c r="Z101" s="583"/>
      <c r="AA101" s="583"/>
      <c r="AB101" s="583"/>
      <c r="AC101" s="583"/>
      <c r="AD101" s="583"/>
      <c r="AE101" s="583"/>
      <c r="AF101" s="166"/>
      <c r="AG101" s="166"/>
      <c r="AH101" s="166"/>
      <c r="AI101" s="166"/>
      <c r="AJ101" s="166"/>
      <c r="AK101" s="166"/>
      <c r="AL101" s="166"/>
      <c r="AM101" s="166"/>
    </row>
    <row r="102" spans="2:43" ht="41.25" customHeight="1">
      <c r="B102" s="1949" t="s">
        <v>1474</v>
      </c>
      <c r="C102" s="1949"/>
      <c r="D102" s="552"/>
      <c r="E102" s="552"/>
      <c r="F102" s="552"/>
      <c r="G102" s="552"/>
      <c r="H102" s="552"/>
      <c r="I102" s="552"/>
      <c r="J102" s="552"/>
      <c r="K102" s="552"/>
      <c r="L102" s="552"/>
      <c r="M102" s="552"/>
      <c r="N102" s="552"/>
      <c r="O102" s="552"/>
      <c r="P102" s="552"/>
      <c r="Q102" s="552"/>
      <c r="R102" s="552"/>
      <c r="S102" s="552"/>
      <c r="T102" s="552"/>
      <c r="U102" s="552"/>
      <c r="V102" s="552"/>
      <c r="W102" s="552"/>
      <c r="X102" s="590">
        <v>528</v>
      </c>
      <c r="Y102" s="590"/>
      <c r="Z102" s="590">
        <v>648</v>
      </c>
      <c r="AA102" s="590"/>
      <c r="AB102" s="580">
        <f>Z102*Z102/X102</f>
        <v>795.27272727272725</v>
      </c>
      <c r="AC102" s="590"/>
      <c r="AD102" s="580">
        <f>AB102*AB102/Z102</f>
        <v>976.01652892561981</v>
      </c>
      <c r="AE102" s="580"/>
      <c r="AF102" s="812">
        <f>AD102*AD102/AB102</f>
        <v>1197.8384673178061</v>
      </c>
      <c r="AG102" s="812" t="s">
        <v>300</v>
      </c>
      <c r="AH102" s="812" t="s">
        <v>300</v>
      </c>
      <c r="AI102" s="812" t="s">
        <v>300</v>
      </c>
      <c r="AJ102" s="812" t="s">
        <v>300</v>
      </c>
      <c r="AK102" s="812" t="s">
        <v>300</v>
      </c>
      <c r="AL102" s="812" t="s">
        <v>300</v>
      </c>
      <c r="AM102" s="812" t="s">
        <v>300</v>
      </c>
      <c r="AN102" s="812" t="s">
        <v>300</v>
      </c>
      <c r="AO102" s="812" t="s">
        <v>300</v>
      </c>
      <c r="AP102" s="812" t="s">
        <v>300</v>
      </c>
      <c r="AQ102" s="812" t="s">
        <v>300</v>
      </c>
    </row>
    <row r="103" spans="2:43" ht="28.5" customHeight="1">
      <c r="B103" s="165" t="s">
        <v>1475</v>
      </c>
      <c r="X103" s="583"/>
      <c r="Y103" s="583"/>
      <c r="Z103" s="583"/>
      <c r="AA103" s="583"/>
      <c r="AB103" s="583"/>
      <c r="AC103" s="583"/>
      <c r="AD103" s="583"/>
      <c r="AE103" s="583"/>
      <c r="AF103" s="231"/>
      <c r="AG103" s="166"/>
      <c r="AH103" s="166"/>
      <c r="AI103" s="166"/>
      <c r="AJ103" s="166"/>
      <c r="AK103" s="166"/>
      <c r="AL103" s="166"/>
      <c r="AM103" s="166"/>
    </row>
    <row r="104" spans="2:43">
      <c r="X104" s="583"/>
      <c r="Y104" s="583"/>
      <c r="Z104" s="583"/>
      <c r="AA104" s="583"/>
      <c r="AB104" s="583"/>
      <c r="AC104" s="583"/>
      <c r="AD104" s="583"/>
      <c r="AE104" s="583"/>
      <c r="AF104" s="231"/>
      <c r="AG104" s="166"/>
      <c r="AH104" s="166"/>
      <c r="AI104" s="166"/>
      <c r="AJ104" s="166"/>
      <c r="AK104" s="166"/>
      <c r="AL104" s="166"/>
      <c r="AM104" s="166"/>
    </row>
    <row r="105" spans="2:43">
      <c r="B105" s="206" t="s">
        <v>54</v>
      </c>
      <c r="X105" s="583"/>
      <c r="Y105" s="583"/>
      <c r="Z105" s="583"/>
      <c r="AA105" s="583"/>
      <c r="AB105" s="583"/>
      <c r="AC105" s="583"/>
      <c r="AD105" s="583"/>
      <c r="AE105" s="583"/>
      <c r="AF105" s="231"/>
      <c r="AG105" s="166"/>
      <c r="AH105" s="166"/>
      <c r="AI105" s="166"/>
      <c r="AJ105" s="166"/>
      <c r="AK105" s="166"/>
      <c r="AL105" s="166"/>
      <c r="AM105" s="166"/>
    </row>
    <row r="106" spans="2:43">
      <c r="B106" s="165" t="s">
        <v>1904</v>
      </c>
      <c r="X106" s="583"/>
      <c r="Y106" s="583"/>
      <c r="Z106" s="583"/>
      <c r="AA106" s="583"/>
      <c r="AB106" s="583"/>
      <c r="AC106" s="583"/>
      <c r="AD106" s="583"/>
      <c r="AE106" s="583"/>
      <c r="AF106" s="231"/>
      <c r="AG106" s="166"/>
      <c r="AH106" s="166"/>
      <c r="AI106" s="166"/>
      <c r="AJ106" s="166"/>
      <c r="AK106" s="166"/>
      <c r="AL106" s="166"/>
      <c r="AM106" s="166"/>
    </row>
    <row r="107" spans="2:43">
      <c r="B107" s="165" t="s">
        <v>1476</v>
      </c>
      <c r="X107" s="821">
        <v>10000</v>
      </c>
      <c r="Y107" s="821"/>
      <c r="Z107" s="821">
        <v>10500</v>
      </c>
      <c r="AA107" s="821"/>
      <c r="AB107" s="1950">
        <v>13484</v>
      </c>
      <c r="AC107" s="821"/>
      <c r="AD107" s="1951">
        <v>16683</v>
      </c>
      <c r="AE107" s="822"/>
      <c r="AF107" s="823">
        <v>28434</v>
      </c>
      <c r="AG107" s="823">
        <v>32043</v>
      </c>
      <c r="AH107" s="823">
        <v>33051</v>
      </c>
      <c r="AI107" s="823">
        <v>37944</v>
      </c>
      <c r="AJ107" s="823">
        <v>37845</v>
      </c>
      <c r="AK107" s="823">
        <v>36927</v>
      </c>
      <c r="AL107" s="823">
        <v>40149</v>
      </c>
      <c r="AM107" s="823">
        <v>42498</v>
      </c>
      <c r="AN107" s="823">
        <v>48045</v>
      </c>
      <c r="AO107" s="823">
        <v>52785</v>
      </c>
      <c r="AP107" s="274">
        <v>39854.35283796001</v>
      </c>
      <c r="AQ107" s="274">
        <v>38912.701516280002</v>
      </c>
    </row>
    <row r="108" spans="2:43">
      <c r="B108" s="165" t="s">
        <v>1477</v>
      </c>
      <c r="X108" s="821">
        <v>188</v>
      </c>
      <c r="Y108" s="821"/>
      <c r="Z108" s="821">
        <v>197</v>
      </c>
      <c r="AA108" s="821"/>
      <c r="AB108" s="1950"/>
      <c r="AC108" s="821"/>
      <c r="AD108" s="1951"/>
      <c r="AE108" s="822"/>
      <c r="AF108" s="823"/>
      <c r="AG108" s="823"/>
      <c r="AH108" s="823"/>
      <c r="AI108" s="823"/>
      <c r="AJ108" s="823"/>
      <c r="AK108" s="823"/>
      <c r="AL108" s="823"/>
      <c r="AM108" s="823"/>
      <c r="AN108" s="824"/>
      <c r="AO108" s="824"/>
      <c r="AP108" s="824"/>
      <c r="AQ108" s="824"/>
    </row>
    <row r="109" spans="2:43" ht="17.25" customHeight="1">
      <c r="B109" s="165" t="s">
        <v>1905</v>
      </c>
      <c r="X109" s="583"/>
      <c r="Y109" s="583"/>
      <c r="Z109" s="583"/>
      <c r="AA109" s="583"/>
      <c r="AB109" s="591"/>
      <c r="AC109" s="583"/>
      <c r="AD109" s="581"/>
      <c r="AE109" s="581"/>
      <c r="AF109" s="581"/>
      <c r="AG109" s="583"/>
      <c r="AH109" s="583"/>
      <c r="AI109" s="583"/>
      <c r="AJ109" s="583"/>
      <c r="AK109" s="583"/>
      <c r="AL109" s="583"/>
      <c r="AM109" s="583">
        <v>1575</v>
      </c>
      <c r="AN109" s="583">
        <v>1704</v>
      </c>
      <c r="AO109" s="583">
        <v>1869</v>
      </c>
      <c r="AP109" s="583">
        <v>1602.8738236569002</v>
      </c>
      <c r="AQ109" s="583">
        <v>1400</v>
      </c>
    </row>
    <row r="110" spans="2:43">
      <c r="B110" s="206" t="s">
        <v>56</v>
      </c>
      <c r="X110" s="583"/>
      <c r="Y110" s="583"/>
      <c r="Z110" s="583"/>
      <c r="AA110" s="583"/>
      <c r="AB110" s="591"/>
      <c r="AC110" s="583"/>
      <c r="AD110" s="581"/>
      <c r="AE110" s="581"/>
      <c r="AF110" s="813"/>
      <c r="AG110" s="166"/>
      <c r="AH110" s="166"/>
      <c r="AI110" s="166"/>
      <c r="AJ110" s="166"/>
      <c r="AK110" s="166"/>
      <c r="AL110" s="166"/>
      <c r="AM110" s="166"/>
    </row>
    <row r="111" spans="2:43" ht="33.75" customHeight="1">
      <c r="B111" s="1949" t="s">
        <v>1478</v>
      </c>
      <c r="C111" s="1949"/>
      <c r="X111" s="590">
        <v>8</v>
      </c>
      <c r="Y111" s="590"/>
      <c r="Z111" s="590">
        <v>8</v>
      </c>
      <c r="AA111" s="590"/>
      <c r="AB111" s="590">
        <v>9</v>
      </c>
      <c r="AC111" s="590"/>
      <c r="AD111" s="582">
        <v>2.3759999999999999</v>
      </c>
      <c r="AE111" s="582"/>
      <c r="AF111" s="814">
        <v>33</v>
      </c>
      <c r="AG111" s="814">
        <v>33</v>
      </c>
      <c r="AH111" s="814">
        <v>33</v>
      </c>
      <c r="AI111" s="814">
        <v>27</v>
      </c>
      <c r="AJ111" s="814">
        <v>27</v>
      </c>
      <c r="AK111" s="814">
        <v>24</v>
      </c>
      <c r="AL111" s="814">
        <v>18</v>
      </c>
      <c r="AM111" s="814">
        <v>15</v>
      </c>
      <c r="AN111" s="814">
        <v>12</v>
      </c>
      <c r="AO111" s="814">
        <v>12</v>
      </c>
      <c r="AP111" s="820">
        <v>9.4985115475964506</v>
      </c>
      <c r="AQ111" s="820">
        <v>9.9639230167996153</v>
      </c>
    </row>
    <row r="112" spans="2:43" ht="27" customHeight="1">
      <c r="B112" s="165" t="s">
        <v>1479</v>
      </c>
      <c r="X112" s="583">
        <v>60</v>
      </c>
      <c r="Y112" s="583"/>
      <c r="Z112" s="583">
        <v>63</v>
      </c>
      <c r="AA112" s="583"/>
      <c r="AB112" s="583">
        <v>65.760000000000005</v>
      </c>
      <c r="AC112" s="583"/>
      <c r="AD112" s="584">
        <v>34</v>
      </c>
      <c r="AE112" s="584"/>
      <c r="AF112" s="231">
        <v>34</v>
      </c>
      <c r="AG112" s="231">
        <v>99</v>
      </c>
      <c r="AH112" s="231">
        <v>96</v>
      </c>
      <c r="AI112" s="231">
        <v>90</v>
      </c>
      <c r="AJ112" s="231">
        <v>111</v>
      </c>
      <c r="AK112" s="231">
        <v>99</v>
      </c>
      <c r="AL112" s="231">
        <v>99</v>
      </c>
      <c r="AM112" s="231">
        <v>96</v>
      </c>
      <c r="AN112" s="75">
        <v>99</v>
      </c>
      <c r="AO112" s="75">
        <v>102</v>
      </c>
      <c r="AP112" s="820">
        <v>80.737348154569787</v>
      </c>
      <c r="AQ112" s="820">
        <v>78.868837969463172</v>
      </c>
    </row>
    <row r="113" spans="2:43" ht="37.5" customHeight="1">
      <c r="B113" s="1954" t="s">
        <v>1480</v>
      </c>
      <c r="C113" s="1954"/>
      <c r="D113" s="553"/>
      <c r="E113" s="553"/>
      <c r="F113" s="553"/>
      <c r="G113" s="553"/>
      <c r="H113" s="553"/>
      <c r="I113" s="553"/>
      <c r="J113" s="553"/>
      <c r="K113" s="553"/>
      <c r="L113" s="553"/>
      <c r="M113" s="553"/>
      <c r="N113" s="553"/>
      <c r="O113" s="553"/>
      <c r="P113" s="553"/>
      <c r="Q113" s="553"/>
      <c r="R113" s="553"/>
      <c r="S113" s="553"/>
      <c r="T113" s="553"/>
      <c r="U113" s="553"/>
      <c r="V113" s="553"/>
      <c r="W113" s="553"/>
      <c r="X113" s="590">
        <v>300</v>
      </c>
      <c r="Y113" s="590"/>
      <c r="Z113" s="590">
        <v>315</v>
      </c>
      <c r="AA113" s="590"/>
      <c r="AB113" s="590">
        <v>334</v>
      </c>
      <c r="AC113" s="590"/>
      <c r="AD113" s="582">
        <v>837</v>
      </c>
      <c r="AE113" s="582"/>
      <c r="AF113" s="814">
        <v>792</v>
      </c>
      <c r="AG113" s="814">
        <v>679.5</v>
      </c>
      <c r="AH113" s="814">
        <v>659.25</v>
      </c>
      <c r="AI113" s="814">
        <v>676</v>
      </c>
      <c r="AJ113" s="814">
        <v>737</v>
      </c>
      <c r="AK113" s="814">
        <v>783</v>
      </c>
      <c r="AL113" s="814">
        <v>801</v>
      </c>
      <c r="AM113" s="814">
        <v>883.35</v>
      </c>
      <c r="AN113" s="814">
        <v>1130.5</v>
      </c>
      <c r="AO113" s="814">
        <v>1201</v>
      </c>
      <c r="AP113" s="820">
        <v>879.44343791308586</v>
      </c>
      <c r="AQ113" s="820">
        <v>1001.9803378329713</v>
      </c>
    </row>
    <row r="114" spans="2:43">
      <c r="X114" s="583"/>
      <c r="Y114" s="583"/>
      <c r="Z114" s="583"/>
      <c r="AA114" s="583"/>
      <c r="AB114" s="583"/>
      <c r="AC114" s="583"/>
      <c r="AD114" s="583"/>
      <c r="AE114" s="583"/>
      <c r="AF114" s="166"/>
      <c r="AG114" s="166"/>
      <c r="AH114" s="166"/>
      <c r="AI114" s="166"/>
      <c r="AJ114" s="166"/>
      <c r="AK114" s="166"/>
      <c r="AL114" s="166"/>
      <c r="AM114" s="166"/>
    </row>
    <row r="115" spans="2:43">
      <c r="B115" s="217" t="s">
        <v>78</v>
      </c>
      <c r="X115" s="589">
        <f>SUM(X117:X119)</f>
        <v>4073</v>
      </c>
      <c r="Y115" s="589"/>
      <c r="Z115" s="589">
        <f>SUM(Z117:Z119)</f>
        <v>1485</v>
      </c>
      <c r="AA115" s="589"/>
      <c r="AB115" s="589">
        <f>SUM(AB117:AB119)</f>
        <v>1701</v>
      </c>
      <c r="AC115" s="589"/>
      <c r="AD115" s="579">
        <f>SUM(AD117:AD119)</f>
        <v>1966</v>
      </c>
      <c r="AE115" s="579"/>
      <c r="AF115" s="243">
        <f t="shared" ref="AF115:AQ115" si="12">SUM(AF117:AF119)</f>
        <v>1767</v>
      </c>
      <c r="AG115" s="243">
        <f t="shared" si="12"/>
        <v>1814</v>
      </c>
      <c r="AH115" s="243">
        <f t="shared" si="12"/>
        <v>1731</v>
      </c>
      <c r="AI115" s="243">
        <f t="shared" si="12"/>
        <v>1571</v>
      </c>
      <c r="AJ115" s="243">
        <f t="shared" si="12"/>
        <v>1200</v>
      </c>
      <c r="AK115" s="243">
        <f t="shared" si="12"/>
        <v>1625</v>
      </c>
      <c r="AL115" s="243">
        <f t="shared" si="12"/>
        <v>1683</v>
      </c>
      <c r="AM115" s="243">
        <f>SUM(AM117:AM119)</f>
        <v>1749</v>
      </c>
      <c r="AN115" s="243">
        <f>SUM(AN117:AN119)</f>
        <v>1811</v>
      </c>
      <c r="AO115" s="243">
        <f t="shared" si="12"/>
        <v>1889</v>
      </c>
      <c r="AP115" s="243">
        <f t="shared" si="12"/>
        <v>1879</v>
      </c>
      <c r="AQ115" s="243">
        <f t="shared" si="12"/>
        <v>1887.4642120000003</v>
      </c>
    </row>
    <row r="116" spans="2:43">
      <c r="B116" s="165" t="s">
        <v>1481</v>
      </c>
      <c r="X116" s="583"/>
      <c r="Y116" s="583"/>
      <c r="Z116" s="583"/>
      <c r="AA116" s="583"/>
      <c r="AB116" s="583"/>
      <c r="AC116" s="583"/>
      <c r="AD116" s="584"/>
      <c r="AE116" s="584"/>
      <c r="AF116" s="231"/>
      <c r="AG116" s="166"/>
      <c r="AH116" s="166"/>
      <c r="AI116" s="166"/>
      <c r="AJ116" s="166"/>
      <c r="AK116" s="166"/>
      <c r="AL116" s="166"/>
      <c r="AM116" s="166"/>
    </row>
    <row r="117" spans="2:43">
      <c r="B117" s="165" t="s">
        <v>1482</v>
      </c>
      <c r="X117" s="583">
        <v>3973</v>
      </c>
      <c r="Y117" s="583"/>
      <c r="Z117" s="583">
        <v>1352</v>
      </c>
      <c r="AA117" s="583"/>
      <c r="AB117" s="583">
        <v>1564</v>
      </c>
      <c r="AC117" s="583"/>
      <c r="AD117" s="584">
        <v>1801</v>
      </c>
      <c r="AE117" s="584"/>
      <c r="AF117" s="231">
        <v>1629</v>
      </c>
      <c r="AG117" s="231">
        <v>1689</v>
      </c>
      <c r="AH117" s="231">
        <v>1615</v>
      </c>
      <c r="AI117" s="231">
        <v>1473</v>
      </c>
      <c r="AJ117" s="231">
        <v>1108</v>
      </c>
      <c r="AK117" s="231">
        <v>1506</v>
      </c>
      <c r="AL117" s="166">
        <v>1560</v>
      </c>
      <c r="AM117" s="166">
        <v>1622</v>
      </c>
      <c r="AN117" s="75">
        <v>1676</v>
      </c>
      <c r="AO117" s="75">
        <v>1746</v>
      </c>
      <c r="AP117" s="166">
        <v>1787</v>
      </c>
      <c r="AQ117" s="166">
        <v>1809.2249999999999</v>
      </c>
    </row>
    <row r="118" spans="2:43">
      <c r="B118" s="165" t="s">
        <v>1483</v>
      </c>
      <c r="X118" s="583"/>
      <c r="Y118" s="583"/>
      <c r="Z118" s="583"/>
      <c r="AA118" s="583"/>
      <c r="AB118" s="583"/>
      <c r="AC118" s="583"/>
      <c r="AD118" s="584"/>
      <c r="AE118" s="584"/>
      <c r="AF118" s="231"/>
      <c r="AG118" s="231"/>
      <c r="AH118" s="231"/>
      <c r="AI118" s="166"/>
      <c r="AJ118" s="166"/>
      <c r="AK118" s="166"/>
      <c r="AL118" s="166"/>
      <c r="AM118" s="166"/>
      <c r="AP118" s="166"/>
      <c r="AQ118" s="166"/>
    </row>
    <row r="119" spans="2:43">
      <c r="B119" s="165" t="s">
        <v>1484</v>
      </c>
      <c r="X119" s="583">
        <v>100</v>
      </c>
      <c r="Y119" s="583"/>
      <c r="Z119" s="583">
        <v>133</v>
      </c>
      <c r="AA119" s="583"/>
      <c r="AB119" s="583">
        <v>137</v>
      </c>
      <c r="AC119" s="583"/>
      <c r="AD119" s="584">
        <v>165</v>
      </c>
      <c r="AE119" s="584"/>
      <c r="AF119" s="231">
        <v>138</v>
      </c>
      <c r="AG119" s="231">
        <v>125</v>
      </c>
      <c r="AH119" s="231">
        <v>116</v>
      </c>
      <c r="AI119" s="231">
        <v>98</v>
      </c>
      <c r="AJ119" s="231">
        <v>92</v>
      </c>
      <c r="AK119" s="231">
        <v>119</v>
      </c>
      <c r="AL119" s="166">
        <v>123</v>
      </c>
      <c r="AM119" s="166">
        <v>127</v>
      </c>
      <c r="AN119" s="75">
        <v>135</v>
      </c>
      <c r="AO119" s="75">
        <v>143</v>
      </c>
      <c r="AP119" s="166">
        <v>92</v>
      </c>
      <c r="AQ119" s="166">
        <v>78.239212000000407</v>
      </c>
    </row>
    <row r="120" spans="2:43">
      <c r="X120" s="583"/>
      <c r="Y120" s="583"/>
      <c r="Z120" s="583"/>
      <c r="AA120" s="583"/>
      <c r="AB120" s="583"/>
      <c r="AC120" s="583"/>
      <c r="AD120" s="584"/>
      <c r="AE120" s="584"/>
      <c r="AF120" s="231"/>
      <c r="AG120" s="166"/>
      <c r="AH120" s="166"/>
      <c r="AI120" s="166"/>
      <c r="AJ120" s="166"/>
      <c r="AK120" s="166"/>
      <c r="AL120" s="166"/>
      <c r="AM120" s="166"/>
    </row>
    <row r="121" spans="2:43" ht="13.5">
      <c r="B121" s="220" t="s">
        <v>240</v>
      </c>
      <c r="X121" s="583"/>
      <c r="Y121" s="583"/>
      <c r="Z121" s="583"/>
      <c r="AA121" s="583"/>
      <c r="AB121" s="583"/>
      <c r="AC121" s="583"/>
      <c r="AD121" s="584"/>
      <c r="AE121" s="584"/>
      <c r="AF121" s="231"/>
      <c r="AG121" s="166"/>
      <c r="AH121" s="166"/>
      <c r="AI121" s="166"/>
      <c r="AJ121" s="166"/>
      <c r="AK121" s="166"/>
      <c r="AL121" s="166"/>
      <c r="AM121" s="166"/>
    </row>
    <row r="122" spans="2:43">
      <c r="B122" s="206" t="s">
        <v>91</v>
      </c>
      <c r="J122" s="168"/>
      <c r="K122" s="168"/>
      <c r="L122" s="168"/>
      <c r="M122" s="168"/>
      <c r="N122" s="168"/>
      <c r="O122" s="168"/>
      <c r="P122" s="168"/>
      <c r="Q122" s="168"/>
      <c r="R122" s="168"/>
      <c r="S122" s="168"/>
      <c r="T122" s="168"/>
      <c r="U122" s="168"/>
      <c r="V122" s="168"/>
      <c r="W122" s="168"/>
      <c r="X122" s="589">
        <f>SUM(X124:X125)</f>
        <v>845</v>
      </c>
      <c r="Y122" s="589"/>
      <c r="Z122" s="589">
        <f>SUM(Z124:Z125)</f>
        <v>1299</v>
      </c>
      <c r="AA122" s="589"/>
      <c r="AB122" s="589">
        <f t="shared" ref="AB122:AF122" si="13">SUM(AB124:AB125)</f>
        <v>1473</v>
      </c>
      <c r="AC122" s="589"/>
      <c r="AD122" s="589">
        <f t="shared" si="13"/>
        <v>1462</v>
      </c>
      <c r="AE122" s="589"/>
      <c r="AF122" s="589">
        <f t="shared" si="13"/>
        <v>2245.6</v>
      </c>
      <c r="AG122" s="243" t="s">
        <v>237</v>
      </c>
      <c r="AH122" s="243" t="s">
        <v>237</v>
      </c>
      <c r="AI122" s="243" t="s">
        <v>237</v>
      </c>
      <c r="AJ122" s="243" t="s">
        <v>237</v>
      </c>
      <c r="AK122" s="243" t="s">
        <v>237</v>
      </c>
      <c r="AL122" s="243" t="s">
        <v>237</v>
      </c>
      <c r="AM122" s="243" t="s">
        <v>237</v>
      </c>
      <c r="AN122" s="243" t="s">
        <v>237</v>
      </c>
      <c r="AO122" s="243" t="s">
        <v>237</v>
      </c>
      <c r="AP122" s="273">
        <f>AP128</f>
        <v>1308.6574284701003</v>
      </c>
      <c r="AQ122" s="273">
        <f>AQ128</f>
        <v>1334.5372658408389</v>
      </c>
    </row>
    <row r="123" spans="2:43" ht="23.25" customHeight="1">
      <c r="B123" s="165" t="s">
        <v>1485</v>
      </c>
      <c r="J123" s="168"/>
      <c r="K123" s="168"/>
      <c r="L123" s="168"/>
      <c r="M123" s="168"/>
      <c r="N123" s="168"/>
      <c r="O123" s="168"/>
      <c r="P123" s="168"/>
      <c r="Q123" s="168"/>
      <c r="R123" s="168"/>
      <c r="S123" s="168"/>
      <c r="T123" s="168"/>
      <c r="U123" s="168"/>
      <c r="V123" s="168"/>
      <c r="W123" s="168"/>
      <c r="X123" s="583"/>
      <c r="Y123" s="583"/>
      <c r="Z123" s="583"/>
      <c r="AA123" s="583"/>
      <c r="AB123" s="583"/>
      <c r="AC123" s="583"/>
      <c r="AD123" s="584"/>
      <c r="AE123" s="584"/>
      <c r="AF123" s="231"/>
      <c r="AG123" s="166"/>
      <c r="AH123" s="166"/>
      <c r="AI123" s="166"/>
      <c r="AJ123" s="166"/>
      <c r="AK123" s="166"/>
      <c r="AL123" s="166"/>
      <c r="AM123" s="166"/>
      <c r="AN123" s="166"/>
      <c r="AO123" s="166"/>
    </row>
    <row r="124" spans="2:43" ht="49.5" customHeight="1">
      <c r="B124" s="1949" t="s">
        <v>1486</v>
      </c>
      <c r="C124" s="1949"/>
      <c r="D124" s="552"/>
      <c r="E124" s="552"/>
      <c r="F124" s="552"/>
      <c r="G124" s="552"/>
      <c r="H124" s="552"/>
      <c r="I124" s="552"/>
      <c r="J124" s="554"/>
      <c r="K124" s="554"/>
      <c r="L124" s="554"/>
      <c r="M124" s="554"/>
      <c r="N124" s="554"/>
      <c r="O124" s="554"/>
      <c r="P124" s="554"/>
      <c r="Q124" s="554"/>
      <c r="R124" s="554"/>
      <c r="S124" s="554"/>
      <c r="T124" s="554"/>
      <c r="U124" s="554"/>
      <c r="V124" s="554"/>
      <c r="W124" s="554"/>
      <c r="X124" s="590">
        <v>380</v>
      </c>
      <c r="Y124" s="590"/>
      <c r="Z124" s="590">
        <v>540</v>
      </c>
      <c r="AA124" s="590"/>
      <c r="AB124" s="590">
        <v>779</v>
      </c>
      <c r="AC124" s="590"/>
      <c r="AD124" s="582">
        <v>850</v>
      </c>
      <c r="AE124" s="582"/>
      <c r="AF124" s="814">
        <v>1122.5999999999999</v>
      </c>
      <c r="AG124" s="814" t="s">
        <v>300</v>
      </c>
      <c r="AH124" s="814" t="s">
        <v>300</v>
      </c>
      <c r="AI124" s="814" t="s">
        <v>300</v>
      </c>
      <c r="AJ124" s="814" t="s">
        <v>300</v>
      </c>
      <c r="AK124" s="814" t="s">
        <v>300</v>
      </c>
      <c r="AL124" s="814" t="s">
        <v>300</v>
      </c>
      <c r="AM124" s="814" t="s">
        <v>300</v>
      </c>
      <c r="AN124" s="814" t="s">
        <v>300</v>
      </c>
      <c r="AO124" s="814" t="s">
        <v>300</v>
      </c>
      <c r="AP124" s="814" t="s">
        <v>300</v>
      </c>
      <c r="AQ124" s="814" t="s">
        <v>300</v>
      </c>
    </row>
    <row r="125" spans="2:43" ht="57" customHeight="1">
      <c r="B125" s="1949" t="s">
        <v>1487</v>
      </c>
      <c r="C125" s="1949"/>
      <c r="D125" s="552"/>
      <c r="E125" s="552"/>
      <c r="F125" s="552"/>
      <c r="G125" s="552"/>
      <c r="H125" s="552"/>
      <c r="I125" s="552"/>
      <c r="J125" s="554"/>
      <c r="K125" s="554"/>
      <c r="L125" s="554"/>
      <c r="M125" s="554"/>
      <c r="N125" s="554"/>
      <c r="O125" s="554"/>
      <c r="P125" s="554"/>
      <c r="Q125" s="554"/>
      <c r="R125" s="554"/>
      <c r="S125" s="554"/>
      <c r="T125" s="554"/>
      <c r="U125" s="554"/>
      <c r="V125" s="554"/>
      <c r="W125" s="554"/>
      <c r="X125" s="590">
        <v>465</v>
      </c>
      <c r="Y125" s="590"/>
      <c r="Z125" s="590">
        <v>759</v>
      </c>
      <c r="AA125" s="590"/>
      <c r="AB125" s="590">
        <v>694</v>
      </c>
      <c r="AC125" s="590"/>
      <c r="AD125" s="582">
        <v>612</v>
      </c>
      <c r="AE125" s="582"/>
      <c r="AF125" s="814">
        <v>1123</v>
      </c>
      <c r="AG125" s="814" t="s">
        <v>300</v>
      </c>
      <c r="AH125" s="814" t="s">
        <v>300</v>
      </c>
      <c r="AI125" s="814" t="s">
        <v>300</v>
      </c>
      <c r="AJ125" s="814" t="s">
        <v>300</v>
      </c>
      <c r="AK125" s="814" t="s">
        <v>300</v>
      </c>
      <c r="AL125" s="814" t="s">
        <v>300</v>
      </c>
      <c r="AM125" s="814" t="s">
        <v>300</v>
      </c>
      <c r="AN125" s="814" t="s">
        <v>300</v>
      </c>
      <c r="AO125" s="814" t="s">
        <v>300</v>
      </c>
      <c r="AP125" s="814" t="s">
        <v>300</v>
      </c>
      <c r="AQ125" s="814" t="s">
        <v>300</v>
      </c>
    </row>
    <row r="126" spans="2:43" ht="23.25" hidden="1" customHeight="1">
      <c r="B126" s="165" t="s">
        <v>1488</v>
      </c>
      <c r="J126" s="168"/>
      <c r="K126" s="168"/>
      <c r="L126" s="168"/>
      <c r="M126" s="168"/>
      <c r="N126" s="168"/>
      <c r="O126" s="168"/>
      <c r="P126" s="168"/>
      <c r="Q126" s="168"/>
      <c r="R126" s="168"/>
      <c r="S126" s="168"/>
      <c r="T126" s="168"/>
      <c r="U126" s="168"/>
      <c r="V126" s="168"/>
      <c r="W126" s="168"/>
      <c r="X126" s="583">
        <v>260</v>
      </c>
      <c r="Y126" s="583"/>
      <c r="Z126" s="583">
        <v>380</v>
      </c>
      <c r="AA126" s="583"/>
      <c r="AB126" s="583">
        <v>644</v>
      </c>
      <c r="AC126" s="583"/>
      <c r="AD126" s="584">
        <v>814</v>
      </c>
      <c r="AE126" s="584"/>
      <c r="AF126" s="231">
        <v>1015.93</v>
      </c>
      <c r="AG126" s="166">
        <v>1046.9000000000001</v>
      </c>
      <c r="AH126" s="166">
        <v>1064.3800000000001</v>
      </c>
      <c r="AI126" s="231">
        <v>1123</v>
      </c>
      <c r="AJ126" s="231">
        <v>1304</v>
      </c>
      <c r="AK126" s="166">
        <v>1301</v>
      </c>
      <c r="AL126" s="166">
        <v>1293</v>
      </c>
      <c r="AM126" s="166">
        <v>1297</v>
      </c>
      <c r="AN126" s="166">
        <v>2037.0101884870098</v>
      </c>
      <c r="AO126" s="166">
        <v>2247.780947529292</v>
      </c>
    </row>
    <row r="127" spans="2:43" hidden="1">
      <c r="B127" s="165" t="s">
        <v>1489</v>
      </c>
      <c r="J127" s="168"/>
      <c r="K127" s="168"/>
      <c r="L127" s="168"/>
      <c r="M127" s="168"/>
      <c r="N127" s="168"/>
      <c r="O127" s="168"/>
      <c r="P127" s="168"/>
      <c r="Q127" s="168"/>
      <c r="R127" s="168"/>
      <c r="S127" s="168"/>
      <c r="T127" s="168"/>
      <c r="U127" s="168"/>
      <c r="V127" s="168"/>
      <c r="W127" s="168"/>
      <c r="X127" s="583" t="s">
        <v>269</v>
      </c>
      <c r="Y127" s="583"/>
      <c r="Z127" s="583" t="s">
        <v>269</v>
      </c>
      <c r="AA127" s="583"/>
      <c r="AB127" s="583">
        <v>1273</v>
      </c>
      <c r="AC127" s="583"/>
      <c r="AD127" s="584">
        <v>1448</v>
      </c>
      <c r="AE127" s="584"/>
      <c r="AF127" s="231">
        <v>1216.3800000000001</v>
      </c>
      <c r="AG127" s="231">
        <v>1210.68</v>
      </c>
      <c r="AH127" s="231">
        <v>1213.53</v>
      </c>
      <c r="AI127" s="231">
        <v>1235</v>
      </c>
      <c r="AJ127" s="231">
        <v>1068</v>
      </c>
      <c r="AK127" s="166">
        <v>1022.58</v>
      </c>
      <c r="AL127" s="166">
        <v>1067.04</v>
      </c>
      <c r="AM127" s="166">
        <v>1118.9100000000001</v>
      </c>
      <c r="AN127" s="166">
        <v>1757.31</v>
      </c>
      <c r="AO127" s="166">
        <v>1939.1399999999999</v>
      </c>
    </row>
    <row r="128" spans="2:43" ht="33.75" customHeight="1">
      <c r="B128" s="1952" t="s">
        <v>1895</v>
      </c>
      <c r="C128" s="1953"/>
      <c r="J128" s="168"/>
      <c r="K128" s="168"/>
      <c r="L128" s="168"/>
      <c r="M128" s="168"/>
      <c r="N128" s="168"/>
      <c r="O128" s="168"/>
      <c r="P128" s="168"/>
      <c r="Q128" s="168"/>
      <c r="R128" s="168"/>
      <c r="S128" s="168"/>
      <c r="T128" s="168"/>
      <c r="U128" s="168"/>
      <c r="V128" s="168"/>
      <c r="W128" s="168"/>
      <c r="X128" s="583"/>
      <c r="Y128" s="583"/>
      <c r="Z128" s="583"/>
      <c r="AA128" s="583"/>
      <c r="AB128" s="583"/>
      <c r="AC128" s="583"/>
      <c r="AD128" s="584"/>
      <c r="AE128" s="584"/>
      <c r="AF128" s="231"/>
      <c r="AG128" s="231"/>
      <c r="AH128" s="231"/>
      <c r="AI128" s="231"/>
      <c r="AJ128" s="231"/>
      <c r="AK128" s="166"/>
      <c r="AL128" s="166"/>
      <c r="AM128" s="166"/>
      <c r="AN128" s="166"/>
      <c r="AO128" s="166"/>
      <c r="AP128" s="166">
        <v>1308.6574284701003</v>
      </c>
      <c r="AQ128" s="166">
        <v>1334.5372658408389</v>
      </c>
    </row>
    <row r="129" spans="2:43">
      <c r="B129" s="165" t="s">
        <v>1490</v>
      </c>
      <c r="J129" s="168"/>
      <c r="K129" s="168"/>
      <c r="L129" s="168"/>
      <c r="M129" s="168"/>
      <c r="N129" s="168"/>
      <c r="O129" s="168"/>
      <c r="P129" s="168"/>
      <c r="Q129" s="168"/>
      <c r="R129" s="168"/>
      <c r="S129" s="168"/>
      <c r="T129" s="168"/>
      <c r="U129" s="168"/>
      <c r="V129" s="168"/>
      <c r="W129" s="168"/>
      <c r="X129" s="583"/>
      <c r="Y129" s="583"/>
      <c r="Z129" s="583"/>
      <c r="AA129" s="583"/>
      <c r="AB129" s="583"/>
      <c r="AC129" s="583"/>
      <c r="AD129" s="584"/>
      <c r="AE129" s="584"/>
      <c r="AF129" s="231"/>
      <c r="AG129" s="166"/>
      <c r="AH129" s="166"/>
      <c r="AI129" s="166"/>
      <c r="AJ129" s="166"/>
      <c r="AK129" s="166"/>
      <c r="AL129" s="166"/>
      <c r="AM129" s="166"/>
    </row>
    <row r="130" spans="2:43">
      <c r="B130" s="165" t="s">
        <v>1491</v>
      </c>
      <c r="J130" s="168"/>
      <c r="K130" s="168"/>
      <c r="L130" s="168"/>
      <c r="M130" s="168"/>
      <c r="N130" s="168"/>
      <c r="O130" s="168"/>
      <c r="P130" s="168"/>
      <c r="Q130" s="168"/>
      <c r="R130" s="168"/>
      <c r="S130" s="168"/>
      <c r="T130" s="168"/>
      <c r="U130" s="168"/>
      <c r="V130" s="168"/>
      <c r="W130" s="168"/>
      <c r="X130" s="583" t="s">
        <v>269</v>
      </c>
      <c r="Y130" s="583"/>
      <c r="Z130" s="583" t="s">
        <v>269</v>
      </c>
      <c r="AA130" s="583"/>
      <c r="AB130" s="583" t="s">
        <v>269</v>
      </c>
      <c r="AC130" s="583"/>
      <c r="AD130" s="584" t="s">
        <v>269</v>
      </c>
      <c r="AE130" s="584"/>
      <c r="AF130" s="231" t="s">
        <v>269</v>
      </c>
      <c r="AG130" s="231" t="s">
        <v>269</v>
      </c>
      <c r="AH130" s="231" t="s">
        <v>269</v>
      </c>
      <c r="AI130" s="231" t="s">
        <v>269</v>
      </c>
      <c r="AJ130" s="231" t="s">
        <v>269</v>
      </c>
      <c r="AK130" s="231" t="s">
        <v>269</v>
      </c>
      <c r="AL130" s="231" t="s">
        <v>269</v>
      </c>
      <c r="AM130" s="231" t="s">
        <v>269</v>
      </c>
      <c r="AN130" s="231" t="s">
        <v>269</v>
      </c>
      <c r="AO130" s="231" t="s">
        <v>269</v>
      </c>
      <c r="AP130" s="231" t="s">
        <v>269</v>
      </c>
      <c r="AQ130" s="231" t="s">
        <v>269</v>
      </c>
    </row>
    <row r="131" spans="2:43">
      <c r="B131" s="165" t="s">
        <v>1492</v>
      </c>
      <c r="J131" s="168"/>
      <c r="K131" s="168"/>
      <c r="L131" s="168"/>
      <c r="M131" s="168"/>
      <c r="N131" s="168"/>
      <c r="O131" s="168"/>
      <c r="P131" s="168"/>
      <c r="Q131" s="168"/>
      <c r="R131" s="168"/>
      <c r="S131" s="168"/>
      <c r="T131" s="168"/>
      <c r="U131" s="168"/>
      <c r="V131" s="168"/>
      <c r="W131" s="168"/>
      <c r="X131" s="583" t="s">
        <v>237</v>
      </c>
      <c r="Y131" s="583"/>
      <c r="Z131" s="583" t="s">
        <v>237</v>
      </c>
      <c r="AA131" s="583"/>
      <c r="AB131" s="583" t="s">
        <v>237</v>
      </c>
      <c r="AC131" s="583"/>
      <c r="AD131" s="584" t="s">
        <v>269</v>
      </c>
      <c r="AE131" s="584"/>
      <c r="AF131" s="231" t="s">
        <v>269</v>
      </c>
      <c r="AG131" s="231" t="s">
        <v>269</v>
      </c>
      <c r="AH131" s="231" t="s">
        <v>269</v>
      </c>
      <c r="AI131" s="231" t="s">
        <v>269</v>
      </c>
      <c r="AJ131" s="231" t="s">
        <v>269</v>
      </c>
      <c r="AK131" s="231" t="s">
        <v>269</v>
      </c>
      <c r="AL131" s="231" t="s">
        <v>269</v>
      </c>
      <c r="AM131" s="231" t="s">
        <v>269</v>
      </c>
      <c r="AN131" s="231" t="s">
        <v>269</v>
      </c>
      <c r="AO131" s="231" t="s">
        <v>269</v>
      </c>
      <c r="AP131" s="231" t="s">
        <v>269</v>
      </c>
      <c r="AQ131" s="231" t="s">
        <v>269</v>
      </c>
    </row>
    <row r="132" spans="2:43">
      <c r="B132" s="165" t="s">
        <v>1493</v>
      </c>
      <c r="J132" s="168"/>
      <c r="K132" s="168"/>
      <c r="L132" s="168"/>
      <c r="M132" s="168"/>
      <c r="N132" s="168"/>
      <c r="O132" s="168"/>
      <c r="P132" s="168"/>
      <c r="Q132" s="168"/>
      <c r="R132" s="168"/>
      <c r="S132" s="168"/>
      <c r="T132" s="168"/>
      <c r="U132" s="168"/>
      <c r="V132" s="168"/>
      <c r="W132" s="168"/>
      <c r="X132" s="583" t="s">
        <v>237</v>
      </c>
      <c r="Y132" s="583"/>
      <c r="Z132" s="583" t="s">
        <v>237</v>
      </c>
      <c r="AA132" s="583"/>
      <c r="AB132" s="583" t="s">
        <v>237</v>
      </c>
      <c r="AC132" s="583"/>
      <c r="AD132" s="584" t="s">
        <v>269</v>
      </c>
      <c r="AE132" s="584"/>
      <c r="AF132" s="231" t="s">
        <v>269</v>
      </c>
      <c r="AG132" s="231" t="s">
        <v>269</v>
      </c>
      <c r="AH132" s="231" t="s">
        <v>269</v>
      </c>
      <c r="AI132" s="231" t="s">
        <v>269</v>
      </c>
      <c r="AJ132" s="231" t="s">
        <v>269</v>
      </c>
      <c r="AK132" s="231" t="s">
        <v>269</v>
      </c>
      <c r="AL132" s="231" t="s">
        <v>269</v>
      </c>
      <c r="AM132" s="231" t="s">
        <v>269</v>
      </c>
      <c r="AN132" s="231" t="s">
        <v>269</v>
      </c>
      <c r="AO132" s="231" t="s">
        <v>269</v>
      </c>
      <c r="AP132" s="231" t="s">
        <v>269</v>
      </c>
      <c r="AQ132" s="231" t="s">
        <v>269</v>
      </c>
    </row>
    <row r="133" spans="2:43">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592"/>
      <c r="Y133" s="592"/>
      <c r="Z133" s="592"/>
      <c r="AA133" s="592"/>
      <c r="AB133" s="592"/>
      <c r="AC133" s="592"/>
      <c r="AD133" s="592"/>
      <c r="AE133" s="592"/>
      <c r="AF133" s="256"/>
      <c r="AG133" s="256"/>
      <c r="AH133" s="256"/>
      <c r="AI133" s="256"/>
      <c r="AJ133" s="256"/>
      <c r="AK133" s="256"/>
      <c r="AL133" s="256"/>
      <c r="AM133" s="256"/>
      <c r="AN133" s="256"/>
      <c r="AO133" s="256"/>
      <c r="AP133" s="256"/>
      <c r="AQ133" s="256"/>
    </row>
    <row r="134" spans="2:43" ht="5.25" customHeight="1"/>
    <row r="135" spans="2:43" ht="20.25" customHeight="1">
      <c r="B135" s="578" t="s">
        <v>1494</v>
      </c>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row>
    <row r="136" spans="2:43" ht="29.25" customHeight="1">
      <c r="B136" s="1946" t="s">
        <v>1495</v>
      </c>
      <c r="C136" s="1947"/>
      <c r="D136" s="1947"/>
      <c r="E136" s="1947"/>
      <c r="F136" s="1947"/>
      <c r="G136" s="1947"/>
      <c r="H136" s="1947"/>
      <c r="I136" s="1947"/>
      <c r="J136" s="1947"/>
      <c r="K136" s="1947"/>
      <c r="L136" s="1947"/>
      <c r="M136" s="1947"/>
      <c r="N136" s="1947"/>
      <c r="O136" s="1947"/>
      <c r="P136" s="1947"/>
      <c r="Q136" s="1947"/>
      <c r="R136" s="1947"/>
      <c r="S136" s="1947"/>
      <c r="T136" s="1947"/>
      <c r="U136" s="1947"/>
      <c r="V136" s="1947"/>
      <c r="W136" s="1947"/>
      <c r="X136" s="1947"/>
      <c r="Y136" s="1947"/>
      <c r="Z136" s="1947"/>
      <c r="AA136" s="1947"/>
      <c r="AB136" s="1947"/>
      <c r="AC136" s="1947"/>
      <c r="AD136" s="1947"/>
      <c r="AE136" s="1947"/>
      <c r="AF136" s="1947"/>
      <c r="AG136" s="1947"/>
      <c r="AH136" s="1947"/>
      <c r="AI136" s="1947"/>
      <c r="AJ136" s="1947"/>
      <c r="AK136" s="1948"/>
      <c r="AL136" s="1948"/>
      <c r="AM136" s="815"/>
    </row>
    <row r="137" spans="2:43" ht="15">
      <c r="B137" s="578"/>
      <c r="C137" s="578"/>
      <c r="D137" s="578"/>
      <c r="E137" s="578"/>
      <c r="F137" s="578"/>
      <c r="G137" s="578"/>
      <c r="H137" s="578"/>
      <c r="I137" s="578"/>
      <c r="J137" s="578"/>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I137" s="815"/>
      <c r="AJ137" s="815"/>
      <c r="AK137" s="815"/>
      <c r="AL137" s="815"/>
      <c r="AM137" s="815"/>
    </row>
    <row r="138" spans="2:43" ht="15" hidden="1">
      <c r="B138" s="578"/>
      <c r="C138" s="578"/>
      <c r="D138" s="578"/>
      <c r="E138" s="578"/>
      <c r="F138" s="578"/>
      <c r="G138" s="578"/>
      <c r="H138" s="578"/>
      <c r="I138" s="578"/>
      <c r="J138" s="578"/>
      <c r="K138" s="578"/>
      <c r="L138" s="578"/>
      <c r="M138" s="578"/>
      <c r="N138" s="578"/>
      <c r="O138" s="578"/>
      <c r="P138" s="578"/>
      <c r="Q138" s="578"/>
      <c r="R138" s="578"/>
      <c r="S138" s="578"/>
      <c r="T138" s="578"/>
      <c r="U138" s="578"/>
      <c r="V138" s="578"/>
      <c r="W138" s="578"/>
      <c r="X138" s="578"/>
      <c r="Y138" s="578"/>
      <c r="Z138" s="578"/>
      <c r="AA138" s="578"/>
      <c r="AB138" s="578"/>
      <c r="AC138" s="578"/>
      <c r="AD138" s="578"/>
      <c r="AE138" s="578"/>
      <c r="AI138" s="816"/>
      <c r="AJ138" s="816"/>
      <c r="AK138" s="816"/>
      <c r="AL138" s="816"/>
      <c r="AM138" s="816"/>
    </row>
    <row r="139" spans="2:43" ht="15" hidden="1">
      <c r="B139" s="578" t="s">
        <v>1496</v>
      </c>
      <c r="C139" s="578"/>
      <c r="D139" s="578"/>
      <c r="E139" s="578"/>
      <c r="F139" s="578"/>
      <c r="G139" s="578"/>
      <c r="H139" s="578"/>
      <c r="I139" s="578"/>
      <c r="J139" s="578"/>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I139" s="816"/>
      <c r="AJ139" s="816"/>
      <c r="AK139" s="816"/>
      <c r="AL139" s="816"/>
      <c r="AM139" s="816"/>
    </row>
    <row r="140" spans="2:43" hidden="1">
      <c r="B140" s="165" t="s">
        <v>1497</v>
      </c>
      <c r="C140" s="578"/>
      <c r="D140" s="578"/>
      <c r="E140" s="578"/>
      <c r="F140" s="578"/>
      <c r="G140" s="578"/>
      <c r="H140" s="578"/>
      <c r="I140" s="578"/>
      <c r="J140" s="578"/>
      <c r="K140" s="578"/>
      <c r="L140" s="578"/>
      <c r="M140" s="578"/>
      <c r="N140" s="578"/>
      <c r="O140" s="578"/>
      <c r="P140" s="578"/>
      <c r="Q140" s="578"/>
      <c r="R140" s="578"/>
      <c r="S140" s="578"/>
      <c r="T140" s="578"/>
      <c r="U140" s="578"/>
      <c r="V140" s="578"/>
      <c r="W140" s="578"/>
      <c r="X140" s="578"/>
      <c r="Y140" s="578"/>
      <c r="Z140" s="578"/>
      <c r="AA140" s="578"/>
      <c r="AB140" s="578"/>
      <c r="AC140" s="578"/>
      <c r="AD140" s="578"/>
      <c r="AE140" s="578"/>
    </row>
    <row r="141" spans="2:43" hidden="1">
      <c r="B141" s="578" t="s">
        <v>1498</v>
      </c>
      <c r="C141" s="578"/>
      <c r="D141" s="578"/>
      <c r="E141" s="578"/>
      <c r="F141" s="578"/>
      <c r="G141" s="578"/>
      <c r="H141" s="578"/>
      <c r="I141" s="578"/>
      <c r="J141" s="578"/>
      <c r="K141" s="578"/>
      <c r="L141" s="578"/>
      <c r="M141" s="578"/>
      <c r="N141" s="578"/>
      <c r="O141" s="578"/>
      <c r="P141" s="578"/>
      <c r="Q141" s="578"/>
      <c r="R141" s="578"/>
      <c r="S141" s="578"/>
      <c r="T141" s="578"/>
      <c r="U141" s="578"/>
      <c r="V141" s="578"/>
      <c r="W141" s="578"/>
      <c r="X141" s="578"/>
      <c r="Y141" s="578"/>
      <c r="Z141" s="578"/>
      <c r="AA141" s="578"/>
      <c r="AB141" s="578"/>
      <c r="AC141" s="578"/>
      <c r="AD141" s="578"/>
      <c r="AE141" s="578"/>
    </row>
    <row r="142" spans="2:43" hidden="1">
      <c r="B142" s="578" t="s">
        <v>1499</v>
      </c>
      <c r="C142" s="578"/>
      <c r="D142" s="578"/>
      <c r="E142" s="578"/>
      <c r="F142" s="578"/>
      <c r="G142" s="578"/>
      <c r="H142" s="578"/>
      <c r="I142" s="578"/>
      <c r="J142" s="578"/>
      <c r="K142" s="578"/>
      <c r="L142" s="578"/>
      <c r="M142" s="578"/>
      <c r="N142" s="578"/>
      <c r="O142" s="578"/>
      <c r="P142" s="578"/>
      <c r="Q142" s="578"/>
      <c r="R142" s="578"/>
      <c r="S142" s="578"/>
      <c r="T142" s="578"/>
      <c r="U142" s="578"/>
      <c r="V142" s="578"/>
      <c r="W142" s="578"/>
      <c r="X142" s="578"/>
      <c r="Y142" s="578"/>
      <c r="Z142" s="578"/>
      <c r="AA142" s="578"/>
      <c r="AB142" s="578"/>
      <c r="AC142" s="578"/>
      <c r="AD142" s="578"/>
      <c r="AE142" s="578"/>
    </row>
    <row r="143" spans="2:43" hidden="1">
      <c r="B143" s="578"/>
      <c r="C143" s="578"/>
      <c r="D143" s="578"/>
      <c r="E143" s="578"/>
      <c r="F143" s="578"/>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row>
    <row r="144" spans="2:43" hidden="1">
      <c r="B144" s="578"/>
      <c r="C144" s="578"/>
      <c r="D144" s="578"/>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row>
    <row r="145" spans="2:35" hidden="1">
      <c r="B145" s="578"/>
      <c r="C145" s="578"/>
      <c r="D145" s="578"/>
      <c r="E145" s="578"/>
      <c r="F145" s="578"/>
      <c r="G145" s="578"/>
      <c r="H145" s="578"/>
      <c r="I145" s="578"/>
      <c r="J145" s="578"/>
      <c r="K145" s="578"/>
      <c r="L145" s="578"/>
      <c r="M145" s="578"/>
      <c r="N145" s="578"/>
      <c r="O145" s="578"/>
      <c r="P145" s="578"/>
      <c r="Q145" s="578"/>
      <c r="R145" s="578"/>
      <c r="S145" s="578"/>
      <c r="T145" s="578"/>
      <c r="U145" s="578"/>
      <c r="V145" s="578"/>
      <c r="W145" s="578"/>
      <c r="X145" s="578"/>
      <c r="Y145" s="578"/>
      <c r="Z145" s="578"/>
      <c r="AA145" s="578"/>
      <c r="AB145" s="578"/>
      <c r="AC145" s="578"/>
      <c r="AD145" s="578"/>
      <c r="AE145" s="578"/>
      <c r="AH145" s="75" t="s">
        <v>1461</v>
      </c>
    </row>
    <row r="146" spans="2:35" hidden="1">
      <c r="B146" s="578" t="s">
        <v>1500</v>
      </c>
      <c r="C146" s="578"/>
      <c r="D146" s="578"/>
      <c r="E146" s="578"/>
      <c r="F146" s="578"/>
      <c r="G146" s="578"/>
      <c r="H146" s="578"/>
      <c r="I146" s="578"/>
      <c r="J146" s="578"/>
      <c r="K146" s="578"/>
      <c r="L146" s="578"/>
      <c r="M146" s="578"/>
      <c r="N146" s="578"/>
      <c r="O146" s="578"/>
      <c r="P146" s="578"/>
      <c r="Q146" s="578"/>
      <c r="R146" s="578"/>
      <c r="S146" s="578"/>
      <c r="T146" s="578"/>
      <c r="U146" s="578"/>
      <c r="V146" s="578"/>
      <c r="W146" s="578"/>
      <c r="X146" s="583">
        <v>160</v>
      </c>
      <c r="Y146" s="583"/>
      <c r="Z146" s="583"/>
      <c r="AA146" s="583"/>
      <c r="AB146" s="583"/>
      <c r="AC146" s="583"/>
      <c r="AD146" s="583"/>
      <c r="AE146" s="583"/>
      <c r="AF146" s="166"/>
      <c r="AG146" s="166"/>
      <c r="AH146" s="75" t="s">
        <v>1501</v>
      </c>
    </row>
    <row r="147" spans="2:35" hidden="1">
      <c r="B147" s="578" t="s">
        <v>1502</v>
      </c>
      <c r="C147" s="578"/>
      <c r="D147" s="578"/>
      <c r="E147" s="578"/>
      <c r="F147" s="578"/>
      <c r="G147" s="578"/>
      <c r="H147" s="578"/>
      <c r="I147" s="578"/>
      <c r="J147" s="578"/>
      <c r="K147" s="578"/>
      <c r="L147" s="578"/>
      <c r="M147" s="578"/>
      <c r="N147" s="578"/>
      <c r="O147" s="578"/>
      <c r="P147" s="578"/>
      <c r="Q147" s="578"/>
      <c r="R147" s="578"/>
      <c r="S147" s="578"/>
      <c r="T147" s="578"/>
      <c r="U147" s="578"/>
      <c r="V147" s="578"/>
      <c r="W147" s="578"/>
      <c r="X147" s="578"/>
      <c r="Y147" s="578"/>
      <c r="Z147" s="578"/>
      <c r="AA147" s="578"/>
      <c r="AB147" s="578"/>
      <c r="AC147" s="578"/>
      <c r="AD147" s="578"/>
      <c r="AE147" s="578"/>
      <c r="AH147" s="166">
        <v>88</v>
      </c>
      <c r="AI147" s="75" t="s">
        <v>1503</v>
      </c>
    </row>
    <row r="148" spans="2:35" hidden="1">
      <c r="B148" s="578" t="s">
        <v>1504</v>
      </c>
      <c r="C148" s="578"/>
      <c r="D148" s="578"/>
      <c r="E148" s="578"/>
      <c r="F148" s="578"/>
      <c r="G148" s="578"/>
      <c r="H148" s="578"/>
      <c r="I148" s="578"/>
      <c r="J148" s="578"/>
      <c r="K148" s="578"/>
      <c r="L148" s="578"/>
      <c r="M148" s="578"/>
      <c r="N148" s="578"/>
      <c r="O148" s="578"/>
      <c r="P148" s="578"/>
      <c r="Q148" s="578"/>
      <c r="R148" s="578"/>
      <c r="S148" s="578"/>
      <c r="T148" s="578"/>
      <c r="U148" s="578"/>
      <c r="V148" s="578"/>
      <c r="W148" s="578"/>
      <c r="X148" s="578"/>
      <c r="Y148" s="578"/>
      <c r="Z148" s="578"/>
      <c r="AA148" s="578"/>
      <c r="AB148" s="578"/>
      <c r="AC148" s="578"/>
      <c r="AD148" s="578"/>
      <c r="AE148" s="578"/>
      <c r="AH148" s="166">
        <v>5519</v>
      </c>
      <c r="AI148" s="75" t="s">
        <v>1505</v>
      </c>
    </row>
    <row r="149" spans="2:35" hidden="1">
      <c r="B149" s="578" t="s">
        <v>1506</v>
      </c>
      <c r="C149" s="578"/>
      <c r="D149" s="578"/>
      <c r="E149" s="578"/>
      <c r="F149" s="578"/>
      <c r="G149" s="578"/>
      <c r="H149" s="578"/>
      <c r="I149" s="578"/>
      <c r="J149" s="578"/>
      <c r="K149" s="578"/>
      <c r="L149" s="578"/>
      <c r="M149" s="578"/>
      <c r="N149" s="578"/>
      <c r="O149" s="578"/>
      <c r="P149" s="578"/>
      <c r="Q149" s="578"/>
      <c r="R149" s="578"/>
      <c r="S149" s="578"/>
      <c r="T149" s="578"/>
      <c r="U149" s="578"/>
      <c r="V149" s="578"/>
      <c r="W149" s="578"/>
      <c r="X149" s="578"/>
      <c r="Y149" s="578"/>
      <c r="Z149" s="578"/>
      <c r="AA149" s="578"/>
      <c r="AB149" s="578"/>
      <c r="AC149" s="578"/>
      <c r="AD149" s="578"/>
      <c r="AE149" s="578"/>
      <c r="AH149" s="166">
        <v>773</v>
      </c>
      <c r="AI149" s="75" t="str">
        <f>AI148</f>
        <v>direct tax rate is 0, so we don't count this again.</v>
      </c>
    </row>
    <row r="150" spans="2:35" hidden="1">
      <c r="B150" s="578" t="s">
        <v>1507</v>
      </c>
      <c r="C150" s="578"/>
      <c r="D150" s="578"/>
      <c r="E150" s="578"/>
      <c r="F150" s="578"/>
      <c r="G150" s="578"/>
      <c r="H150" s="578"/>
      <c r="I150" s="578"/>
      <c r="J150" s="578"/>
      <c r="K150" s="578"/>
      <c r="L150" s="578"/>
      <c r="M150" s="578"/>
      <c r="N150" s="578"/>
      <c r="O150" s="578"/>
      <c r="P150" s="578"/>
      <c r="Q150" s="578"/>
      <c r="R150" s="578"/>
      <c r="S150" s="578"/>
      <c r="T150" s="578"/>
      <c r="U150" s="578"/>
      <c r="V150" s="578"/>
      <c r="W150" s="578"/>
      <c r="X150" s="578"/>
      <c r="Y150" s="578"/>
      <c r="Z150" s="578"/>
      <c r="AA150" s="578"/>
      <c r="AB150" s="578"/>
      <c r="AC150" s="578"/>
      <c r="AD150" s="578"/>
      <c r="AE150" s="578"/>
      <c r="AH150" s="166">
        <v>4210</v>
      </c>
      <c r="AI150" s="75" t="str">
        <f>AI149</f>
        <v>direct tax rate is 0, so we don't count this again.</v>
      </c>
    </row>
    <row r="151" spans="2:35" hidden="1">
      <c r="B151" s="578" t="s">
        <v>1508</v>
      </c>
      <c r="C151" s="578"/>
      <c r="D151" s="578"/>
      <c r="E151" s="578"/>
      <c r="F151" s="578"/>
      <c r="G151" s="578"/>
      <c r="H151" s="578"/>
      <c r="I151" s="578"/>
      <c r="J151" s="578"/>
      <c r="K151" s="578"/>
      <c r="L151" s="578"/>
      <c r="M151" s="578"/>
      <c r="N151" s="578"/>
      <c r="O151" s="578"/>
      <c r="P151" s="578"/>
      <c r="Q151" s="578"/>
      <c r="R151" s="578"/>
      <c r="S151" s="578"/>
      <c r="T151" s="578"/>
      <c r="U151" s="578"/>
      <c r="V151" s="578"/>
      <c r="W151" s="578"/>
      <c r="X151" s="578"/>
      <c r="Y151" s="578"/>
      <c r="Z151" s="578"/>
      <c r="AA151" s="578"/>
      <c r="AB151" s="578"/>
      <c r="AC151" s="578"/>
      <c r="AD151" s="578"/>
      <c r="AE151" s="578"/>
      <c r="AH151" s="166">
        <v>2482</v>
      </c>
      <c r="AI151" s="75" t="str">
        <f>AI150</f>
        <v>direct tax rate is 0, so we don't count this again.</v>
      </c>
    </row>
    <row r="152" spans="2:35" hidden="1">
      <c r="B152" s="578" t="s">
        <v>1509</v>
      </c>
      <c r="C152" s="578"/>
      <c r="D152" s="578"/>
      <c r="E152" s="578"/>
      <c r="F152" s="578"/>
      <c r="G152" s="578"/>
      <c r="H152" s="578"/>
      <c r="I152" s="578"/>
      <c r="J152" s="578"/>
      <c r="K152" s="578"/>
      <c r="L152" s="578"/>
      <c r="M152" s="578"/>
      <c r="N152" s="578"/>
      <c r="O152" s="578"/>
      <c r="P152" s="578"/>
      <c r="Q152" s="578"/>
      <c r="R152" s="578"/>
      <c r="S152" s="578"/>
      <c r="T152" s="578"/>
      <c r="U152" s="578"/>
      <c r="V152" s="578"/>
      <c r="W152" s="578"/>
      <c r="X152" s="578"/>
      <c r="Y152" s="578"/>
      <c r="Z152" s="578"/>
      <c r="AA152" s="578"/>
      <c r="AB152" s="578"/>
      <c r="AC152" s="578"/>
      <c r="AD152" s="578"/>
      <c r="AE152" s="578"/>
      <c r="AH152" s="166">
        <v>18933</v>
      </c>
      <c r="AI152" s="75" t="str">
        <f>AI151</f>
        <v>direct tax rate is 0, so we don't count this again.</v>
      </c>
    </row>
    <row r="153" spans="2:35" hidden="1">
      <c r="B153" s="578" t="s">
        <v>1510</v>
      </c>
      <c r="C153" s="578"/>
      <c r="D153" s="578"/>
      <c r="E153" s="578"/>
      <c r="F153" s="578"/>
      <c r="G153" s="578"/>
      <c r="H153" s="578"/>
      <c r="I153" s="578"/>
      <c r="J153" s="578"/>
      <c r="K153" s="578"/>
      <c r="L153" s="578"/>
      <c r="M153" s="578"/>
      <c r="N153" s="578"/>
      <c r="O153" s="578"/>
      <c r="P153" s="578"/>
      <c r="Q153" s="578"/>
      <c r="R153" s="578"/>
      <c r="S153" s="578"/>
      <c r="T153" s="578"/>
      <c r="U153" s="578"/>
      <c r="V153" s="578"/>
      <c r="W153" s="578"/>
      <c r="X153" s="578"/>
      <c r="Y153" s="578"/>
      <c r="Z153" s="578"/>
      <c r="AA153" s="578"/>
      <c r="AB153" s="578"/>
      <c r="AC153" s="578"/>
      <c r="AD153" s="578"/>
      <c r="AE153" s="578"/>
      <c r="AH153" s="166">
        <v>1300</v>
      </c>
      <c r="AI153" s="75" t="s">
        <v>1511</v>
      </c>
    </row>
    <row r="154" spans="2:35" hidden="1">
      <c r="B154" s="578" t="s">
        <v>1512</v>
      </c>
      <c r="C154" s="578"/>
      <c r="D154" s="578"/>
      <c r="E154" s="578"/>
      <c r="F154" s="578"/>
      <c r="G154" s="578"/>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H154" s="166">
        <v>88</v>
      </c>
      <c r="AI154" s="75" t="s">
        <v>1513</v>
      </c>
    </row>
    <row r="155" spans="2:35" hidden="1">
      <c r="B155" s="578" t="s">
        <v>1514</v>
      </c>
      <c r="C155" s="578"/>
      <c r="D155" s="578"/>
      <c r="E155" s="578"/>
      <c r="F155" s="578"/>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H155" s="166">
        <v>118</v>
      </c>
      <c r="AI155" s="75" t="str">
        <f>AI154</f>
        <v>direct tax rate on diability pension is 0 and this will contribute to that</v>
      </c>
    </row>
    <row r="156" spans="2:35" hidden="1">
      <c r="B156" s="578" t="s">
        <v>1515</v>
      </c>
      <c r="C156" s="578"/>
      <c r="D156" s="578"/>
      <c r="E156" s="578"/>
      <c r="F156" s="578"/>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H156" s="166">
        <v>200</v>
      </c>
      <c r="AI156" s="75" t="s">
        <v>1516</v>
      </c>
    </row>
    <row r="157" spans="2:35" hidden="1">
      <c r="B157" s="578" t="s">
        <v>1517</v>
      </c>
      <c r="C157" s="578"/>
      <c r="D157" s="578"/>
      <c r="E157" s="578"/>
      <c r="F157" s="578"/>
      <c r="G157" s="578"/>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H157" s="166">
        <v>800</v>
      </c>
      <c r="AI157" s="75" t="s">
        <v>1518</v>
      </c>
    </row>
    <row r="158" spans="2:35" hidden="1"/>
    <row r="159" spans="2:35" hidden="1"/>
    <row r="160" spans="2:35" hidden="1"/>
    <row r="161" spans="2:35" hidden="1"/>
    <row r="162" spans="2:35" hidden="1">
      <c r="B162" s="578" t="s">
        <v>1519</v>
      </c>
      <c r="X162" s="578" t="s">
        <v>1520</v>
      </c>
      <c r="Y162" s="578"/>
      <c r="Z162" s="578"/>
      <c r="AA162" s="578"/>
      <c r="AB162" s="578"/>
      <c r="AC162" s="578"/>
      <c r="AD162" s="578"/>
      <c r="AE162" s="578"/>
    </row>
    <row r="163" spans="2:35" hidden="1">
      <c r="B163" s="578"/>
      <c r="X163" s="578"/>
      <c r="Y163" s="578"/>
      <c r="Z163" s="578"/>
      <c r="AA163" s="578"/>
      <c r="AB163" s="578"/>
      <c r="AC163" s="578"/>
      <c r="AD163" s="578"/>
      <c r="AE163" s="578"/>
    </row>
    <row r="164" spans="2:35" hidden="1">
      <c r="B164" s="578" t="s">
        <v>1521</v>
      </c>
      <c r="X164" s="578"/>
      <c r="Y164" s="578"/>
      <c r="Z164" s="578"/>
      <c r="AA164" s="578"/>
      <c r="AB164" s="578"/>
      <c r="AC164" s="578"/>
      <c r="AD164" s="578"/>
      <c r="AE164" s="578"/>
      <c r="AH164" s="75">
        <v>550</v>
      </c>
      <c r="AI164" s="75" t="s">
        <v>1522</v>
      </c>
    </row>
    <row r="165" spans="2:35" hidden="1">
      <c r="B165" s="578" t="s">
        <v>1523</v>
      </c>
      <c r="X165" s="578"/>
      <c r="Y165" s="578"/>
      <c r="Z165" s="578"/>
      <c r="AA165" s="578"/>
      <c r="AB165" s="578"/>
      <c r="AC165" s="578"/>
      <c r="AD165" s="578"/>
      <c r="AE165" s="578"/>
      <c r="AH165" s="75">
        <v>620</v>
      </c>
      <c r="AI165" s="75" t="str">
        <f>AI164</f>
        <v>we do not include insurance saving</v>
      </c>
    </row>
    <row r="166" spans="2:35" hidden="1">
      <c r="B166" s="578" t="s">
        <v>1524</v>
      </c>
      <c r="X166" s="578"/>
      <c r="Y166" s="578"/>
      <c r="Z166" s="578"/>
      <c r="AA166" s="578"/>
      <c r="AB166" s="578"/>
      <c r="AC166" s="578"/>
      <c r="AD166" s="578"/>
      <c r="AE166" s="578"/>
      <c r="AH166" s="75">
        <v>1200</v>
      </c>
      <c r="AI166" s="75" t="str">
        <f>AI164</f>
        <v>we do not include insurance saving</v>
      </c>
    </row>
    <row r="167" spans="2:35" hidden="1"/>
    <row r="168" spans="2:35" hidden="1"/>
  </sheetData>
  <mergeCells count="13">
    <mergeCell ref="B15:AQ15"/>
    <mergeCell ref="B60:AP60"/>
    <mergeCell ref="B61:AP61"/>
    <mergeCell ref="B136:AL136"/>
    <mergeCell ref="B87:AD87"/>
    <mergeCell ref="B102:C102"/>
    <mergeCell ref="AB107:AB108"/>
    <mergeCell ref="AD107:AD108"/>
    <mergeCell ref="B128:C128"/>
    <mergeCell ref="B111:C111"/>
    <mergeCell ref="B113:C113"/>
    <mergeCell ref="B124:C124"/>
    <mergeCell ref="B125:C125"/>
  </mergeCells>
  <pageMargins left="0.70866141732283472" right="0.70866141732283472" top="0.74803149606299213" bottom="0.74803149606299213" header="0.31496062992125984" footer="0.31496062992125984"/>
  <pageSetup paperSize="9"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181"/>
  <sheetViews>
    <sheetView topLeftCell="A15" zoomScale="80" zoomScaleNormal="80" workbookViewId="0">
      <selection activeCell="Y65" sqref="Y65"/>
    </sheetView>
  </sheetViews>
  <sheetFormatPr defaultColWidth="6.21875" defaultRowHeight="12.75" outlineLevelRow="1" outlineLevelCol="1"/>
  <cols>
    <col min="1" max="1" width="5.109375" style="167" customWidth="1"/>
    <col min="2" max="2" width="63.33203125" style="167" customWidth="1"/>
    <col min="3" max="3" width="0.6640625" style="1202" customWidth="1"/>
    <col min="4" max="4" width="0.6640625" style="1202" customWidth="1" outlineLevel="1"/>
    <col min="5" max="5" width="0.109375" style="1202" customWidth="1"/>
    <col min="6" max="6" width="0.109375" style="1202" customWidth="1" outlineLevel="1"/>
    <col min="7" max="7" width="0.109375" style="1202" customWidth="1"/>
    <col min="8" max="8" width="0.109375" style="1202" customWidth="1" outlineLevel="1"/>
    <col min="9" max="9" width="0.109375" style="1202" customWidth="1"/>
    <col min="10" max="10" width="0.109375" style="1202" customWidth="1" outlineLevel="1"/>
    <col min="11" max="11" width="0.109375" style="1202" customWidth="1"/>
    <col min="12" max="12" width="0.109375" style="1203" customWidth="1"/>
    <col min="13" max="13" width="0.109375" style="245" customWidth="1"/>
    <col min="14" max="15" width="6.33203125" style="245" hidden="1" customWidth="1"/>
    <col min="16" max="16" width="11" style="245" hidden="1" customWidth="1"/>
    <col min="17" max="18" width="6.33203125" style="245" hidden="1" customWidth="1"/>
    <col min="19" max="19" width="6.77734375" style="245" hidden="1" customWidth="1" outlineLevel="1"/>
    <col min="20" max="20" width="6.109375" style="191" hidden="1" customWidth="1" collapsed="1"/>
    <col min="21" max="21" width="6.33203125" style="245" hidden="1" customWidth="1"/>
    <col min="22" max="22" width="6.5546875" style="245" hidden="1" customWidth="1"/>
    <col min="23" max="23" width="9.44140625" style="245" hidden="1" customWidth="1"/>
    <col min="24" max="25" width="7.77734375" style="245" customWidth="1"/>
    <col min="26" max="43" width="7.77734375" style="167" customWidth="1"/>
    <col min="44" max="46" width="0" style="167" hidden="1" customWidth="1"/>
    <col min="47" max="16384" width="6.21875" style="167"/>
  </cols>
  <sheetData>
    <row r="1" spans="1:43" hidden="1" outlineLevel="1">
      <c r="B1" s="167" t="s">
        <v>1063</v>
      </c>
    </row>
    <row r="2" spans="1:43" hidden="1" outlineLevel="1"/>
    <row r="3" spans="1:43" hidden="1" outlineLevel="1"/>
    <row r="4" spans="1:43" hidden="1" outlineLevel="1">
      <c r="N4" s="245">
        <v>1991</v>
      </c>
      <c r="O4" s="245">
        <v>1992</v>
      </c>
      <c r="P4" s="245">
        <v>1993</v>
      </c>
      <c r="Q4" s="245">
        <v>1994</v>
      </c>
      <c r="R4" s="245">
        <v>1995</v>
      </c>
      <c r="S4" s="245">
        <v>1996</v>
      </c>
      <c r="T4" s="191">
        <v>1997</v>
      </c>
      <c r="U4" s="245">
        <v>1998</v>
      </c>
      <c r="V4" s="245">
        <v>1999</v>
      </c>
      <c r="W4" s="245">
        <v>2000</v>
      </c>
      <c r="X4" s="245">
        <v>2001</v>
      </c>
      <c r="Z4" s="167">
        <v>2003</v>
      </c>
      <c r="AB4" s="167">
        <v>2005</v>
      </c>
      <c r="AD4" s="167">
        <v>2007</v>
      </c>
      <c r="AF4" s="167">
        <v>2009</v>
      </c>
      <c r="AG4" s="167">
        <v>2010</v>
      </c>
      <c r="AH4" s="167">
        <v>2011</v>
      </c>
      <c r="AI4" s="167">
        <v>2012</v>
      </c>
      <c r="AJ4" s="167">
        <v>2013</v>
      </c>
      <c r="AK4" s="167">
        <v>2014</v>
      </c>
      <c r="AL4" s="167">
        <v>2015</v>
      </c>
      <c r="AM4" s="167">
        <v>2016</v>
      </c>
      <c r="AN4" s="167">
        <v>2017</v>
      </c>
      <c r="AO4" s="167">
        <v>2018</v>
      </c>
      <c r="AP4" s="167">
        <v>2019</v>
      </c>
      <c r="AQ4" s="167">
        <v>2020</v>
      </c>
    </row>
    <row r="5" spans="1:43" hidden="1" outlineLevel="1"/>
    <row r="6" spans="1:43" hidden="1" outlineLevel="1">
      <c r="A6" s="167" t="s">
        <v>2</v>
      </c>
      <c r="B6" s="167" t="s">
        <v>3</v>
      </c>
      <c r="P6" s="249">
        <f>P94</f>
        <v>13082.632920800001</v>
      </c>
      <c r="Q6" s="249" t="e">
        <f t="shared" ref="Q6:AJ6" si="0">Q94</f>
        <v>#REF!</v>
      </c>
      <c r="R6" s="1204">
        <f t="shared" si="0"/>
        <v>0</v>
      </c>
      <c r="S6" s="1204">
        <f t="shared" si="0"/>
        <v>13500.600460592454</v>
      </c>
      <c r="T6" s="1205">
        <f>AVERAGE(S6,U6)</f>
        <v>14541.422431719553</v>
      </c>
      <c r="U6" s="1204">
        <f t="shared" si="0"/>
        <v>15582.244402846653</v>
      </c>
      <c r="V6" s="1204">
        <f t="shared" si="0"/>
        <v>47488.642707156279</v>
      </c>
      <c r="W6" s="1204">
        <f t="shared" si="0"/>
        <v>50955.351485320891</v>
      </c>
      <c r="X6" s="1204">
        <f t="shared" si="0"/>
        <v>33327</v>
      </c>
      <c r="Y6" s="1204">
        <f t="shared" si="0"/>
        <v>0</v>
      </c>
      <c r="Z6" s="1204">
        <f t="shared" si="0"/>
        <v>36473</v>
      </c>
      <c r="AA6" s="1204">
        <f t="shared" si="0"/>
        <v>0</v>
      </c>
      <c r="AB6" s="1204">
        <f t="shared" si="0"/>
        <v>32743</v>
      </c>
      <c r="AC6" s="1204">
        <f t="shared" si="0"/>
        <v>0</v>
      </c>
      <c r="AD6" s="1204">
        <f t="shared" si="0"/>
        <v>30268</v>
      </c>
      <c r="AE6" s="1204">
        <f t="shared" si="0"/>
        <v>0</v>
      </c>
      <c r="AF6" s="1204">
        <f t="shared" si="0"/>
        <v>28157</v>
      </c>
      <c r="AG6" s="1204">
        <f t="shared" si="0"/>
        <v>29331</v>
      </c>
      <c r="AH6" s="1204">
        <f t="shared" si="0"/>
        <v>27753</v>
      </c>
      <c r="AI6" s="1204">
        <f t="shared" si="0"/>
        <v>27196</v>
      </c>
      <c r="AJ6" s="1204">
        <f t="shared" si="0"/>
        <v>27017</v>
      </c>
      <c r="AK6" s="1204">
        <f>AK94</f>
        <v>27141</v>
      </c>
      <c r="AL6" s="1204">
        <f>AL94</f>
        <v>28343</v>
      </c>
      <c r="AM6" s="1204">
        <f>AM94</f>
        <v>29147</v>
      </c>
      <c r="AN6" s="1204">
        <f>AN94</f>
        <v>30204</v>
      </c>
      <c r="AO6" s="1204">
        <f t="shared" ref="AO6" si="1">AO94</f>
        <v>31403</v>
      </c>
      <c r="AP6" s="1204">
        <f>AP94</f>
        <v>32250</v>
      </c>
      <c r="AQ6" s="1204"/>
    </row>
    <row r="7" spans="1:43" hidden="1" outlineLevel="1">
      <c r="A7" s="167" t="s">
        <v>4</v>
      </c>
      <c r="B7" s="167" t="s">
        <v>5</v>
      </c>
      <c r="R7" s="1204"/>
      <c r="S7" s="1204"/>
      <c r="T7" s="1206"/>
      <c r="U7" s="1204"/>
      <c r="V7" s="1204"/>
      <c r="W7" s="1204"/>
      <c r="X7" s="1204">
        <f>X115</f>
        <v>9480</v>
      </c>
      <c r="Y7" s="1204">
        <f t="shared" ref="Y7:AJ7" si="2">Y115</f>
        <v>0</v>
      </c>
      <c r="Z7" s="1204">
        <f t="shared" si="2"/>
        <v>9485</v>
      </c>
      <c r="AA7" s="1204">
        <f t="shared" si="2"/>
        <v>0</v>
      </c>
      <c r="AB7" s="1204">
        <f t="shared" si="2"/>
        <v>9480</v>
      </c>
      <c r="AC7" s="1204">
        <f t="shared" si="2"/>
        <v>0</v>
      </c>
      <c r="AD7" s="1204">
        <f t="shared" si="2"/>
        <v>10580</v>
      </c>
      <c r="AE7" s="1204">
        <f t="shared" si="2"/>
        <v>0</v>
      </c>
      <c r="AF7" s="1204">
        <f t="shared" si="2"/>
        <v>9970</v>
      </c>
      <c r="AG7" s="1204">
        <f t="shared" si="2"/>
        <v>18510</v>
      </c>
      <c r="AH7" s="1204">
        <f t="shared" si="2"/>
        <v>19800</v>
      </c>
      <c r="AI7" s="1204">
        <f t="shared" si="2"/>
        <v>23880</v>
      </c>
      <c r="AJ7" s="1204">
        <f t="shared" si="2"/>
        <v>26240</v>
      </c>
      <c r="AK7" s="1204">
        <f>AK115</f>
        <v>28450</v>
      </c>
      <c r="AL7" s="1204">
        <f>AL115</f>
        <v>31540</v>
      </c>
      <c r="AM7" s="1204">
        <f>AM115</f>
        <v>34610</v>
      </c>
      <c r="AN7" s="1204">
        <f>AN115</f>
        <v>37380</v>
      </c>
      <c r="AO7" s="1204">
        <f t="shared" ref="AO7:AP7" si="3">AO115</f>
        <v>39410</v>
      </c>
      <c r="AP7" s="1204">
        <f t="shared" si="3"/>
        <v>40510</v>
      </c>
      <c r="AQ7" s="1204"/>
    </row>
    <row r="8" spans="1:43" hidden="1" outlineLevel="1">
      <c r="A8" s="167" t="s">
        <v>6</v>
      </c>
      <c r="P8" s="245">
        <f>P6</f>
        <v>13082.632920800001</v>
      </c>
      <c r="R8" s="1204">
        <f t="shared" ref="R8:W8" si="4">R6</f>
        <v>0</v>
      </c>
      <c r="S8" s="1204">
        <f t="shared" si="4"/>
        <v>13500.600460592454</v>
      </c>
      <c r="T8" s="1206">
        <f t="shared" si="4"/>
        <v>14541.422431719553</v>
      </c>
      <c r="U8" s="1204">
        <f t="shared" si="4"/>
        <v>15582.244402846653</v>
      </c>
      <c r="V8" s="1204">
        <f t="shared" si="4"/>
        <v>47488.642707156279</v>
      </c>
      <c r="W8" s="1204">
        <f t="shared" si="4"/>
        <v>50955.351485320891</v>
      </c>
      <c r="X8" s="1207">
        <f>X6+X7</f>
        <v>42807</v>
      </c>
      <c r="Y8" s="1207"/>
      <c r="Z8" s="1208">
        <f>Z6+Z7</f>
        <v>45958</v>
      </c>
      <c r="AA8" s="1208"/>
      <c r="AB8" s="1208">
        <f>AB6+AB7</f>
        <v>42223</v>
      </c>
      <c r="AC8" s="1208"/>
      <c r="AD8" s="1208">
        <f>AD6+AD7</f>
        <v>40848</v>
      </c>
      <c r="AE8" s="1208"/>
      <c r="AF8" s="1208">
        <f t="shared" ref="AF8:AL8" si="5">AF6+AF7</f>
        <v>38127</v>
      </c>
      <c r="AG8" s="1208">
        <f t="shared" si="5"/>
        <v>47841</v>
      </c>
      <c r="AH8" s="1208">
        <f t="shared" si="5"/>
        <v>47553</v>
      </c>
      <c r="AI8" s="1208">
        <f t="shared" si="5"/>
        <v>51076</v>
      </c>
      <c r="AJ8" s="1208">
        <f t="shared" si="5"/>
        <v>53257</v>
      </c>
      <c r="AK8" s="1208">
        <f t="shared" si="5"/>
        <v>55591</v>
      </c>
      <c r="AL8" s="1208">
        <f t="shared" si="5"/>
        <v>59883</v>
      </c>
      <c r="AM8" s="1208">
        <f>AM6+AM7</f>
        <v>63757</v>
      </c>
      <c r="AN8" s="1208">
        <f>AN6+AN7</f>
        <v>67584</v>
      </c>
      <c r="AO8" s="1208">
        <f t="shared" ref="AO8:AP8" si="6">AO6+AO7</f>
        <v>70813</v>
      </c>
      <c r="AP8" s="1208">
        <f t="shared" si="6"/>
        <v>72760</v>
      </c>
      <c r="AQ8" s="197"/>
    </row>
    <row r="9" spans="1:43" hidden="1" outlineLevel="1">
      <c r="R9" s="1204"/>
      <c r="S9" s="1204"/>
      <c r="T9" s="565"/>
      <c r="U9" s="1204"/>
      <c r="V9" s="1204"/>
      <c r="W9" s="1204"/>
      <c r="X9" s="1204"/>
      <c r="Y9" s="1204"/>
      <c r="Z9" s="197"/>
      <c r="AA9" s="197"/>
      <c r="AB9" s="197"/>
      <c r="AC9" s="197"/>
      <c r="AD9" s="197"/>
      <c r="AE9" s="197"/>
      <c r="AF9" s="197"/>
      <c r="AG9" s="197"/>
      <c r="AH9" s="197"/>
      <c r="AI9" s="197"/>
      <c r="AJ9" s="197"/>
      <c r="AK9" s="197"/>
      <c r="AL9" s="197"/>
      <c r="AM9" s="197"/>
      <c r="AN9" s="197"/>
      <c r="AO9" s="197"/>
      <c r="AP9" s="197"/>
      <c r="AQ9" s="197"/>
    </row>
    <row r="10" spans="1:43" hidden="1" outlineLevel="1">
      <c r="A10" s="167" t="s">
        <v>110</v>
      </c>
      <c r="B10" s="167" t="s">
        <v>110</v>
      </c>
      <c r="R10" s="1204"/>
      <c r="S10" s="1204"/>
      <c r="T10" s="565"/>
      <c r="U10" s="1204"/>
      <c r="V10" s="1204" t="s">
        <v>237</v>
      </c>
      <c r="W10" s="1204"/>
      <c r="X10" s="1204">
        <f>X119</f>
        <v>17520</v>
      </c>
      <c r="Y10" s="1204">
        <f t="shared" ref="Y10:AJ10" si="7">Y119</f>
        <v>0</v>
      </c>
      <c r="Z10" s="1204">
        <f t="shared" si="7"/>
        <v>18280</v>
      </c>
      <c r="AA10" s="1204">
        <f t="shared" si="7"/>
        <v>0</v>
      </c>
      <c r="AB10" s="1204">
        <f t="shared" si="7"/>
        <v>19585</v>
      </c>
      <c r="AC10" s="1204">
        <f t="shared" si="7"/>
        <v>0</v>
      </c>
      <c r="AD10" s="1204">
        <f t="shared" si="7"/>
        <v>20270</v>
      </c>
      <c r="AE10" s="1204">
        <f t="shared" si="7"/>
        <v>0</v>
      </c>
      <c r="AF10" s="1204">
        <f t="shared" si="7"/>
        <v>20730</v>
      </c>
      <c r="AG10" s="1204">
        <f t="shared" si="7"/>
        <v>19610</v>
      </c>
      <c r="AH10" s="1204">
        <f t="shared" si="7"/>
        <v>26470</v>
      </c>
      <c r="AI10" s="1204">
        <f t="shared" si="7"/>
        <v>28060</v>
      </c>
      <c r="AJ10" s="1204">
        <f t="shared" si="7"/>
        <v>28895</v>
      </c>
      <c r="AK10" s="1204">
        <f>AK119</f>
        <v>30200</v>
      </c>
      <c r="AL10" s="1204">
        <f>AL119</f>
        <v>30305</v>
      </c>
      <c r="AM10" s="1204">
        <f>AM119</f>
        <v>31975</v>
      </c>
      <c r="AN10" s="1204">
        <f>AN119</f>
        <v>34190</v>
      </c>
      <c r="AO10" s="1204">
        <f t="shared" ref="AO10:AP10" si="8">AO119</f>
        <v>36560</v>
      </c>
      <c r="AP10" s="1204">
        <f t="shared" si="8"/>
        <v>39150</v>
      </c>
      <c r="AQ10" s="1204"/>
    </row>
    <row r="11" spans="1:43" hidden="1" outlineLevel="1">
      <c r="R11" s="1204"/>
      <c r="S11" s="1204"/>
      <c r="T11" s="565"/>
      <c r="U11" s="1204"/>
      <c r="V11" s="1204"/>
      <c r="W11" s="1204"/>
      <c r="X11" s="1204"/>
      <c r="Y11" s="1204"/>
      <c r="Z11" s="197"/>
      <c r="AA11" s="197"/>
      <c r="AB11" s="197"/>
      <c r="AC11" s="197"/>
      <c r="AD11" s="197"/>
      <c r="AE11" s="197"/>
      <c r="AF11" s="197"/>
      <c r="AG11" s="197"/>
      <c r="AH11" s="197"/>
      <c r="AI11" s="197"/>
      <c r="AJ11" s="197"/>
      <c r="AK11" s="197"/>
      <c r="AL11" s="197"/>
      <c r="AM11" s="197"/>
      <c r="AN11" s="197"/>
      <c r="AO11" s="197"/>
      <c r="AP11" s="197"/>
      <c r="AQ11" s="197"/>
    </row>
    <row r="12" spans="1:43" hidden="1" outlineLevel="1">
      <c r="A12" s="167" t="s">
        <v>450</v>
      </c>
      <c r="B12" s="167" t="s">
        <v>8</v>
      </c>
      <c r="R12" s="1204"/>
      <c r="S12" s="1204"/>
      <c r="T12" s="565"/>
      <c r="U12" s="1204"/>
      <c r="V12" s="1204"/>
      <c r="W12" s="1204"/>
      <c r="X12" s="1204">
        <f>X101+X107</f>
        <v>20400</v>
      </c>
      <c r="Y12" s="1204">
        <f>Y101+Y107</f>
        <v>0</v>
      </c>
      <c r="Z12" s="1204">
        <f>Z101+Z106+Z107</f>
        <v>23170</v>
      </c>
      <c r="AA12" s="1204">
        <f t="shared" ref="AA12:AJ12" si="9">AA101+AA106+AA107</f>
        <v>0</v>
      </c>
      <c r="AB12" s="1204">
        <f t="shared" si="9"/>
        <v>19810</v>
      </c>
      <c r="AC12" s="1204">
        <f t="shared" si="9"/>
        <v>0</v>
      </c>
      <c r="AD12" s="1204">
        <f t="shared" si="9"/>
        <v>19925</v>
      </c>
      <c r="AE12" s="1204">
        <f t="shared" si="9"/>
        <v>0</v>
      </c>
      <c r="AF12" s="1204">
        <f t="shared" si="9"/>
        <v>20075</v>
      </c>
      <c r="AG12" s="1204">
        <f t="shared" si="9"/>
        <v>22535</v>
      </c>
      <c r="AH12" s="1204">
        <f t="shared" si="9"/>
        <v>22550</v>
      </c>
      <c r="AI12" s="1204">
        <f t="shared" si="9"/>
        <v>23210</v>
      </c>
      <c r="AJ12" s="1204">
        <f t="shared" si="9"/>
        <v>23785</v>
      </c>
      <c r="AK12" s="1204">
        <f>AK101+AK106+AK107</f>
        <v>24100</v>
      </c>
      <c r="AL12" s="1204">
        <f>AL101+AL106+AL107</f>
        <v>25225</v>
      </c>
      <c r="AM12" s="1204">
        <f>AM101+AM106+AM107</f>
        <v>25875</v>
      </c>
      <c r="AN12" s="1204">
        <f>AN101+AN106+AN107</f>
        <v>26775</v>
      </c>
      <c r="AO12" s="1204">
        <f t="shared" ref="AO12" si="10">AO101+AO106+AO107</f>
        <v>27790</v>
      </c>
      <c r="AP12" s="1204">
        <f>AP101+AP106+AP107</f>
        <v>28520</v>
      </c>
      <c r="AQ12" s="1204"/>
    </row>
    <row r="13" spans="1:43" hidden="1" outlineLevel="1"/>
    <row r="14" spans="1:43" hidden="1" outlineLevel="1"/>
    <row r="15" spans="1:43" ht="29.25" customHeight="1" collapsed="1">
      <c r="A15" s="1957" t="s">
        <v>1064</v>
      </c>
      <c r="B15" s="1957"/>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57"/>
      <c r="AQ15" s="1957"/>
    </row>
    <row r="16" spans="1:43" ht="13.5" customHeight="1">
      <c r="A16" s="228"/>
      <c r="B16" s="228"/>
      <c r="C16" s="233"/>
      <c r="D16" s="231"/>
      <c r="E16" s="231"/>
      <c r="F16" s="231"/>
      <c r="G16" s="231"/>
      <c r="H16" s="231"/>
      <c r="I16" s="231"/>
      <c r="J16" s="231"/>
      <c r="K16" s="231"/>
      <c r="L16" s="1039"/>
    </row>
    <row r="17" spans="1:44" ht="13.5" customHeight="1">
      <c r="A17" s="232" t="s">
        <v>1063</v>
      </c>
      <c r="B17" s="242"/>
      <c r="C17" s="242"/>
      <c r="D17" s="242"/>
      <c r="E17" s="242"/>
      <c r="F17" s="242"/>
      <c r="G17" s="242"/>
      <c r="H17" s="242"/>
      <c r="I17" s="242"/>
      <c r="J17" s="242"/>
      <c r="K17" s="242"/>
      <c r="L17" s="1039"/>
    </row>
    <row r="18" spans="1:44" ht="13.5" customHeight="1">
      <c r="A18" s="228"/>
      <c r="B18" s="228"/>
      <c r="C18" s="233"/>
      <c r="D18" s="231"/>
      <c r="E18" s="231"/>
      <c r="F18" s="231"/>
      <c r="G18" s="231"/>
      <c r="H18" s="231"/>
      <c r="I18" s="231"/>
      <c r="J18" s="231"/>
      <c r="K18" s="231"/>
      <c r="L18" s="1039"/>
    </row>
    <row r="19" spans="1:44" ht="13.5" customHeight="1">
      <c r="A19" s="232" t="s">
        <v>259</v>
      </c>
      <c r="B19" s="242"/>
      <c r="C19" s="242"/>
      <c r="D19" s="242"/>
      <c r="E19" s="242"/>
      <c r="F19" s="242"/>
      <c r="G19" s="242"/>
      <c r="H19" s="242"/>
      <c r="I19" s="242"/>
      <c r="J19" s="242"/>
      <c r="K19" s="242"/>
      <c r="L19" s="1039"/>
    </row>
    <row r="20" spans="1:44" ht="13.5" customHeight="1">
      <c r="A20" s="562"/>
      <c r="B20" s="562"/>
      <c r="C20" s="196"/>
      <c r="D20" s="196"/>
      <c r="E20" s="196"/>
      <c r="F20" s="196"/>
      <c r="G20" s="196"/>
      <c r="H20" s="196"/>
      <c r="I20" s="196"/>
      <c r="J20" s="196"/>
      <c r="K20" s="196"/>
      <c r="L20" s="1039"/>
    </row>
    <row r="21" spans="1:44" ht="19.5" customHeight="1">
      <c r="A21" s="1209"/>
      <c r="B21" s="1209"/>
      <c r="C21" s="167"/>
      <c r="D21" s="167"/>
      <c r="E21" s="167"/>
      <c r="F21" s="167"/>
      <c r="G21" s="167"/>
      <c r="H21" s="167"/>
      <c r="I21" s="167"/>
      <c r="J21" s="167"/>
      <c r="K21" s="167"/>
      <c r="L21" s="167"/>
      <c r="M21" s="167"/>
      <c r="N21" s="167"/>
      <c r="O21" s="167"/>
      <c r="P21" s="167"/>
      <c r="Q21" s="167"/>
      <c r="R21" s="167"/>
      <c r="S21" s="167"/>
      <c r="T21" s="167"/>
      <c r="X21" s="1210">
        <v>2001</v>
      </c>
      <c r="Y21" s="1210">
        <v>2002</v>
      </c>
      <c r="Z21" s="1210">
        <v>2003</v>
      </c>
      <c r="AA21" s="1210">
        <v>2004</v>
      </c>
      <c r="AB21" s="1210">
        <v>2005</v>
      </c>
      <c r="AC21" s="1210">
        <v>2006</v>
      </c>
      <c r="AD21" s="1210">
        <v>2007</v>
      </c>
      <c r="AE21" s="1210">
        <v>2008</v>
      </c>
      <c r="AF21" s="1210">
        <v>2009</v>
      </c>
      <c r="AG21" s="1210">
        <v>2010</v>
      </c>
      <c r="AH21" s="1210">
        <v>2011</v>
      </c>
      <c r="AI21" s="1210">
        <v>2012</v>
      </c>
      <c r="AJ21" s="1210">
        <v>2013</v>
      </c>
      <c r="AK21" s="1210">
        <v>2014</v>
      </c>
      <c r="AL21" s="1210">
        <v>2015</v>
      </c>
      <c r="AM21" s="1210">
        <v>2016</v>
      </c>
      <c r="AN21" s="1210">
        <v>2017</v>
      </c>
      <c r="AO21" s="1210">
        <v>2018</v>
      </c>
      <c r="AP21" s="1210">
        <v>2019</v>
      </c>
      <c r="AQ21" s="1210">
        <v>2020</v>
      </c>
    </row>
    <row r="22" spans="1:44" ht="13.5" customHeight="1">
      <c r="B22" s="237"/>
      <c r="C22" s="167"/>
      <c r="D22" s="167"/>
      <c r="E22" s="167"/>
      <c r="F22" s="167"/>
      <c r="G22" s="167"/>
      <c r="H22" s="167"/>
      <c r="I22" s="167"/>
      <c r="J22" s="167"/>
      <c r="K22" s="167"/>
      <c r="L22" s="167"/>
      <c r="M22" s="167"/>
      <c r="N22" s="167"/>
      <c r="O22" s="167"/>
      <c r="P22" s="167"/>
      <c r="Q22" s="167"/>
      <c r="R22" s="167"/>
      <c r="S22" s="167"/>
      <c r="T22" s="167"/>
      <c r="X22" s="236"/>
      <c r="Y22" s="236"/>
      <c r="Z22" s="236"/>
      <c r="AA22" s="236"/>
      <c r="AB22" s="236"/>
      <c r="AC22" s="236"/>
      <c r="AD22" s="236"/>
      <c r="AE22" s="236"/>
      <c r="AF22" s="236"/>
      <c r="AG22" s="1039"/>
      <c r="AH22" s="245"/>
      <c r="AI22" s="245"/>
      <c r="AJ22" s="245"/>
      <c r="AK22" s="245"/>
      <c r="AL22" s="245"/>
      <c r="AM22" s="245"/>
      <c r="AN22" s="245"/>
      <c r="AO22" s="245"/>
      <c r="AP22" s="245"/>
      <c r="AQ22" s="245"/>
    </row>
    <row r="23" spans="1:44" ht="13.5" customHeight="1">
      <c r="A23" s="246" t="s">
        <v>1065</v>
      </c>
      <c r="B23" s="246"/>
      <c r="C23" s="167"/>
      <c r="D23" s="167"/>
      <c r="E23" s="167"/>
      <c r="F23" s="167"/>
      <c r="G23" s="167"/>
      <c r="H23" s="167"/>
      <c r="I23" s="167"/>
      <c r="J23" s="167"/>
      <c r="K23" s="167"/>
      <c r="L23" s="167"/>
      <c r="M23" s="167"/>
      <c r="N23" s="167"/>
      <c r="O23" s="167"/>
      <c r="P23" s="167"/>
      <c r="Q23" s="167"/>
      <c r="R23" s="167"/>
      <c r="S23" s="167"/>
      <c r="T23" s="167"/>
      <c r="X23" s="1211">
        <f>SUM(X24:X26)+SUM(X32:X33)</f>
        <v>25839.662837006577</v>
      </c>
      <c r="Y23" s="1212">
        <f t="shared" ref="Y23:AD23" si="11">SUM(Y24:Y26)+SUM(Y32:Y33)</f>
        <v>18688.097911276698</v>
      </c>
      <c r="Z23" s="1211">
        <f t="shared" si="11"/>
        <v>27074.037079940477</v>
      </c>
      <c r="AA23" s="1212"/>
      <c r="AB23" s="1211">
        <f t="shared" si="11"/>
        <v>32804.700466863884</v>
      </c>
      <c r="AC23" s="1211">
        <v>23867.366304595278</v>
      </c>
      <c r="AD23" s="1211">
        <f t="shared" si="11"/>
        <v>34749.955793837355</v>
      </c>
      <c r="AE23" s="1211">
        <f>SUM(AE24:AE26)+SUM(AE32:AE33)</f>
        <v>34736.236692887855</v>
      </c>
      <c r="AF23" s="1211">
        <f t="shared" ref="AF23:AP23" si="12">SUM(AF24:AF26)+SUM(AF32:AF33)</f>
        <v>41816.930847636584</v>
      </c>
      <c r="AG23" s="1211">
        <f t="shared" si="12"/>
        <v>41953.103472762996</v>
      </c>
      <c r="AH23" s="1211">
        <f t="shared" si="12"/>
        <v>43939.973388576633</v>
      </c>
      <c r="AI23" s="1211">
        <f t="shared" si="12"/>
        <v>45838.614390282397</v>
      </c>
      <c r="AJ23" s="1211">
        <f t="shared" si="12"/>
        <v>47651.547561090141</v>
      </c>
      <c r="AK23" s="1211">
        <f t="shared" si="12"/>
        <v>48920.077148605342</v>
      </c>
      <c r="AL23" s="1211">
        <f t="shared" si="12"/>
        <v>52703.647226420595</v>
      </c>
      <c r="AM23" s="1211">
        <f t="shared" si="12"/>
        <v>56482.919568360965</v>
      </c>
      <c r="AN23" s="1211">
        <f t="shared" si="12"/>
        <v>60109.488424615287</v>
      </c>
      <c r="AO23" s="1211">
        <f t="shared" si="12"/>
        <v>62723.616095757294</v>
      </c>
      <c r="AP23" s="1211">
        <f t="shared" si="12"/>
        <v>66516.744535587422</v>
      </c>
      <c r="AQ23" s="1211"/>
      <c r="AR23" s="191"/>
    </row>
    <row r="24" spans="1:44" ht="13.5" customHeight="1">
      <c r="B24" s="228" t="s">
        <v>1066</v>
      </c>
      <c r="C24" s="167"/>
      <c r="D24" s="167"/>
      <c r="E24" s="167"/>
      <c r="F24" s="167"/>
      <c r="G24" s="167"/>
      <c r="H24" s="167"/>
      <c r="I24" s="167"/>
      <c r="J24" s="167"/>
      <c r="K24" s="167"/>
      <c r="L24" s="167"/>
      <c r="M24" s="167"/>
      <c r="N24" s="167"/>
      <c r="O24" s="167"/>
      <c r="P24" s="167"/>
      <c r="Q24" s="167"/>
      <c r="R24" s="167"/>
      <c r="S24" s="167"/>
      <c r="T24" s="167"/>
      <c r="X24" s="1213">
        <v>16525.922792721838</v>
      </c>
      <c r="Y24" s="1000">
        <v>17215.306470843192</v>
      </c>
      <c r="Z24" s="1213">
        <v>17945.417546938275</v>
      </c>
      <c r="AA24" s="1214">
        <v>19485.908773614785</v>
      </c>
      <c r="AB24" s="1213">
        <v>20873.603114249905</v>
      </c>
      <c r="AC24" s="1214">
        <v>21386.680234684452</v>
      </c>
      <c r="AD24" s="1213">
        <v>22026.424699585023</v>
      </c>
      <c r="AE24" s="1213">
        <v>22862.589850884717</v>
      </c>
      <c r="AF24" s="1213">
        <v>27300.239732823302</v>
      </c>
      <c r="AG24" s="1213">
        <v>27481.130586082087</v>
      </c>
      <c r="AH24" s="1213">
        <v>28529.492638897042</v>
      </c>
      <c r="AI24" s="1213">
        <v>29199.208178111472</v>
      </c>
      <c r="AJ24" s="1213">
        <v>29996.892028584411</v>
      </c>
      <c r="AK24" s="1213">
        <v>30980.43932689635</v>
      </c>
      <c r="AL24" s="1213">
        <v>33039.390011277894</v>
      </c>
      <c r="AM24" s="1213">
        <v>35124.09633362935</v>
      </c>
      <c r="AN24" s="1213">
        <v>37215.165408861641</v>
      </c>
      <c r="AO24" s="1213">
        <v>38314.717222981992</v>
      </c>
      <c r="AP24" s="1213">
        <v>40095.841980882789</v>
      </c>
      <c r="AQ24" s="1213"/>
      <c r="AR24" s="247" t="s">
        <v>1067</v>
      </c>
    </row>
    <row r="25" spans="1:44" ht="13.5" customHeight="1">
      <c r="B25" s="228" t="s">
        <v>1068</v>
      </c>
      <c r="C25" s="167"/>
      <c r="D25" s="167"/>
      <c r="E25" s="167"/>
      <c r="F25" s="167"/>
      <c r="G25" s="167"/>
      <c r="H25" s="167"/>
      <c r="I25" s="167"/>
      <c r="J25" s="167"/>
      <c r="K25" s="167"/>
      <c r="L25" s="167"/>
      <c r="M25" s="167"/>
      <c r="N25" s="167"/>
      <c r="O25" s="167"/>
      <c r="P25" s="167"/>
      <c r="Q25" s="167"/>
      <c r="R25" s="167"/>
      <c r="S25" s="167"/>
      <c r="T25" s="167"/>
      <c r="X25" s="1215">
        <v>5134.01</v>
      </c>
      <c r="Y25" s="1000">
        <v>0</v>
      </c>
      <c r="Z25" s="1215">
        <v>4748.8</v>
      </c>
      <c r="AA25" s="1000">
        <v>0</v>
      </c>
      <c r="AB25" s="1215">
        <v>6900</v>
      </c>
      <c r="AC25" s="1000">
        <v>0</v>
      </c>
      <c r="AD25" s="1215">
        <v>8050</v>
      </c>
      <c r="AE25" s="1215">
        <v>9360</v>
      </c>
      <c r="AF25" s="1215">
        <v>9460</v>
      </c>
      <c r="AG25" s="1215">
        <v>9380</v>
      </c>
      <c r="AH25" s="1215">
        <v>10020</v>
      </c>
      <c r="AI25" s="1215">
        <v>11040</v>
      </c>
      <c r="AJ25" s="1215">
        <v>11830</v>
      </c>
      <c r="AK25" s="1215">
        <v>12220</v>
      </c>
      <c r="AL25" s="1215">
        <v>13190</v>
      </c>
      <c r="AM25" s="1215">
        <v>15090</v>
      </c>
      <c r="AN25" s="1215">
        <v>16390</v>
      </c>
      <c r="AO25" s="1215">
        <v>17720</v>
      </c>
      <c r="AP25" s="1215">
        <v>19350</v>
      </c>
      <c r="AQ25" s="1215"/>
      <c r="AR25" s="604" t="s">
        <v>1069</v>
      </c>
    </row>
    <row r="26" spans="1:44" ht="12.75" customHeight="1">
      <c r="B26" s="228" t="s">
        <v>1070</v>
      </c>
      <c r="C26" s="167"/>
      <c r="D26" s="167"/>
      <c r="E26" s="167"/>
      <c r="F26" s="167"/>
      <c r="G26" s="167"/>
      <c r="H26" s="167"/>
      <c r="I26" s="167"/>
      <c r="J26" s="167"/>
      <c r="K26" s="167"/>
      <c r="L26" s="167"/>
      <c r="M26" s="167"/>
      <c r="N26" s="167"/>
      <c r="O26" s="167"/>
      <c r="P26" s="167"/>
      <c r="Q26" s="167"/>
      <c r="R26" s="167"/>
      <c r="S26" s="167"/>
      <c r="T26" s="167"/>
      <c r="X26" s="1216">
        <v>1093.8530532130421</v>
      </c>
      <c r="Y26" s="1216"/>
      <c r="Z26" s="1216">
        <v>1218.786136313448</v>
      </c>
      <c r="AA26" s="1216"/>
      <c r="AB26" s="1216">
        <v>1920.0034244331991</v>
      </c>
      <c r="AC26" s="1216">
        <v>1970.7432685560514</v>
      </c>
      <c r="AD26" s="1216">
        <v>2087.0919931516582</v>
      </c>
      <c r="AE26" s="1216"/>
      <c r="AF26" s="1216">
        <v>2287.0878311182942</v>
      </c>
      <c r="AG26" s="1216">
        <v>2295.7925803805001</v>
      </c>
      <c r="AH26" s="1216">
        <v>2409.06974871701</v>
      </c>
      <c r="AI26" s="1216">
        <v>2469.5084042711246</v>
      </c>
      <c r="AJ26" s="1216">
        <v>2543.4992532900001</v>
      </c>
      <c r="AK26" s="1216">
        <v>2599.8616414227499</v>
      </c>
      <c r="AL26" s="1216">
        <v>2728.1610242548718</v>
      </c>
      <c r="AM26" s="1216">
        <v>2868.7845285429303</v>
      </c>
      <c r="AN26" s="1216">
        <v>2997.8547580338718</v>
      </c>
      <c r="AO26" s="1216">
        <v>3086.6492055665553</v>
      </c>
      <c r="AP26" s="1216">
        <v>3299.1389202872247</v>
      </c>
      <c r="AQ26" s="1216"/>
      <c r="AR26" s="247"/>
    </row>
    <row r="27" spans="1:44" ht="6" customHeight="1">
      <c r="B27" s="228"/>
      <c r="C27" s="167"/>
      <c r="D27" s="167"/>
      <c r="E27" s="167"/>
      <c r="F27" s="167"/>
      <c r="G27" s="167"/>
      <c r="H27" s="167"/>
      <c r="I27" s="167"/>
      <c r="J27" s="167"/>
      <c r="K27" s="167"/>
      <c r="L27" s="167"/>
      <c r="M27" s="167"/>
      <c r="N27" s="167"/>
      <c r="O27" s="167"/>
      <c r="P27" s="167"/>
      <c r="Q27" s="167"/>
      <c r="R27" s="167"/>
      <c r="S27" s="167"/>
      <c r="T27" s="167"/>
      <c r="X27" s="1216"/>
      <c r="Y27" s="1216"/>
      <c r="Z27" s="1216"/>
      <c r="AA27" s="1216"/>
      <c r="AB27" s="1216"/>
      <c r="AC27" s="1216"/>
      <c r="AD27" s="1216"/>
      <c r="AE27" s="1216"/>
      <c r="AF27" s="1216"/>
      <c r="AG27" s="1216"/>
      <c r="AH27" s="1216"/>
      <c r="AI27" s="1216"/>
      <c r="AJ27" s="1216"/>
      <c r="AK27" s="1216"/>
      <c r="AL27" s="1216"/>
      <c r="AM27" s="1216"/>
      <c r="AN27" s="1216"/>
      <c r="AO27" s="1216"/>
      <c r="AP27" s="1216"/>
      <c r="AQ27" s="1216"/>
      <c r="AR27" s="191"/>
    </row>
    <row r="28" spans="1:44" ht="13.5" customHeight="1">
      <c r="B28" s="248" t="s">
        <v>1071</v>
      </c>
      <c r="C28" s="167"/>
      <c r="D28" s="167"/>
      <c r="E28" s="167"/>
      <c r="F28" s="167"/>
      <c r="G28" s="167"/>
      <c r="H28" s="167"/>
      <c r="I28" s="167"/>
      <c r="J28" s="167"/>
      <c r="K28" s="167"/>
      <c r="L28" s="167"/>
      <c r="M28" s="167"/>
      <c r="N28" s="167"/>
      <c r="O28" s="167"/>
      <c r="P28" s="167"/>
      <c r="Q28" s="167"/>
      <c r="R28" s="167"/>
      <c r="S28" s="167"/>
      <c r="T28" s="167"/>
      <c r="X28" s="1215">
        <v>252.45283782157202</v>
      </c>
      <c r="Y28" s="1000">
        <v>261.759931930915</v>
      </c>
      <c r="Z28" s="1215">
        <v>267.70944894104952</v>
      </c>
      <c r="AA28" s="1000">
        <v>263.67950577263207</v>
      </c>
      <c r="AB28" s="1215">
        <v>265.72227506035199</v>
      </c>
      <c r="AC28" s="1000">
        <v>268.16615296808106</v>
      </c>
      <c r="AD28" s="1215">
        <v>273.48896106334502</v>
      </c>
      <c r="AE28" s="1215">
        <v>275.54465989978002</v>
      </c>
      <c r="AF28" s="1215">
        <v>282.45890522600001</v>
      </c>
      <c r="AG28" s="1215">
        <v>274.94397235399998</v>
      </c>
      <c r="AH28" s="1215">
        <v>277.46927042400995</v>
      </c>
      <c r="AI28" s="1215">
        <v>275.43932679812497</v>
      </c>
      <c r="AJ28" s="1215">
        <v>274.96068181300001</v>
      </c>
      <c r="AK28" s="1215">
        <v>271.49721098474998</v>
      </c>
      <c r="AL28" s="1215">
        <v>277.66161302647197</v>
      </c>
      <c r="AM28" s="1215">
        <v>279.30358923462995</v>
      </c>
      <c r="AN28" s="1215">
        <v>295.63833400827201</v>
      </c>
      <c r="AO28" s="1215">
        <v>293.71830540045499</v>
      </c>
      <c r="AP28" s="1215">
        <v>302.08511147972501</v>
      </c>
      <c r="AQ28" s="1215"/>
      <c r="AR28" s="247" t="s">
        <v>1067</v>
      </c>
    </row>
    <row r="29" spans="1:44" ht="13.5" customHeight="1">
      <c r="B29" s="248" t="s">
        <v>1072</v>
      </c>
      <c r="C29" s="167"/>
      <c r="D29" s="167"/>
      <c r="E29" s="167"/>
      <c r="F29" s="167"/>
      <c r="G29" s="167"/>
      <c r="H29" s="167"/>
      <c r="I29" s="167"/>
      <c r="J29" s="167"/>
      <c r="K29" s="167"/>
      <c r="L29" s="167"/>
      <c r="M29" s="167"/>
      <c r="N29" s="167"/>
      <c r="O29" s="167"/>
      <c r="P29" s="167"/>
      <c r="Q29" s="167"/>
      <c r="R29" s="167"/>
      <c r="S29" s="167"/>
      <c r="T29" s="167"/>
      <c r="X29" s="1215">
        <v>164.62072088974909</v>
      </c>
      <c r="Y29" s="1000">
        <v>184.12740080921697</v>
      </c>
      <c r="Z29" s="1215">
        <v>204.38011627114861</v>
      </c>
      <c r="AA29" s="1000">
        <v>231.27149820080055</v>
      </c>
      <c r="AB29" s="1215">
        <v>244.28193162044727</v>
      </c>
      <c r="AC29" s="1000">
        <v>270.91159796347034</v>
      </c>
      <c r="AD29" s="1215">
        <v>298.95709021331328</v>
      </c>
      <c r="AE29" s="1215">
        <v>327.38437439069469</v>
      </c>
      <c r="AF29" s="1215">
        <v>359.17348152179403</v>
      </c>
      <c r="AG29" s="1215">
        <v>376.04807949999997</v>
      </c>
      <c r="AH29" s="1215">
        <v>404.36696649999993</v>
      </c>
      <c r="AI29" s="1215">
        <v>428.73721799999987</v>
      </c>
      <c r="AJ29" s="1215">
        <v>464.69533250000001</v>
      </c>
      <c r="AK29" s="1215">
        <v>494.28513499999997</v>
      </c>
      <c r="AL29" s="1215">
        <v>536.35843519999992</v>
      </c>
      <c r="AM29" s="1215">
        <v>582.95617879999998</v>
      </c>
      <c r="AN29" s="1215">
        <v>629.54919519999999</v>
      </c>
      <c r="AO29" s="1215">
        <v>665.14811529999997</v>
      </c>
      <c r="AP29" s="1215">
        <v>700.9415735</v>
      </c>
      <c r="AQ29" s="1215"/>
      <c r="AR29" s="247" t="s">
        <v>1067</v>
      </c>
    </row>
    <row r="30" spans="1:44" ht="13.5" customHeight="1">
      <c r="B30" s="248" t="s">
        <v>1073</v>
      </c>
      <c r="C30" s="167"/>
      <c r="D30" s="167"/>
      <c r="E30" s="167"/>
      <c r="F30" s="167"/>
      <c r="G30" s="167"/>
      <c r="H30" s="167"/>
      <c r="I30" s="167"/>
      <c r="J30" s="167"/>
      <c r="K30" s="167"/>
      <c r="L30" s="167"/>
      <c r="M30" s="167"/>
      <c r="N30" s="167"/>
      <c r="O30" s="167"/>
      <c r="P30" s="167"/>
      <c r="Q30" s="167"/>
      <c r="R30" s="167"/>
      <c r="S30" s="167"/>
      <c r="T30" s="167"/>
      <c r="X30" s="1215">
        <v>676.77949450172093</v>
      </c>
      <c r="Y30" s="1000">
        <v>705.2383419642</v>
      </c>
      <c r="Z30" s="1215">
        <v>746.6965711012499</v>
      </c>
      <c r="AA30" s="1000">
        <v>1380.4776368480002</v>
      </c>
      <c r="AB30" s="1213">
        <v>1409.9992177523998</v>
      </c>
      <c r="AC30" s="1000">
        <v>1431.6655176244999</v>
      </c>
      <c r="AD30" s="1213">
        <v>1514.6459418750001</v>
      </c>
      <c r="AE30" s="1213">
        <v>1569.6412466550003</v>
      </c>
      <c r="AF30" s="1213">
        <v>1645.4554443705001</v>
      </c>
      <c r="AG30" s="1213">
        <v>1644.8005285265001</v>
      </c>
      <c r="AH30" s="1213">
        <v>1727.2335117929999</v>
      </c>
      <c r="AI30" s="1213">
        <v>1765.3318594729999</v>
      </c>
      <c r="AJ30" s="1213">
        <v>1803.8432389770001</v>
      </c>
      <c r="AK30" s="1213">
        <v>1834.0792954380001</v>
      </c>
      <c r="AL30" s="1213">
        <v>1914.1409760284</v>
      </c>
      <c r="AM30" s="1213">
        <v>2006.5247605083002</v>
      </c>
      <c r="AN30" s="1213">
        <v>2072.6672288256</v>
      </c>
      <c r="AO30" s="1213">
        <v>2127.7827848661004</v>
      </c>
      <c r="AP30" s="1213">
        <v>2296.1122353074998</v>
      </c>
      <c r="AQ30" s="1213"/>
      <c r="AR30" s="247" t="s">
        <v>1067</v>
      </c>
    </row>
    <row r="31" spans="1:44" ht="6" customHeight="1">
      <c r="B31" s="228"/>
      <c r="C31" s="167"/>
      <c r="D31" s="167"/>
      <c r="E31" s="167"/>
      <c r="F31" s="167"/>
      <c r="G31" s="167"/>
      <c r="H31" s="167"/>
      <c r="I31" s="167"/>
      <c r="J31" s="167"/>
      <c r="K31" s="167"/>
      <c r="L31" s="167"/>
      <c r="M31" s="167"/>
      <c r="N31" s="167"/>
      <c r="O31" s="167"/>
      <c r="P31" s="167"/>
      <c r="Q31" s="167"/>
      <c r="R31" s="167"/>
      <c r="S31" s="167"/>
      <c r="T31" s="167"/>
      <c r="X31" s="1216"/>
      <c r="Y31" s="1216"/>
      <c r="Z31" s="1216"/>
      <c r="AA31" s="1216"/>
      <c r="AB31" s="1216"/>
      <c r="AC31" s="1216"/>
      <c r="AD31" s="1216"/>
      <c r="AE31" s="1216"/>
      <c r="AF31" s="1216"/>
      <c r="AG31" s="1216"/>
      <c r="AH31" s="1216"/>
      <c r="AI31" s="1216"/>
      <c r="AJ31" s="1216"/>
      <c r="AK31" s="1216"/>
      <c r="AL31" s="1216"/>
      <c r="AM31" s="1216"/>
      <c r="AN31" s="1216"/>
      <c r="AO31" s="1216"/>
      <c r="AP31" s="1216"/>
      <c r="AQ31" s="1216"/>
      <c r="AR31" s="247"/>
    </row>
    <row r="32" spans="1:44" ht="13.5" customHeight="1">
      <c r="B32" s="228" t="s">
        <v>1074</v>
      </c>
      <c r="C32" s="167"/>
      <c r="D32" s="167"/>
      <c r="E32" s="167"/>
      <c r="F32" s="167"/>
      <c r="G32" s="167"/>
      <c r="H32" s="167"/>
      <c r="I32" s="167"/>
      <c r="J32" s="167"/>
      <c r="K32" s="167"/>
      <c r="L32" s="167"/>
      <c r="M32" s="167"/>
      <c r="N32" s="167"/>
      <c r="O32" s="167"/>
      <c r="P32" s="167"/>
      <c r="Q32" s="167"/>
      <c r="R32" s="167"/>
      <c r="S32" s="167"/>
      <c r="T32" s="167"/>
      <c r="X32" s="1215">
        <v>1600</v>
      </c>
      <c r="Y32" s="1000">
        <v>0</v>
      </c>
      <c r="Z32" s="1215">
        <v>1670</v>
      </c>
      <c r="AA32" s="1000">
        <v>0</v>
      </c>
      <c r="AB32" s="1215">
        <v>1895</v>
      </c>
      <c r="AC32" s="1000">
        <v>0</v>
      </c>
      <c r="AD32" s="1215">
        <v>2070</v>
      </c>
      <c r="AE32" s="1215">
        <v>1980</v>
      </c>
      <c r="AF32" s="1215">
        <v>1980</v>
      </c>
      <c r="AG32" s="1215">
        <v>2030</v>
      </c>
      <c r="AH32" s="1215">
        <v>2190</v>
      </c>
      <c r="AI32" s="1215">
        <v>2300</v>
      </c>
      <c r="AJ32" s="1215">
        <v>2430</v>
      </c>
      <c r="AK32" s="1215">
        <v>2245</v>
      </c>
      <c r="AL32" s="1215">
        <v>2840</v>
      </c>
      <c r="AM32" s="1215">
        <v>2460</v>
      </c>
      <c r="AN32" s="1215">
        <v>2530</v>
      </c>
      <c r="AO32" s="1215">
        <v>2590</v>
      </c>
      <c r="AP32" s="1215">
        <v>2730</v>
      </c>
      <c r="AQ32" s="1215"/>
      <c r="AR32" s="604" t="s">
        <v>1069</v>
      </c>
    </row>
    <row r="33" spans="1:44" ht="13.5" customHeight="1">
      <c r="B33" s="228" t="s">
        <v>1075</v>
      </c>
      <c r="C33" s="167"/>
      <c r="D33" s="167"/>
      <c r="E33" s="167"/>
      <c r="F33" s="167"/>
      <c r="G33" s="167"/>
      <c r="H33" s="167"/>
      <c r="I33" s="167"/>
      <c r="J33" s="167"/>
      <c r="K33" s="167"/>
      <c r="L33" s="167"/>
      <c r="M33" s="167"/>
      <c r="N33" s="167"/>
      <c r="O33" s="167"/>
      <c r="P33" s="167"/>
      <c r="Q33" s="167"/>
      <c r="R33" s="167"/>
      <c r="S33" s="167"/>
      <c r="T33" s="167"/>
      <c r="X33" s="1213">
        <v>1485.8769910716946</v>
      </c>
      <c r="Y33" s="1213">
        <v>1472.7914404335061</v>
      </c>
      <c r="Z33" s="1213">
        <v>1491.0333966887574</v>
      </c>
      <c r="AA33" s="1217">
        <v>1431.9170230563541</v>
      </c>
      <c r="AB33" s="1213">
        <v>1216.0939281807798</v>
      </c>
      <c r="AC33" s="1217">
        <v>509.94280135477192</v>
      </c>
      <c r="AD33" s="1213">
        <v>516.43910110067384</v>
      </c>
      <c r="AE33" s="1213">
        <v>533.64684200313627</v>
      </c>
      <c r="AF33" s="1213">
        <v>789.60328369497824</v>
      </c>
      <c r="AG33" s="1213">
        <v>766.18030630041426</v>
      </c>
      <c r="AH33" s="1213">
        <v>791.41100096258356</v>
      </c>
      <c r="AI33" s="1213">
        <v>829.89780789980364</v>
      </c>
      <c r="AJ33" s="1213">
        <v>851.15627921573173</v>
      </c>
      <c r="AK33" s="1213">
        <v>874.77618028624158</v>
      </c>
      <c r="AL33" s="1213">
        <v>906.09619088783393</v>
      </c>
      <c r="AM33" s="1213">
        <v>940.03870618868427</v>
      </c>
      <c r="AN33" s="1213">
        <v>976.46825771977501</v>
      </c>
      <c r="AO33" s="1213">
        <v>1012.2496672087459</v>
      </c>
      <c r="AP33" s="1213">
        <v>1041.763634417413</v>
      </c>
      <c r="AQ33" s="1213"/>
      <c r="AR33" s="247" t="s">
        <v>1067</v>
      </c>
    </row>
    <row r="34" spans="1:44" ht="13.5" customHeight="1">
      <c r="B34" s="228"/>
      <c r="C34" s="167"/>
      <c r="D34" s="167"/>
      <c r="E34" s="167"/>
      <c r="F34" s="167"/>
      <c r="G34" s="167"/>
      <c r="H34" s="167"/>
      <c r="I34" s="167"/>
      <c r="J34" s="167"/>
      <c r="K34" s="167"/>
      <c r="L34" s="167"/>
      <c r="M34" s="167"/>
      <c r="N34" s="167"/>
      <c r="O34" s="167"/>
      <c r="P34" s="167"/>
      <c r="Q34" s="167"/>
      <c r="R34" s="167"/>
      <c r="S34" s="167"/>
      <c r="T34" s="167"/>
      <c r="X34" s="1000"/>
      <c r="Y34" s="1000"/>
      <c r="Z34" s="1000"/>
      <c r="AA34" s="1000"/>
      <c r="AB34" s="1000"/>
      <c r="AC34" s="1000"/>
      <c r="AD34" s="1000"/>
      <c r="AE34" s="1000"/>
      <c r="AF34" s="1000"/>
      <c r="AG34" s="1039"/>
      <c r="AH34" s="1039"/>
      <c r="AI34" s="1039"/>
      <c r="AJ34" s="1039"/>
      <c r="AK34" s="1039"/>
      <c r="AL34" s="1039"/>
      <c r="AM34" s="1039"/>
      <c r="AN34" s="1039"/>
      <c r="AO34" s="1039"/>
      <c r="AP34" s="1039"/>
      <c r="AQ34" s="1039"/>
      <c r="AR34" s="191"/>
    </row>
    <row r="35" spans="1:44" ht="13.5" customHeight="1">
      <c r="A35" s="246" t="s">
        <v>1076</v>
      </c>
      <c r="B35" s="246"/>
      <c r="C35" s="167"/>
      <c r="D35" s="167"/>
      <c r="E35" s="167"/>
      <c r="F35" s="167"/>
      <c r="G35" s="167"/>
      <c r="H35" s="167"/>
      <c r="I35" s="167"/>
      <c r="J35" s="167"/>
      <c r="K35" s="167"/>
      <c r="L35" s="167"/>
      <c r="M35" s="167"/>
      <c r="N35" s="167"/>
      <c r="O35" s="167"/>
      <c r="P35" s="167"/>
      <c r="Q35" s="167"/>
      <c r="R35" s="167"/>
      <c r="S35" s="167"/>
      <c r="T35" s="167"/>
      <c r="X35" s="1211">
        <f>SUM(X36:X37)</f>
        <v>9842.6780195786596</v>
      </c>
      <c r="Y35" s="1211">
        <f t="shared" ref="Y35:AD35" si="13">SUM(Y36:Y37)</f>
        <v>9776.4334831812648</v>
      </c>
      <c r="Z35" s="1211">
        <f t="shared" si="13"/>
        <v>9561.1331238640159</v>
      </c>
      <c r="AA35" s="1211">
        <v>8747.4764691976325</v>
      </c>
      <c r="AB35" s="1211">
        <f t="shared" si="13"/>
        <v>7712.4538837090677</v>
      </c>
      <c r="AC35" s="1211">
        <v>6951.0046700904495</v>
      </c>
      <c r="AD35" s="1211">
        <f t="shared" si="13"/>
        <v>8603.0285883214001</v>
      </c>
      <c r="AE35" s="1211">
        <f>SUM(AE36:AE37)</f>
        <v>10734.135849430349</v>
      </c>
      <c r="AF35" s="1211">
        <f t="shared" ref="AF35:AP35" si="14">SUM(AF36:AF37)</f>
        <v>11039.383095955756</v>
      </c>
      <c r="AG35" s="1211">
        <f t="shared" si="14"/>
        <v>10977.916353460181</v>
      </c>
      <c r="AH35" s="1211">
        <f t="shared" si="14"/>
        <v>12268.397551006907</v>
      </c>
      <c r="AI35" s="1211">
        <f t="shared" si="14"/>
        <v>13884.030354138264</v>
      </c>
      <c r="AJ35" s="1211">
        <f t="shared" si="14"/>
        <v>15161.477427365384</v>
      </c>
      <c r="AK35" s="1211">
        <f t="shared" si="14"/>
        <v>15272.017268450323</v>
      </c>
      <c r="AL35" s="1211">
        <f t="shared" si="14"/>
        <v>16258.878153251826</v>
      </c>
      <c r="AM35" s="1211">
        <f t="shared" si="14"/>
        <v>17615.565884767231</v>
      </c>
      <c r="AN35" s="1211">
        <f t="shared" si="14"/>
        <v>18962.378676097658</v>
      </c>
      <c r="AO35" s="1211">
        <f t="shared" si="14"/>
        <v>20232.342266044718</v>
      </c>
      <c r="AP35" s="1211">
        <f t="shared" si="14"/>
        <v>21217.043974488519</v>
      </c>
      <c r="AQ35" s="1211"/>
      <c r="AR35" s="191"/>
    </row>
    <row r="36" spans="1:44" ht="13.5" customHeight="1">
      <c r="B36" s="228" t="s">
        <v>1077</v>
      </c>
      <c r="C36" s="167"/>
      <c r="D36" s="167"/>
      <c r="E36" s="167"/>
      <c r="F36" s="167"/>
      <c r="G36" s="167"/>
      <c r="H36" s="167"/>
      <c r="I36" s="167"/>
      <c r="J36" s="167"/>
      <c r="K36" s="167"/>
      <c r="L36" s="167"/>
      <c r="M36" s="167"/>
      <c r="N36" s="167"/>
      <c r="O36" s="167"/>
      <c r="P36" s="167"/>
      <c r="Q36" s="167"/>
      <c r="R36" s="167"/>
      <c r="S36" s="167"/>
      <c r="T36" s="167"/>
      <c r="X36" s="1213">
        <v>9842.6780195786596</v>
      </c>
      <c r="Y36" s="1213">
        <v>9776.4334831812648</v>
      </c>
      <c r="Z36" s="1213">
        <v>9561.1331238640159</v>
      </c>
      <c r="AA36" s="1217">
        <v>8747.4764691976325</v>
      </c>
      <c r="AB36" s="1213">
        <v>7712.4538837090677</v>
      </c>
      <c r="AC36" s="1213">
        <v>6951.0046700904495</v>
      </c>
      <c r="AD36" s="1213">
        <v>8603.0285883214001</v>
      </c>
      <c r="AE36" s="1213">
        <v>10734.135849430349</v>
      </c>
      <c r="AF36" s="1213">
        <v>11039.383095955756</v>
      </c>
      <c r="AG36" s="1213">
        <v>10977.916353460181</v>
      </c>
      <c r="AH36" s="1213">
        <v>12268.397551006907</v>
      </c>
      <c r="AI36" s="1213">
        <v>13884.030354138264</v>
      </c>
      <c r="AJ36" s="1213">
        <v>15161.477427365384</v>
      </c>
      <c r="AK36" s="1213">
        <v>15272.017268450323</v>
      </c>
      <c r="AL36" s="1213">
        <v>16258.878153251826</v>
      </c>
      <c r="AM36" s="1213">
        <v>17615.565884767231</v>
      </c>
      <c r="AN36" s="1213">
        <v>18962.378676097658</v>
      </c>
      <c r="AO36" s="1213">
        <v>20232.342266044718</v>
      </c>
      <c r="AP36" s="1213">
        <v>21217.043974488519</v>
      </c>
      <c r="AQ36" s="1213"/>
      <c r="AR36" s="247" t="s">
        <v>1067</v>
      </c>
    </row>
    <row r="37" spans="1:44" ht="13.5" customHeight="1">
      <c r="B37" s="228" t="s">
        <v>1078</v>
      </c>
      <c r="C37" s="167"/>
      <c r="D37" s="167"/>
      <c r="E37" s="167"/>
      <c r="F37" s="167"/>
      <c r="G37" s="167"/>
      <c r="H37" s="167"/>
      <c r="I37" s="167"/>
      <c r="J37" s="167"/>
      <c r="K37" s="167"/>
      <c r="L37" s="167"/>
      <c r="M37" s="167"/>
      <c r="N37" s="167"/>
      <c r="O37" s="167"/>
      <c r="P37" s="167"/>
      <c r="Q37" s="167"/>
      <c r="R37" s="167"/>
      <c r="S37" s="167"/>
      <c r="T37" s="167"/>
      <c r="X37" s="1213">
        <v>0</v>
      </c>
      <c r="Y37" s="749"/>
      <c r="Z37" s="1213">
        <v>0</v>
      </c>
      <c r="AA37" s="749"/>
      <c r="AB37" s="1213">
        <v>0</v>
      </c>
      <c r="AC37" s="749"/>
      <c r="AD37" s="1213">
        <v>0</v>
      </c>
      <c r="AE37" s="749"/>
      <c r="AF37" s="1213">
        <v>0</v>
      </c>
      <c r="AG37" s="1213">
        <v>0</v>
      </c>
      <c r="AH37" s="1213">
        <v>0</v>
      </c>
      <c r="AI37" s="1213">
        <v>0</v>
      </c>
      <c r="AJ37" s="1213">
        <v>0</v>
      </c>
      <c r="AK37" s="1213">
        <v>0</v>
      </c>
      <c r="AL37" s="1213">
        <v>0</v>
      </c>
      <c r="AM37" s="1213">
        <v>0</v>
      </c>
      <c r="AN37" s="1213">
        <v>0</v>
      </c>
      <c r="AO37" s="1213">
        <v>0</v>
      </c>
      <c r="AP37" s="1213">
        <v>0</v>
      </c>
      <c r="AQ37" s="1213"/>
      <c r="AR37" s="247" t="s">
        <v>1067</v>
      </c>
    </row>
    <row r="38" spans="1:44" ht="13.5" customHeight="1">
      <c r="B38" s="228"/>
      <c r="C38" s="167"/>
      <c r="D38" s="167"/>
      <c r="E38" s="167"/>
      <c r="F38" s="167"/>
      <c r="G38" s="167"/>
      <c r="H38" s="167"/>
      <c r="I38" s="167"/>
      <c r="J38" s="167"/>
      <c r="K38" s="167"/>
      <c r="L38" s="167"/>
      <c r="M38" s="167"/>
      <c r="N38" s="167"/>
      <c r="O38" s="167"/>
      <c r="P38" s="167"/>
      <c r="Q38" s="167"/>
      <c r="R38" s="167"/>
      <c r="S38" s="167"/>
      <c r="T38" s="167"/>
      <c r="X38" s="1000"/>
      <c r="Y38" s="1000"/>
      <c r="Z38" s="1000"/>
      <c r="AA38" s="1000"/>
      <c r="AB38" s="1000"/>
      <c r="AC38" s="1000"/>
      <c r="AD38" s="1000"/>
      <c r="AE38" s="1000"/>
      <c r="AF38" s="1000"/>
      <c r="AG38" s="1039"/>
      <c r="AH38" s="1039"/>
      <c r="AI38" s="1039"/>
      <c r="AJ38" s="1039"/>
      <c r="AK38" s="1039"/>
      <c r="AL38" s="1039"/>
      <c r="AM38" s="1039"/>
      <c r="AN38" s="1039"/>
      <c r="AO38" s="1039"/>
      <c r="AP38" s="1039"/>
      <c r="AQ38" s="1039"/>
      <c r="AR38" s="191"/>
    </row>
    <row r="39" spans="1:44" ht="13.5" customHeight="1">
      <c r="A39" s="246" t="s">
        <v>1079</v>
      </c>
      <c r="B39" s="246"/>
      <c r="C39" s="167"/>
      <c r="D39" s="167"/>
      <c r="E39" s="167"/>
      <c r="F39" s="167"/>
      <c r="G39" s="167"/>
      <c r="H39" s="167"/>
      <c r="I39" s="167"/>
      <c r="J39" s="167"/>
      <c r="K39" s="167"/>
      <c r="L39" s="167"/>
      <c r="M39" s="167"/>
      <c r="N39" s="167"/>
      <c r="O39" s="167"/>
      <c r="P39" s="167"/>
      <c r="Q39" s="167"/>
      <c r="R39" s="167"/>
      <c r="S39" s="167"/>
      <c r="T39" s="167"/>
      <c r="X39" s="1211">
        <f>SUM(X40:X42)</f>
        <v>2935.9077675859626</v>
      </c>
      <c r="Y39" s="1211">
        <f t="shared" ref="Y39:AP39" si="15">SUM(Y40:Y42)</f>
        <v>1736.8737132439051</v>
      </c>
      <c r="Z39" s="1211">
        <f t="shared" si="15"/>
        <v>3110.6132717370415</v>
      </c>
      <c r="AA39" s="1211"/>
      <c r="AB39" s="1211">
        <f t="shared" si="15"/>
        <v>4885.793993557988</v>
      </c>
      <c r="AC39" s="1211">
        <v>3244.9636494918882</v>
      </c>
      <c r="AD39" s="1211">
        <f t="shared" si="15"/>
        <v>5482.7215706874913</v>
      </c>
      <c r="AE39" s="1211">
        <f t="shared" si="15"/>
        <v>5746.5403917194963</v>
      </c>
      <c r="AF39" s="1211">
        <f t="shared" si="15"/>
        <v>6017.3854424970623</v>
      </c>
      <c r="AG39" s="1211">
        <f t="shared" si="15"/>
        <v>5762.0312479335471</v>
      </c>
      <c r="AH39" s="1211">
        <f t="shared" si="15"/>
        <v>6098.1658191950919</v>
      </c>
      <c r="AI39" s="1211">
        <f t="shared" si="15"/>
        <v>6345.9208893057357</v>
      </c>
      <c r="AJ39" s="1211">
        <f t="shared" si="15"/>
        <v>6551.8790018613799</v>
      </c>
      <c r="AK39" s="1211">
        <f t="shared" si="15"/>
        <v>6740.3410317821081</v>
      </c>
      <c r="AL39" s="1211">
        <f t="shared" si="15"/>
        <v>7001.4366139061403</v>
      </c>
      <c r="AM39" s="1211">
        <f t="shared" si="15"/>
        <v>7394.5732031031466</v>
      </c>
      <c r="AN39" s="1211">
        <f t="shared" si="15"/>
        <v>7820.8483855457343</v>
      </c>
      <c r="AO39" s="1211">
        <f t="shared" si="15"/>
        <v>8022.3898642654058</v>
      </c>
      <c r="AP39" s="1211">
        <f t="shared" si="15"/>
        <v>8219.9035302487882</v>
      </c>
      <c r="AQ39" s="1211"/>
      <c r="AR39" s="191"/>
    </row>
    <row r="40" spans="1:44" ht="13.5" customHeight="1">
      <c r="B40" s="228" t="s">
        <v>1080</v>
      </c>
      <c r="C40" s="167"/>
      <c r="D40" s="167"/>
      <c r="E40" s="167"/>
      <c r="F40" s="167"/>
      <c r="G40" s="167"/>
      <c r="H40" s="167"/>
      <c r="I40" s="167"/>
      <c r="J40" s="167"/>
      <c r="K40" s="167"/>
      <c r="L40" s="167"/>
      <c r="M40" s="167"/>
      <c r="N40" s="167"/>
      <c r="O40" s="167"/>
      <c r="P40" s="167"/>
      <c r="Q40" s="167"/>
      <c r="R40" s="167"/>
      <c r="S40" s="167"/>
      <c r="T40" s="167"/>
      <c r="X40" s="1215">
        <v>1189.4694932314926</v>
      </c>
      <c r="Y40" s="1000">
        <v>0</v>
      </c>
      <c r="Z40" s="1215">
        <v>1305.5</v>
      </c>
      <c r="AA40" s="1000">
        <v>0</v>
      </c>
      <c r="AB40" s="1215">
        <v>1775</v>
      </c>
      <c r="AC40" s="1215">
        <v>0</v>
      </c>
      <c r="AD40" s="1215">
        <v>1935.0000000000002</v>
      </c>
      <c r="AE40" s="1215">
        <v>2014.1769198133222</v>
      </c>
      <c r="AF40" s="1215">
        <v>2190</v>
      </c>
      <c r="AG40" s="1215">
        <v>1920</v>
      </c>
      <c r="AH40" s="1215">
        <v>2025</v>
      </c>
      <c r="AI40" s="1215">
        <v>2120</v>
      </c>
      <c r="AJ40" s="1215">
        <v>2215</v>
      </c>
      <c r="AK40" s="1215">
        <v>2315</v>
      </c>
      <c r="AL40" s="1215">
        <v>2410</v>
      </c>
      <c r="AM40" s="1215">
        <v>2615</v>
      </c>
      <c r="AN40" s="1215">
        <v>2910</v>
      </c>
      <c r="AO40" s="1215">
        <v>3030</v>
      </c>
      <c r="AP40" s="1215">
        <v>3070</v>
      </c>
      <c r="AQ40" s="1215"/>
      <c r="AR40" s="604" t="s">
        <v>1069</v>
      </c>
    </row>
    <row r="41" spans="1:44" ht="13.5" customHeight="1">
      <c r="B41" s="228" t="s">
        <v>1081</v>
      </c>
      <c r="C41" s="167"/>
      <c r="D41" s="167"/>
      <c r="E41" s="167"/>
      <c r="F41" s="167"/>
      <c r="G41" s="167"/>
      <c r="H41" s="167"/>
      <c r="I41" s="167"/>
      <c r="J41" s="167"/>
      <c r="K41" s="167"/>
      <c r="L41" s="167"/>
      <c r="M41" s="167"/>
      <c r="N41" s="167"/>
      <c r="O41" s="167"/>
      <c r="P41" s="167"/>
      <c r="Q41" s="167"/>
      <c r="R41" s="167"/>
      <c r="S41" s="167"/>
      <c r="T41" s="167"/>
      <c r="X41" s="1213">
        <v>1428.9519</v>
      </c>
      <c r="Y41" s="1000">
        <v>1415.6878999999999</v>
      </c>
      <c r="Z41" s="1213">
        <v>1480.7331000000001</v>
      </c>
      <c r="AA41" s="1214">
        <v>2789.3432000000003</v>
      </c>
      <c r="AB41" s="1213">
        <v>2799.9616000000001</v>
      </c>
      <c r="AC41" s="1213">
        <v>2933.8039999999996</v>
      </c>
      <c r="AD41" s="1213">
        <v>3242.415</v>
      </c>
      <c r="AE41" s="1213">
        <v>3431.3010000000004</v>
      </c>
      <c r="AF41" s="1213">
        <v>3535.4725000000003</v>
      </c>
      <c r="AG41" s="1213">
        <v>3563.9435000000003</v>
      </c>
      <c r="AH41" s="1213">
        <v>3793.9789999999998</v>
      </c>
      <c r="AI41" s="1213">
        <v>3950.68</v>
      </c>
      <c r="AJ41" s="1213">
        <v>4070.7225000000003</v>
      </c>
      <c r="AK41" s="1213">
        <v>4167.0720000000001</v>
      </c>
      <c r="AL41" s="1213">
        <v>4340.8092000000006</v>
      </c>
      <c r="AM41" s="1213">
        <v>4536.348</v>
      </c>
      <c r="AN41" s="1213">
        <v>4675.2903999999999</v>
      </c>
      <c r="AO41" s="1213">
        <v>4761.0045</v>
      </c>
      <c r="AP41" s="1213">
        <v>4921.1755000000003</v>
      </c>
      <c r="AQ41" s="1213"/>
      <c r="AR41" s="247" t="s">
        <v>1067</v>
      </c>
    </row>
    <row r="42" spans="1:44" ht="13.5" customHeight="1">
      <c r="B42" s="228" t="s">
        <v>1082</v>
      </c>
      <c r="C42" s="167"/>
      <c r="D42" s="167"/>
      <c r="E42" s="167"/>
      <c r="F42" s="167"/>
      <c r="G42" s="167"/>
      <c r="H42" s="167"/>
      <c r="I42" s="167"/>
      <c r="J42" s="167"/>
      <c r="K42" s="167"/>
      <c r="L42" s="167"/>
      <c r="M42" s="167"/>
      <c r="N42" s="167"/>
      <c r="O42" s="167"/>
      <c r="P42" s="167"/>
      <c r="Q42" s="167"/>
      <c r="R42" s="167"/>
      <c r="S42" s="167"/>
      <c r="T42" s="167"/>
      <c r="X42" s="1215">
        <v>317.4863743544704</v>
      </c>
      <c r="Y42" s="1000">
        <v>321.18581324390527</v>
      </c>
      <c r="Z42" s="1215">
        <v>324.38017173704111</v>
      </c>
      <c r="AA42" s="1000">
        <v>317.31136341719775</v>
      </c>
      <c r="AB42" s="1215">
        <v>310.83239355798719</v>
      </c>
      <c r="AC42" s="1215">
        <v>311.15964949188844</v>
      </c>
      <c r="AD42" s="1215">
        <v>305.30657068749122</v>
      </c>
      <c r="AE42" s="1215">
        <v>301.06247190617302</v>
      </c>
      <c r="AF42" s="1215">
        <v>291.91294249706249</v>
      </c>
      <c r="AG42" s="1215">
        <v>278.08774793354678</v>
      </c>
      <c r="AH42" s="1215">
        <v>279.18681919509282</v>
      </c>
      <c r="AI42" s="1215">
        <v>275.24088930573532</v>
      </c>
      <c r="AJ42" s="1215">
        <v>266.15650186138015</v>
      </c>
      <c r="AK42" s="1215">
        <v>258.2690317821079</v>
      </c>
      <c r="AL42" s="1215">
        <v>250.62741390613996</v>
      </c>
      <c r="AM42" s="1215">
        <v>243.22520310314638</v>
      </c>
      <c r="AN42" s="1215">
        <v>235.55798554573414</v>
      </c>
      <c r="AO42" s="1215">
        <v>231.38536426540583</v>
      </c>
      <c r="AP42" s="1215">
        <v>228.72803024878758</v>
      </c>
      <c r="AQ42" s="1215"/>
      <c r="AR42" s="247" t="s">
        <v>1067</v>
      </c>
    </row>
    <row r="43" spans="1:44" ht="13.5" customHeight="1">
      <c r="A43" s="238"/>
      <c r="B43" s="238"/>
      <c r="C43" s="167"/>
      <c r="D43" s="167"/>
      <c r="E43" s="167"/>
      <c r="F43" s="167"/>
      <c r="G43" s="167"/>
      <c r="H43" s="167"/>
      <c r="I43" s="167"/>
      <c r="J43" s="167"/>
      <c r="K43" s="167"/>
      <c r="L43" s="167"/>
      <c r="M43" s="167"/>
      <c r="N43" s="167"/>
      <c r="O43" s="167"/>
      <c r="P43" s="167"/>
      <c r="Q43" s="167"/>
      <c r="R43" s="167"/>
      <c r="S43" s="167"/>
      <c r="T43" s="167"/>
      <c r="X43" s="1218"/>
      <c r="Y43" s="1218"/>
      <c r="Z43" s="1218"/>
      <c r="AA43" s="1218"/>
      <c r="AB43" s="1218"/>
      <c r="AC43" s="1218"/>
      <c r="AD43" s="1218"/>
      <c r="AE43" s="1218"/>
      <c r="AF43" s="1218"/>
      <c r="AG43" s="1042"/>
      <c r="AH43" s="1042"/>
      <c r="AI43" s="1043"/>
      <c r="AJ43" s="1043"/>
      <c r="AK43" s="1043"/>
      <c r="AL43" s="1043"/>
      <c r="AM43" s="1043"/>
      <c r="AN43" s="1043"/>
      <c r="AO43" s="1043"/>
      <c r="AP43" s="1043"/>
      <c r="AQ43" s="1043"/>
    </row>
    <row r="44" spans="1:44" ht="13.5" customHeight="1">
      <c r="A44" s="237"/>
      <c r="B44" s="237"/>
      <c r="C44" s="167"/>
      <c r="D44" s="167"/>
      <c r="E44" s="167"/>
      <c r="F44" s="167"/>
      <c r="G44" s="167"/>
      <c r="H44" s="167"/>
      <c r="I44" s="167"/>
      <c r="J44" s="167"/>
      <c r="K44" s="167"/>
      <c r="L44" s="167"/>
      <c r="M44" s="167"/>
      <c r="N44" s="167"/>
      <c r="O44" s="167"/>
      <c r="P44" s="167"/>
      <c r="Q44" s="167"/>
      <c r="R44" s="167"/>
      <c r="S44" s="167"/>
      <c r="T44" s="167"/>
      <c r="X44" s="1216"/>
      <c r="Y44" s="1216"/>
      <c r="Z44" s="1216"/>
      <c r="AA44" s="1216"/>
      <c r="AB44" s="1216"/>
      <c r="AC44" s="1216"/>
      <c r="AD44" s="1216"/>
      <c r="AE44" s="1216"/>
      <c r="AF44" s="1216"/>
      <c r="AG44" s="1039"/>
      <c r="AH44" s="1039"/>
      <c r="AI44" s="1203"/>
      <c r="AJ44" s="1203"/>
      <c r="AK44" s="1203"/>
      <c r="AL44" s="1203"/>
      <c r="AM44" s="1203"/>
      <c r="AN44" s="1203"/>
      <c r="AO44" s="1203"/>
    </row>
    <row r="45" spans="1:44" ht="13.5" hidden="1" customHeight="1">
      <c r="A45" s="237"/>
      <c r="B45" s="237"/>
      <c r="C45" s="167"/>
      <c r="D45" s="167"/>
      <c r="E45" s="167"/>
      <c r="F45" s="167"/>
      <c r="G45" s="167"/>
      <c r="H45" s="167"/>
      <c r="I45" s="167"/>
      <c r="J45" s="167"/>
      <c r="K45" s="167"/>
      <c r="L45" s="167"/>
      <c r="M45" s="167"/>
      <c r="N45" s="167"/>
      <c r="O45" s="167"/>
      <c r="P45" s="167"/>
      <c r="Q45" s="167"/>
      <c r="R45" s="167"/>
      <c r="S45" s="167"/>
      <c r="T45" s="167"/>
      <c r="X45" s="1216"/>
      <c r="Y45" s="1216"/>
      <c r="Z45" s="1216"/>
      <c r="AA45" s="1216"/>
      <c r="AB45" s="1216"/>
      <c r="AC45" s="1216"/>
      <c r="AD45" s="1216"/>
      <c r="AE45" s="1216"/>
      <c r="AF45" s="1216"/>
      <c r="AG45" s="1039"/>
      <c r="AH45" s="1039"/>
      <c r="AI45" s="1203"/>
      <c r="AJ45" s="1203"/>
      <c r="AK45" s="1203"/>
      <c r="AL45" s="1203"/>
      <c r="AM45" s="1203"/>
      <c r="AN45" s="1203"/>
      <c r="AO45" s="1203"/>
    </row>
    <row r="46" spans="1:44" ht="13.5" hidden="1" customHeight="1">
      <c r="A46" s="237"/>
      <c r="B46" s="237"/>
      <c r="C46" s="167"/>
      <c r="D46" s="167"/>
      <c r="E46" s="167"/>
      <c r="F46" s="167"/>
      <c r="G46" s="167"/>
      <c r="H46" s="167"/>
      <c r="I46" s="167"/>
      <c r="J46" s="167"/>
      <c r="K46" s="167"/>
      <c r="L46" s="167"/>
      <c r="M46" s="167"/>
      <c r="N46" s="167"/>
      <c r="O46" s="167"/>
      <c r="P46" s="167"/>
      <c r="Q46" s="167"/>
      <c r="R46" s="167"/>
      <c r="S46" s="167"/>
      <c r="T46" s="167"/>
      <c r="X46" s="1216"/>
      <c r="Y46" s="1216"/>
      <c r="Z46" s="1216"/>
      <c r="AA46" s="1216"/>
      <c r="AB46" s="1216"/>
      <c r="AC46" s="1216"/>
      <c r="AD46" s="1216"/>
      <c r="AE46" s="1216"/>
      <c r="AF46" s="1216"/>
      <c r="AG46" s="1039"/>
      <c r="AH46" s="1039"/>
      <c r="AI46" s="1203"/>
      <c r="AJ46" s="1203"/>
      <c r="AK46" s="1203"/>
      <c r="AL46" s="1203"/>
      <c r="AM46" s="1203"/>
      <c r="AN46" s="1203"/>
      <c r="AO46" s="1203"/>
    </row>
    <row r="47" spans="1:44" ht="13.5" hidden="1" customHeight="1">
      <c r="A47" s="237"/>
      <c r="B47" s="237"/>
      <c r="C47" s="167"/>
      <c r="D47" s="167"/>
      <c r="E47" s="167"/>
      <c r="F47" s="167"/>
      <c r="G47" s="167"/>
      <c r="H47" s="167"/>
      <c r="I47" s="167"/>
      <c r="J47" s="167"/>
      <c r="K47" s="167"/>
      <c r="L47" s="167"/>
      <c r="M47" s="167"/>
      <c r="N47" s="167"/>
      <c r="O47" s="167"/>
      <c r="P47" s="167"/>
      <c r="Q47" s="167"/>
      <c r="R47" s="167"/>
      <c r="S47" s="167"/>
      <c r="T47" s="167"/>
      <c r="X47" s="1216"/>
      <c r="Y47" s="1216"/>
      <c r="Z47" s="1216"/>
      <c r="AA47" s="1216"/>
      <c r="AB47" s="1216"/>
      <c r="AC47" s="1216"/>
      <c r="AD47" s="1216"/>
      <c r="AE47" s="1216"/>
      <c r="AF47" s="1216"/>
      <c r="AG47" s="1039"/>
      <c r="AH47" s="1039"/>
      <c r="AI47" s="1203"/>
      <c r="AJ47" s="1203"/>
      <c r="AK47" s="1203"/>
      <c r="AL47" s="1203"/>
      <c r="AM47" s="1203"/>
      <c r="AN47" s="1203"/>
      <c r="AO47" s="1203"/>
    </row>
    <row r="48" spans="1:44" ht="13.5" hidden="1" customHeight="1">
      <c r="A48" s="237"/>
      <c r="B48" s="237"/>
      <c r="C48" s="167"/>
      <c r="D48" s="167"/>
      <c r="E48" s="167"/>
      <c r="F48" s="167"/>
      <c r="G48" s="167"/>
      <c r="H48" s="167"/>
      <c r="I48" s="167"/>
      <c r="J48" s="167"/>
      <c r="K48" s="167"/>
      <c r="L48" s="167"/>
      <c r="M48" s="167"/>
      <c r="N48" s="167"/>
      <c r="O48" s="167"/>
      <c r="P48" s="167"/>
      <c r="Q48" s="167"/>
      <c r="R48" s="167"/>
      <c r="S48" s="167"/>
      <c r="T48" s="167"/>
      <c r="X48" s="1216"/>
      <c r="Y48" s="1216"/>
      <c r="Z48" s="1216"/>
      <c r="AA48" s="1216"/>
      <c r="AB48" s="1216"/>
      <c r="AC48" s="1216"/>
      <c r="AD48" s="1216"/>
      <c r="AE48" s="1216"/>
      <c r="AF48" s="1216"/>
      <c r="AG48" s="1039"/>
      <c r="AH48" s="1039"/>
      <c r="AI48" s="1203"/>
      <c r="AJ48" s="1203"/>
      <c r="AK48" s="1203"/>
      <c r="AL48" s="1203"/>
      <c r="AM48" s="1203"/>
      <c r="AN48" s="1203"/>
      <c r="AO48" s="1203"/>
    </row>
    <row r="49" spans="1:43" ht="13.5" hidden="1" customHeight="1">
      <c r="A49" s="237"/>
      <c r="B49" s="237"/>
      <c r="C49" s="167"/>
      <c r="D49" s="167"/>
      <c r="E49" s="167"/>
      <c r="F49" s="167"/>
      <c r="G49" s="167"/>
      <c r="H49" s="167"/>
      <c r="I49" s="167"/>
      <c r="J49" s="167"/>
      <c r="K49" s="167"/>
      <c r="L49" s="167"/>
      <c r="M49" s="167"/>
      <c r="N49" s="167"/>
      <c r="O49" s="167"/>
      <c r="P49" s="167"/>
      <c r="Q49" s="167"/>
      <c r="R49" s="167"/>
      <c r="S49" s="167"/>
      <c r="T49" s="167"/>
      <c r="X49" s="1216"/>
      <c r="Y49" s="1216"/>
      <c r="Z49" s="1216"/>
      <c r="AA49" s="1216"/>
      <c r="AB49" s="1216"/>
      <c r="AC49" s="1216"/>
      <c r="AD49" s="1216"/>
      <c r="AE49" s="1216"/>
      <c r="AF49" s="1216"/>
      <c r="AG49" s="1039"/>
      <c r="AH49" s="1039"/>
      <c r="AI49" s="1203"/>
      <c r="AJ49" s="1203"/>
      <c r="AK49" s="1203"/>
      <c r="AL49" s="1203"/>
      <c r="AM49" s="1203"/>
      <c r="AN49" s="1203"/>
      <c r="AO49" s="1203"/>
    </row>
    <row r="50" spans="1:43" ht="13.5" hidden="1" customHeight="1">
      <c r="A50" s="237"/>
      <c r="B50" s="237"/>
      <c r="C50" s="167"/>
      <c r="D50" s="167"/>
      <c r="E50" s="167"/>
      <c r="F50" s="167"/>
      <c r="G50" s="167"/>
      <c r="H50" s="167"/>
      <c r="I50" s="167"/>
      <c r="J50" s="167"/>
      <c r="K50" s="167"/>
      <c r="L50" s="167"/>
      <c r="M50" s="167"/>
      <c r="N50" s="167"/>
      <c r="O50" s="167"/>
      <c r="P50" s="167"/>
      <c r="Q50" s="167"/>
      <c r="R50" s="167"/>
      <c r="S50" s="167"/>
      <c r="T50" s="167"/>
      <c r="X50" s="1216"/>
      <c r="Y50" s="1216"/>
      <c r="Z50" s="1216"/>
      <c r="AA50" s="1216"/>
      <c r="AB50" s="1216"/>
      <c r="AC50" s="1216"/>
      <c r="AD50" s="1216"/>
      <c r="AE50" s="1216"/>
      <c r="AF50" s="1216"/>
      <c r="AG50" s="1039"/>
      <c r="AH50" s="1039"/>
      <c r="AI50" s="1203"/>
      <c r="AJ50" s="1203"/>
      <c r="AK50" s="1203"/>
      <c r="AL50" s="1203"/>
      <c r="AM50" s="1203"/>
      <c r="AN50" s="1203"/>
      <c r="AO50" s="1203"/>
    </row>
    <row r="51" spans="1:43" ht="13.5" hidden="1" customHeight="1">
      <c r="A51" s="237"/>
      <c r="B51" s="237"/>
      <c r="C51" s="167"/>
      <c r="D51" s="167"/>
      <c r="E51" s="167"/>
      <c r="F51" s="167"/>
      <c r="G51" s="167"/>
      <c r="H51" s="167"/>
      <c r="I51" s="167"/>
      <c r="J51" s="167"/>
      <c r="K51" s="167"/>
      <c r="L51" s="167"/>
      <c r="M51" s="167"/>
      <c r="N51" s="167"/>
      <c r="O51" s="167"/>
      <c r="P51" s="167"/>
      <c r="Q51" s="167"/>
      <c r="R51" s="167"/>
      <c r="S51" s="167"/>
      <c r="T51" s="167"/>
      <c r="X51" s="1216"/>
      <c r="Y51" s="1216"/>
      <c r="Z51" s="1216"/>
      <c r="AA51" s="1216"/>
      <c r="AB51" s="1216"/>
      <c r="AC51" s="1216"/>
      <c r="AD51" s="1216"/>
      <c r="AE51" s="1216"/>
      <c r="AF51" s="1216"/>
      <c r="AG51" s="1039"/>
      <c r="AH51" s="1039"/>
      <c r="AI51" s="1203"/>
      <c r="AJ51" s="1203"/>
      <c r="AK51" s="1203"/>
      <c r="AL51" s="1203"/>
      <c r="AM51" s="1203"/>
      <c r="AN51" s="1203"/>
      <c r="AO51" s="1203"/>
    </row>
    <row r="52" spans="1:43" ht="13.5" hidden="1" customHeight="1">
      <c r="A52" s="237"/>
      <c r="B52" s="237"/>
      <c r="C52" s="167"/>
      <c r="D52" s="167"/>
      <c r="E52" s="167"/>
      <c r="F52" s="167"/>
      <c r="G52" s="167"/>
      <c r="H52" s="167"/>
      <c r="I52" s="167"/>
      <c r="J52" s="167"/>
      <c r="K52" s="167"/>
      <c r="L52" s="167"/>
      <c r="M52" s="167"/>
      <c r="N52" s="167"/>
      <c r="O52" s="167"/>
      <c r="P52" s="167"/>
      <c r="Q52" s="167"/>
      <c r="R52" s="167"/>
      <c r="S52" s="167"/>
      <c r="T52" s="167"/>
      <c r="X52" s="1216"/>
      <c r="Y52" s="1216"/>
      <c r="Z52" s="1216"/>
      <c r="AA52" s="1216"/>
      <c r="AB52" s="1216"/>
      <c r="AC52" s="1216"/>
      <c r="AD52" s="1216"/>
      <c r="AE52" s="1216"/>
      <c r="AF52" s="1216"/>
      <c r="AG52" s="1039"/>
      <c r="AH52" s="1039"/>
      <c r="AI52" s="1203"/>
      <c r="AJ52" s="1203"/>
      <c r="AK52" s="1203"/>
      <c r="AL52" s="1203"/>
      <c r="AM52" s="1203"/>
      <c r="AN52" s="1203"/>
      <c r="AO52" s="1203"/>
    </row>
    <row r="53" spans="1:43" ht="13.5" hidden="1" customHeight="1">
      <c r="A53" s="237"/>
      <c r="B53" s="237"/>
      <c r="C53" s="167"/>
      <c r="D53" s="167"/>
      <c r="E53" s="167"/>
      <c r="F53" s="167"/>
      <c r="G53" s="167"/>
      <c r="H53" s="167"/>
      <c r="I53" s="167"/>
      <c r="J53" s="167"/>
      <c r="K53" s="167"/>
      <c r="L53" s="167"/>
      <c r="M53" s="167"/>
      <c r="N53" s="167"/>
      <c r="O53" s="167"/>
      <c r="P53" s="167"/>
      <c r="Q53" s="167"/>
      <c r="R53" s="167"/>
      <c r="S53" s="167"/>
      <c r="T53" s="167"/>
      <c r="X53" s="1216"/>
      <c r="Y53" s="1216"/>
      <c r="Z53" s="1216"/>
      <c r="AA53" s="1216"/>
      <c r="AB53" s="1216"/>
      <c r="AC53" s="1216"/>
      <c r="AD53" s="1216"/>
      <c r="AE53" s="1216"/>
      <c r="AF53" s="1216"/>
      <c r="AG53" s="1039"/>
      <c r="AH53" s="1039"/>
      <c r="AI53" s="1203"/>
      <c r="AJ53" s="1203"/>
      <c r="AK53" s="1203"/>
      <c r="AL53" s="1203"/>
      <c r="AM53" s="1203"/>
      <c r="AN53" s="1203"/>
      <c r="AO53" s="1203"/>
    </row>
    <row r="54" spans="1:43" ht="13.5" hidden="1" customHeight="1">
      <c r="A54" s="237"/>
      <c r="B54" s="237"/>
      <c r="C54" s="167"/>
      <c r="D54" s="167"/>
      <c r="E54" s="167"/>
      <c r="F54" s="167"/>
      <c r="G54" s="167"/>
      <c r="H54" s="167"/>
      <c r="I54" s="167"/>
      <c r="J54" s="167"/>
      <c r="K54" s="167"/>
      <c r="L54" s="167"/>
      <c r="M54" s="167"/>
      <c r="N54" s="167"/>
      <c r="O54" s="167"/>
      <c r="P54" s="167"/>
      <c r="Q54" s="167"/>
      <c r="R54" s="167"/>
      <c r="S54" s="167"/>
      <c r="T54" s="167"/>
      <c r="X54" s="1216"/>
      <c r="Y54" s="1216"/>
      <c r="Z54" s="1216"/>
      <c r="AA54" s="1216"/>
      <c r="AB54" s="1216"/>
      <c r="AC54" s="1216"/>
      <c r="AD54" s="1216"/>
      <c r="AE54" s="1216"/>
      <c r="AF54" s="1216"/>
      <c r="AG54" s="1039"/>
      <c r="AH54" s="1039"/>
      <c r="AI54" s="1203"/>
      <c r="AJ54" s="1203"/>
      <c r="AK54" s="1203"/>
      <c r="AL54" s="1203"/>
      <c r="AM54" s="1203"/>
      <c r="AN54" s="1203"/>
      <c r="AO54" s="1203"/>
    </row>
    <row r="55" spans="1:43" ht="13.5" hidden="1" customHeight="1">
      <c r="A55" s="237"/>
      <c r="B55" s="237"/>
      <c r="C55" s="167"/>
      <c r="D55" s="167"/>
      <c r="E55" s="167"/>
      <c r="F55" s="167"/>
      <c r="G55" s="167"/>
      <c r="H55" s="167"/>
      <c r="I55" s="167"/>
      <c r="J55" s="167"/>
      <c r="K55" s="167"/>
      <c r="L55" s="167"/>
      <c r="M55" s="167"/>
      <c r="N55" s="167"/>
      <c r="O55" s="167"/>
      <c r="P55" s="167"/>
      <c r="Q55" s="167"/>
      <c r="R55" s="167"/>
      <c r="S55" s="167"/>
      <c r="T55" s="167"/>
      <c r="X55" s="1216"/>
      <c r="Y55" s="1216"/>
      <c r="Z55" s="1216"/>
      <c r="AA55" s="1216"/>
      <c r="AB55" s="1216"/>
      <c r="AC55" s="1216"/>
      <c r="AD55" s="1216"/>
      <c r="AE55" s="1216"/>
      <c r="AF55" s="1216"/>
      <c r="AG55" s="1039"/>
      <c r="AH55" s="1039"/>
      <c r="AI55" s="1203"/>
      <c r="AJ55" s="1203"/>
      <c r="AK55" s="1203"/>
      <c r="AL55" s="1203"/>
      <c r="AM55" s="1203"/>
      <c r="AN55" s="1203"/>
      <c r="AO55" s="1203"/>
    </row>
    <row r="56" spans="1:43" ht="13.5" hidden="1" customHeight="1">
      <c r="A56" s="237"/>
      <c r="B56" s="237"/>
      <c r="C56" s="167"/>
      <c r="D56" s="167"/>
      <c r="E56" s="167"/>
      <c r="F56" s="167"/>
      <c r="G56" s="167"/>
      <c r="H56" s="167"/>
      <c r="I56" s="167"/>
      <c r="J56" s="167"/>
      <c r="K56" s="167"/>
      <c r="L56" s="167"/>
      <c r="M56" s="167"/>
      <c r="N56" s="167"/>
      <c r="O56" s="167"/>
      <c r="P56" s="167"/>
      <c r="Q56" s="167"/>
      <c r="R56" s="167"/>
      <c r="S56" s="167"/>
      <c r="T56" s="167"/>
      <c r="X56" s="1216"/>
      <c r="Y56" s="1216"/>
      <c r="Z56" s="1216"/>
      <c r="AA56" s="1216"/>
      <c r="AB56" s="1216"/>
      <c r="AC56" s="1216"/>
      <c r="AD56" s="1216"/>
      <c r="AE56" s="1216"/>
      <c r="AF56" s="1216"/>
      <c r="AG56" s="1039"/>
      <c r="AH56" s="1039"/>
      <c r="AI56" s="1203"/>
      <c r="AJ56" s="1203"/>
      <c r="AK56" s="1203"/>
      <c r="AL56" s="1203"/>
      <c r="AM56" s="1203"/>
      <c r="AN56" s="1203"/>
      <c r="AO56" s="1203"/>
    </row>
    <row r="57" spans="1:43" ht="13.5" hidden="1" customHeight="1">
      <c r="A57" s="237"/>
      <c r="B57" s="237"/>
      <c r="C57" s="167"/>
      <c r="D57" s="167"/>
      <c r="E57" s="167"/>
      <c r="F57" s="167"/>
      <c r="G57" s="167"/>
      <c r="H57" s="167"/>
      <c r="I57" s="167"/>
      <c r="J57" s="167"/>
      <c r="K57" s="167"/>
      <c r="L57" s="167"/>
      <c r="M57" s="167"/>
      <c r="N57" s="167"/>
      <c r="O57" s="167"/>
      <c r="P57" s="167"/>
      <c r="Q57" s="167"/>
      <c r="R57" s="167"/>
      <c r="S57" s="167"/>
      <c r="T57" s="167"/>
      <c r="X57" s="1216"/>
      <c r="Y57" s="1216"/>
      <c r="Z57" s="1216"/>
      <c r="AA57" s="1216"/>
      <c r="AB57" s="1216"/>
      <c r="AC57" s="1216"/>
      <c r="AD57" s="1216"/>
      <c r="AE57" s="1216"/>
      <c r="AF57" s="1216"/>
      <c r="AG57" s="1039"/>
      <c r="AH57" s="1039"/>
      <c r="AI57" s="1203"/>
      <c r="AJ57" s="1203"/>
      <c r="AK57" s="1203"/>
      <c r="AL57" s="1203"/>
      <c r="AM57" s="1203"/>
      <c r="AN57" s="1203"/>
      <c r="AO57" s="1203"/>
    </row>
    <row r="58" spans="1:43" ht="13.5" hidden="1" customHeight="1">
      <c r="A58" s="237"/>
      <c r="B58" s="237"/>
      <c r="C58" s="167"/>
      <c r="D58" s="167"/>
      <c r="E58" s="167"/>
      <c r="F58" s="167"/>
      <c r="G58" s="167"/>
      <c r="H58" s="167"/>
      <c r="I58" s="167"/>
      <c r="J58" s="167"/>
      <c r="K58" s="167"/>
      <c r="L58" s="167"/>
      <c r="M58" s="167"/>
      <c r="N58" s="167"/>
      <c r="O58" s="167"/>
      <c r="P58" s="167"/>
      <c r="Q58" s="167"/>
      <c r="R58" s="167"/>
      <c r="S58" s="167"/>
      <c r="T58" s="167"/>
      <c r="X58" s="1216"/>
      <c r="Y58" s="1216"/>
      <c r="Z58" s="1216"/>
      <c r="AA58" s="1216"/>
      <c r="AB58" s="1216"/>
      <c r="AC58" s="1216"/>
      <c r="AD58" s="1216"/>
      <c r="AE58" s="1216"/>
      <c r="AF58" s="1216"/>
      <c r="AG58" s="1039"/>
      <c r="AH58" s="1039"/>
      <c r="AI58" s="1203"/>
      <c r="AJ58" s="1203"/>
      <c r="AK58" s="1203"/>
      <c r="AL58" s="1203"/>
      <c r="AM58" s="1203"/>
      <c r="AN58" s="1203"/>
      <c r="AO58" s="1203"/>
    </row>
    <row r="59" spans="1:43" ht="13.5" customHeight="1">
      <c r="A59" s="237"/>
      <c r="B59" s="237"/>
      <c r="C59" s="167"/>
      <c r="D59" s="167"/>
      <c r="E59" s="167"/>
      <c r="F59" s="167"/>
      <c r="G59" s="167"/>
      <c r="H59" s="167"/>
      <c r="I59" s="167"/>
      <c r="J59" s="167"/>
      <c r="K59" s="167"/>
      <c r="L59" s="167"/>
      <c r="M59" s="167"/>
      <c r="N59" s="167"/>
      <c r="O59" s="167"/>
      <c r="P59" s="167"/>
      <c r="Q59" s="167"/>
      <c r="R59" s="167"/>
      <c r="S59" s="167"/>
      <c r="T59" s="167"/>
      <c r="X59" s="1216"/>
      <c r="Y59" s="1216"/>
      <c r="Z59" s="1216"/>
      <c r="AA59" s="1216"/>
      <c r="AB59" s="1216"/>
      <c r="AC59" s="1216"/>
      <c r="AD59" s="1216"/>
      <c r="AE59" s="1216"/>
      <c r="AF59" s="1216"/>
      <c r="AG59" s="1039"/>
      <c r="AH59" s="1039"/>
      <c r="AI59" s="1203"/>
      <c r="AJ59" s="1203"/>
      <c r="AK59" s="1203"/>
      <c r="AL59" s="1203"/>
      <c r="AM59" s="1203"/>
      <c r="AN59" s="1203"/>
      <c r="AO59" s="1203"/>
    </row>
    <row r="60" spans="1:43" outlineLevel="1">
      <c r="B60" s="232" t="s">
        <v>26</v>
      </c>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564"/>
      <c r="AH60" s="564"/>
      <c r="AI60" s="191"/>
      <c r="AJ60" s="191"/>
      <c r="AK60" s="191"/>
      <c r="AL60" s="191"/>
      <c r="AM60" s="191"/>
      <c r="AN60" s="191"/>
      <c r="AO60" s="191"/>
    </row>
    <row r="61" spans="1:43" outlineLevel="1">
      <c r="B61" s="190" t="s">
        <v>27</v>
      </c>
      <c r="C61" s="191"/>
      <c r="D61" s="191"/>
      <c r="E61" s="191"/>
      <c r="F61" s="191"/>
      <c r="G61" s="191"/>
      <c r="H61" s="191"/>
      <c r="I61" s="191"/>
      <c r="J61" s="191"/>
      <c r="K61" s="191"/>
      <c r="L61" s="191"/>
      <c r="M61" s="191"/>
      <c r="N61" s="191"/>
      <c r="O61" s="191"/>
      <c r="P61" s="191"/>
      <c r="Q61" s="191"/>
      <c r="R61" s="191"/>
      <c r="S61" s="191"/>
      <c r="U61" s="191"/>
      <c r="V61" s="191"/>
      <c r="W61" s="191"/>
      <c r="X61" s="191"/>
      <c r="Y61" s="191"/>
      <c r="Z61" s="191"/>
      <c r="AA61" s="191"/>
      <c r="AB61" s="191"/>
      <c r="AC61" s="191"/>
      <c r="AD61" s="191"/>
      <c r="AE61" s="191"/>
      <c r="AF61" s="191"/>
      <c r="AG61" s="564"/>
      <c r="AH61" s="564"/>
      <c r="AI61" s="191"/>
      <c r="AJ61" s="191"/>
      <c r="AK61" s="191"/>
      <c r="AL61" s="191"/>
      <c r="AM61" s="191"/>
      <c r="AN61" s="191"/>
      <c r="AO61" s="191"/>
    </row>
    <row r="62" spans="1: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564"/>
      <c r="AH62" s="564"/>
      <c r="AI62" s="191"/>
      <c r="AJ62" s="191"/>
      <c r="AK62" s="191"/>
      <c r="AL62" s="191"/>
      <c r="AM62" s="191"/>
      <c r="AN62" s="191"/>
      <c r="AO62" s="191"/>
    </row>
    <row r="63" spans="1:43" outlineLevel="1">
      <c r="B63" s="228" t="s">
        <v>1655</v>
      </c>
      <c r="C63" s="228"/>
      <c r="D63" s="228"/>
      <c r="E63" s="167"/>
      <c r="F63" s="167"/>
      <c r="G63" s="167"/>
      <c r="H63" s="167"/>
      <c r="I63" s="167"/>
      <c r="J63" s="167"/>
      <c r="K63" s="167"/>
      <c r="L63" s="167"/>
      <c r="M63" s="167"/>
      <c r="N63" s="167"/>
      <c r="O63" s="197"/>
      <c r="P63" s="198"/>
      <c r="Q63" s="199"/>
      <c r="R63" s="198"/>
      <c r="S63" s="198"/>
      <c r="T63" s="198"/>
      <c r="U63" s="198"/>
      <c r="V63" s="198"/>
      <c r="W63" s="198"/>
      <c r="X63" s="230">
        <v>2001</v>
      </c>
      <c r="Y63" s="371">
        <v>2002</v>
      </c>
      <c r="Z63" s="371">
        <v>2003</v>
      </c>
      <c r="AA63" s="371">
        <v>2004</v>
      </c>
      <c r="AB63" s="371">
        <v>2005</v>
      </c>
      <c r="AC63" s="371">
        <v>2006</v>
      </c>
      <c r="AD63" s="371">
        <v>2007</v>
      </c>
      <c r="AE63" s="371">
        <v>2008</v>
      </c>
      <c r="AF63" s="371">
        <v>2009</v>
      </c>
      <c r="AG63" s="371">
        <v>2010</v>
      </c>
      <c r="AH63" s="371">
        <v>2011</v>
      </c>
      <c r="AI63" s="371">
        <v>2012</v>
      </c>
      <c r="AJ63" s="371">
        <v>2013</v>
      </c>
      <c r="AK63" s="371">
        <v>2014</v>
      </c>
      <c r="AL63" s="371">
        <v>2015</v>
      </c>
      <c r="AM63" s="371">
        <v>2016</v>
      </c>
      <c r="AN63" s="371">
        <v>2017</v>
      </c>
      <c r="AO63" s="371">
        <v>2018</v>
      </c>
      <c r="AP63" s="371">
        <v>2019</v>
      </c>
      <c r="AQ63" s="371">
        <v>2020</v>
      </c>
    </row>
    <row r="64" spans="1:43" outlineLevel="1">
      <c r="B64" s="228" t="s">
        <v>1656</v>
      </c>
      <c r="C64" s="228"/>
      <c r="D64" s="228"/>
      <c r="E64" s="167"/>
      <c r="F64" s="167"/>
      <c r="G64" s="167"/>
      <c r="H64" s="167"/>
      <c r="I64" s="167"/>
      <c r="J64" s="167"/>
      <c r="K64" s="167"/>
      <c r="L64" s="167"/>
      <c r="M64" s="167"/>
      <c r="N64" s="167"/>
      <c r="O64" s="197"/>
      <c r="P64" s="198"/>
      <c r="Q64" s="199"/>
      <c r="R64" s="198"/>
      <c r="S64" s="198"/>
      <c r="T64" s="198"/>
      <c r="U64" s="198"/>
      <c r="V64" s="198"/>
      <c r="W64" s="198"/>
      <c r="X64" s="229"/>
      <c r="Y64" s="229"/>
      <c r="Z64" s="229"/>
      <c r="AA64" s="229"/>
      <c r="AB64" s="229"/>
      <c r="AC64" s="229"/>
      <c r="AD64" s="229"/>
      <c r="AE64" s="229"/>
      <c r="AF64" s="229"/>
      <c r="AG64" s="229"/>
      <c r="AH64" s="229"/>
      <c r="AI64" s="191"/>
      <c r="AJ64" s="191"/>
      <c r="AK64" s="191"/>
      <c r="AL64" s="191"/>
      <c r="AM64" s="191"/>
      <c r="AN64" s="191"/>
      <c r="AO64" s="191"/>
    </row>
    <row r="65" spans="2:43" outlineLevel="1">
      <c r="B65" s="1219" t="s">
        <v>28</v>
      </c>
      <c r="C65" s="228" t="s">
        <v>29</v>
      </c>
      <c r="D65" s="228"/>
      <c r="E65" s="167"/>
      <c r="F65" s="167"/>
      <c r="G65" s="167"/>
      <c r="H65" s="167"/>
      <c r="I65" s="167"/>
      <c r="J65" s="167"/>
      <c r="K65" s="167"/>
      <c r="L65" s="167"/>
      <c r="M65" s="167"/>
      <c r="N65" s="167"/>
      <c r="O65" s="197"/>
      <c r="P65" s="198"/>
      <c r="Q65" s="199"/>
      <c r="R65" s="198"/>
      <c r="S65" s="198"/>
      <c r="T65" s="198"/>
      <c r="U65" s="198"/>
      <c r="V65" s="198"/>
      <c r="W65" s="198"/>
      <c r="X65" s="1128">
        <v>1226704</v>
      </c>
      <c r="Y65" s="1128">
        <v>1225271</v>
      </c>
      <c r="Z65" s="1128">
        <v>1248729</v>
      </c>
      <c r="AA65" s="1128">
        <v>1270247</v>
      </c>
      <c r="AB65" s="1128">
        <v>1293777</v>
      </c>
      <c r="AC65" s="1128">
        <v>1328142</v>
      </c>
      <c r="AD65" s="1128">
        <v>1349605</v>
      </c>
      <c r="AE65" s="1128">
        <v>1380826</v>
      </c>
      <c r="AF65" s="1128">
        <v>1380388</v>
      </c>
      <c r="AG65" s="1128">
        <v>1413207</v>
      </c>
      <c r="AH65" s="1128">
        <v>1464938</v>
      </c>
      <c r="AI65" s="1128">
        <v>1507366</v>
      </c>
      <c r="AJ65" s="1128">
        <v>1533784</v>
      </c>
      <c r="AK65" s="1128">
        <v>1563899</v>
      </c>
      <c r="AL65" s="1128">
        <v>1602969</v>
      </c>
      <c r="AM65" s="1128">
        <v>1653716</v>
      </c>
      <c r="AN65" s="1128">
        <v>1702465</v>
      </c>
      <c r="AO65" s="1128">
        <v>1752057</v>
      </c>
      <c r="AP65" s="1128">
        <v>1802913</v>
      </c>
      <c r="AQ65" s="1128">
        <v>1707978</v>
      </c>
    </row>
    <row r="66" spans="2:43" ht="5.0999999999999996" customHeight="1" outlineLevel="1">
      <c r="B66" s="228"/>
      <c r="C66" s="228"/>
      <c r="D66" s="228"/>
      <c r="E66" s="167"/>
      <c r="F66" s="167"/>
      <c r="G66" s="167"/>
      <c r="H66" s="167"/>
      <c r="I66" s="167"/>
      <c r="J66" s="167"/>
      <c r="K66" s="167"/>
      <c r="L66" s="167"/>
      <c r="M66" s="167"/>
      <c r="N66" s="167"/>
      <c r="O66" s="197"/>
      <c r="P66" s="198"/>
      <c r="Q66" s="199"/>
      <c r="R66" s="198"/>
      <c r="S66" s="198"/>
      <c r="T66" s="198"/>
      <c r="U66" s="198"/>
      <c r="V66" s="198"/>
      <c r="W66" s="198"/>
      <c r="X66" s="1128"/>
      <c r="Y66" s="1128"/>
      <c r="Z66" s="1128"/>
      <c r="AA66" s="1128"/>
      <c r="AB66" s="1128"/>
      <c r="AC66" s="1128"/>
      <c r="AD66" s="1128"/>
      <c r="AE66" s="1128"/>
      <c r="AF66" s="1128"/>
      <c r="AG66" s="1128"/>
      <c r="AH66" s="1128"/>
      <c r="AI66" s="1128"/>
      <c r="AJ66" s="1128"/>
      <c r="AK66" s="1128"/>
      <c r="AL66" s="1128"/>
      <c r="AM66" s="1128"/>
      <c r="AN66" s="1128"/>
      <c r="AO66" s="1128"/>
      <c r="AP66" s="1128"/>
      <c r="AQ66" s="1128"/>
    </row>
    <row r="67" spans="2:43" outlineLevel="1">
      <c r="B67" s="1219" t="s">
        <v>30</v>
      </c>
      <c r="C67" s="228" t="s">
        <v>31</v>
      </c>
      <c r="D67" s="228"/>
      <c r="E67" s="167"/>
      <c r="F67" s="167"/>
      <c r="G67" s="167"/>
      <c r="H67" s="167"/>
      <c r="I67" s="167"/>
      <c r="J67" s="167"/>
      <c r="K67" s="167"/>
      <c r="L67" s="167"/>
      <c r="M67" s="167"/>
      <c r="N67" s="167"/>
      <c r="O67" s="197"/>
      <c r="P67" s="198"/>
      <c r="Q67" s="199"/>
      <c r="R67" s="198"/>
      <c r="S67" s="198"/>
      <c r="T67" s="198"/>
      <c r="U67" s="198"/>
      <c r="V67" s="198"/>
      <c r="W67" s="198"/>
      <c r="X67" s="1128">
        <v>1459540</v>
      </c>
      <c r="Y67" s="1128">
        <v>1465651</v>
      </c>
      <c r="Z67" s="1128">
        <v>1491939</v>
      </c>
      <c r="AA67" s="1128">
        <v>1511608</v>
      </c>
      <c r="AB67" s="1128">
        <v>1538962</v>
      </c>
      <c r="AC67" s="1128">
        <v>1579903</v>
      </c>
      <c r="AD67" s="1128">
        <v>1609620</v>
      </c>
      <c r="AE67" s="1128">
        <v>1654508</v>
      </c>
      <c r="AF67" s="1128">
        <v>1669181</v>
      </c>
      <c r="AG67" s="1128">
        <v>1709075</v>
      </c>
      <c r="AH67" s="1128">
        <v>1767577</v>
      </c>
      <c r="AI67" s="1128">
        <v>1821830</v>
      </c>
      <c r="AJ67" s="1128">
        <v>1865204</v>
      </c>
      <c r="AK67" s="1128">
        <v>1909846</v>
      </c>
      <c r="AL67" s="1128">
        <v>1965886</v>
      </c>
      <c r="AM67" s="1128">
        <v>2036865</v>
      </c>
      <c r="AN67" s="1128">
        <v>2100098</v>
      </c>
      <c r="AO67" s="1128">
        <v>2162157</v>
      </c>
      <c r="AP67" s="1128">
        <v>2235428</v>
      </c>
      <c r="AQ67" s="1128">
        <v>2178463</v>
      </c>
    </row>
    <row r="68" spans="2:43" ht="5.0999999999999996" customHeight="1" outlineLevel="1">
      <c r="B68" s="228"/>
      <c r="C68" s="228"/>
      <c r="D68" s="228"/>
      <c r="E68" s="167"/>
      <c r="F68" s="167"/>
      <c r="G68" s="167"/>
      <c r="H68" s="167"/>
      <c r="I68" s="167"/>
      <c r="J68" s="167"/>
      <c r="K68" s="167"/>
      <c r="L68" s="167"/>
      <c r="M68" s="167"/>
      <c r="N68" s="167"/>
      <c r="O68" s="197"/>
      <c r="P68" s="198"/>
      <c r="Q68" s="199"/>
      <c r="R68" s="198"/>
      <c r="S68" s="198"/>
      <c r="T68" s="198"/>
      <c r="U68" s="198"/>
      <c r="V68" s="198"/>
      <c r="W68" s="198"/>
      <c r="X68" s="1128"/>
      <c r="Y68" s="1128"/>
      <c r="Z68" s="1128"/>
      <c r="AA68" s="1128"/>
      <c r="AB68" s="1128"/>
      <c r="AC68" s="1128"/>
      <c r="AD68" s="1128"/>
      <c r="AE68" s="1128"/>
      <c r="AF68" s="1128"/>
      <c r="AG68" s="1128"/>
      <c r="AH68" s="1128"/>
      <c r="AI68" s="1128"/>
      <c r="AJ68" s="1128"/>
      <c r="AK68" s="1128"/>
      <c r="AL68" s="1128"/>
      <c r="AM68" s="1128"/>
      <c r="AN68" s="1128"/>
      <c r="AO68" s="1128"/>
      <c r="AP68" s="1128"/>
      <c r="AQ68" s="1128"/>
    </row>
    <row r="69" spans="2:43" outlineLevel="1">
      <c r="B69" s="1219" t="s">
        <v>32</v>
      </c>
      <c r="C69" s="228" t="s">
        <v>33</v>
      </c>
      <c r="D69" s="228"/>
      <c r="E69" s="167"/>
      <c r="F69" s="167"/>
      <c r="G69" s="167"/>
      <c r="H69" s="167"/>
      <c r="I69" s="167"/>
      <c r="J69" s="167"/>
      <c r="K69" s="167"/>
      <c r="L69" s="167"/>
      <c r="M69" s="167"/>
      <c r="N69" s="167"/>
      <c r="O69" s="197"/>
      <c r="P69" s="198"/>
      <c r="Q69" s="199"/>
      <c r="R69" s="198"/>
      <c r="S69" s="198"/>
      <c r="T69" s="198"/>
      <c r="U69" s="198"/>
      <c r="V69" s="198"/>
      <c r="W69" s="198"/>
      <c r="X69" s="1128">
        <f>SUM(X71:X72)</f>
        <v>200522</v>
      </c>
      <c r="Y69" s="1128">
        <f t="shared" ref="Y69:AQ69" si="16">SUM(Y71:Y72)</f>
        <v>201744</v>
      </c>
      <c r="Z69" s="1128">
        <f t="shared" si="16"/>
        <v>206353</v>
      </c>
      <c r="AA69" s="1128">
        <f t="shared" si="16"/>
        <v>204054</v>
      </c>
      <c r="AB69" s="1128">
        <f t="shared" si="16"/>
        <v>205306</v>
      </c>
      <c r="AC69" s="1128">
        <f t="shared" si="16"/>
        <v>213078</v>
      </c>
      <c r="AD69" s="1128">
        <f t="shared" si="16"/>
        <v>234167</v>
      </c>
      <c r="AE69" s="1128">
        <f t="shared" si="16"/>
        <v>239778</v>
      </c>
      <c r="AF69" s="1128">
        <f t="shared" si="16"/>
        <v>241704</v>
      </c>
      <c r="AG69" s="1128">
        <f t="shared" si="16"/>
        <v>243971</v>
      </c>
      <c r="AH69" s="1128">
        <f t="shared" si="16"/>
        <v>256577</v>
      </c>
      <c r="AI69" s="1128">
        <f t="shared" si="16"/>
        <v>259225</v>
      </c>
      <c r="AJ69" s="1128">
        <f t="shared" si="16"/>
        <v>261947</v>
      </c>
      <c r="AK69" s="1128">
        <f t="shared" si="16"/>
        <v>268502</v>
      </c>
      <c r="AL69" s="1128">
        <f t="shared" si="16"/>
        <v>277266</v>
      </c>
      <c r="AM69" s="1128">
        <f t="shared" si="16"/>
        <v>284015</v>
      </c>
      <c r="AN69" s="1128">
        <f t="shared" si="16"/>
        <v>293410</v>
      </c>
      <c r="AO69" s="1128">
        <f t="shared" si="16"/>
        <v>301589</v>
      </c>
      <c r="AP69" s="1128">
        <f t="shared" si="16"/>
        <v>310620</v>
      </c>
      <c r="AQ69" s="1128">
        <f t="shared" si="16"/>
        <v>285074</v>
      </c>
    </row>
    <row r="70" spans="2:43" ht="5.0999999999999996" customHeight="1" outlineLevel="1">
      <c r="B70" s="228"/>
      <c r="C70" s="228"/>
      <c r="D70" s="228"/>
      <c r="E70" s="167"/>
      <c r="F70" s="167"/>
      <c r="G70" s="167"/>
      <c r="H70" s="167"/>
      <c r="I70" s="167"/>
      <c r="J70" s="167"/>
      <c r="K70" s="167"/>
      <c r="L70" s="167"/>
      <c r="M70" s="167"/>
      <c r="N70" s="167"/>
      <c r="O70" s="197"/>
      <c r="P70" s="198"/>
      <c r="Q70" s="199"/>
      <c r="R70" s="198"/>
      <c r="S70" s="198"/>
      <c r="T70" s="198"/>
      <c r="U70" s="198"/>
      <c r="V70" s="198"/>
      <c r="W70" s="198"/>
      <c r="X70" s="1128"/>
      <c r="Y70" s="1128"/>
      <c r="Z70" s="1128"/>
      <c r="AA70" s="1128"/>
      <c r="AB70" s="1128"/>
      <c r="AC70" s="1128"/>
      <c r="AD70" s="1128"/>
      <c r="AE70" s="1128"/>
      <c r="AF70" s="1128"/>
      <c r="AG70" s="1128"/>
      <c r="AH70" s="1128"/>
      <c r="AI70" s="1128"/>
      <c r="AJ70" s="1128"/>
      <c r="AK70" s="1128"/>
      <c r="AL70" s="1128"/>
      <c r="AM70" s="1128"/>
      <c r="AN70" s="1128"/>
      <c r="AO70" s="1128"/>
      <c r="AP70" s="1128"/>
      <c r="AQ70" s="1128"/>
    </row>
    <row r="71" spans="2:43" outlineLevel="1">
      <c r="B71" s="228"/>
      <c r="C71" s="228" t="s">
        <v>34</v>
      </c>
      <c r="D71" s="228"/>
      <c r="E71" s="167"/>
      <c r="F71" s="167"/>
      <c r="G71" s="167"/>
      <c r="H71" s="167"/>
      <c r="I71" s="167"/>
      <c r="J71" s="167"/>
      <c r="K71" s="167"/>
      <c r="L71" s="167"/>
      <c r="M71" s="167"/>
      <c r="N71" s="167"/>
      <c r="O71" s="197"/>
      <c r="P71" s="198"/>
      <c r="Q71" s="199"/>
      <c r="R71" s="198"/>
      <c r="S71" s="198"/>
      <c r="T71" s="198"/>
      <c r="U71" s="198"/>
      <c r="V71" s="198"/>
      <c r="W71" s="198"/>
      <c r="X71" s="1128">
        <v>138936</v>
      </c>
      <c r="Y71" s="1128">
        <v>137103</v>
      </c>
      <c r="Z71" s="1128">
        <v>137568</v>
      </c>
      <c r="AA71" s="1128">
        <v>137774</v>
      </c>
      <c r="AB71" s="1128">
        <v>140121</v>
      </c>
      <c r="AC71" s="1128">
        <v>147457</v>
      </c>
      <c r="AD71" s="1128">
        <v>170387</v>
      </c>
      <c r="AE71" s="1128">
        <v>176188</v>
      </c>
      <c r="AF71" s="1128">
        <v>178020</v>
      </c>
      <c r="AG71" s="1128">
        <v>180533</v>
      </c>
      <c r="AH71" s="1128">
        <v>190229</v>
      </c>
      <c r="AI71" s="1128">
        <v>194353</v>
      </c>
      <c r="AJ71" s="1128">
        <v>197326</v>
      </c>
      <c r="AK71" s="1128">
        <v>203401</v>
      </c>
      <c r="AL71" s="1128">
        <v>211936</v>
      </c>
      <c r="AM71" s="1128">
        <v>219100</v>
      </c>
      <c r="AN71" s="1128">
        <v>226901</v>
      </c>
      <c r="AO71" s="1128">
        <v>235449</v>
      </c>
      <c r="AP71" s="1128">
        <v>244433</v>
      </c>
      <c r="AQ71" s="1128">
        <v>221882</v>
      </c>
    </row>
    <row r="72" spans="2:43" outlineLevel="1">
      <c r="B72" s="228"/>
      <c r="C72" s="228" t="s">
        <v>35</v>
      </c>
      <c r="D72" s="228"/>
      <c r="E72" s="167"/>
      <c r="F72" s="167"/>
      <c r="G72" s="167"/>
      <c r="H72" s="167"/>
      <c r="I72" s="167"/>
      <c r="J72" s="167"/>
      <c r="K72" s="167"/>
      <c r="L72" s="167"/>
      <c r="M72" s="167"/>
      <c r="N72" s="167"/>
      <c r="O72" s="197"/>
      <c r="P72" s="198"/>
      <c r="Q72" s="199"/>
      <c r="R72" s="198"/>
      <c r="S72" s="198"/>
      <c r="T72" s="198"/>
      <c r="U72" s="198"/>
      <c r="V72" s="198"/>
      <c r="W72" s="198"/>
      <c r="X72" s="1128">
        <v>61586</v>
      </c>
      <c r="Y72" s="1128">
        <v>64641.000000000007</v>
      </c>
      <c r="Z72" s="1128">
        <v>68785</v>
      </c>
      <c r="AA72" s="1128">
        <v>66280</v>
      </c>
      <c r="AB72" s="1128">
        <v>65185</v>
      </c>
      <c r="AC72" s="1128">
        <v>65621</v>
      </c>
      <c r="AD72" s="1128">
        <v>63780</v>
      </c>
      <c r="AE72" s="1128">
        <v>63590</v>
      </c>
      <c r="AF72" s="1128">
        <v>63684</v>
      </c>
      <c r="AG72" s="1128">
        <v>63438</v>
      </c>
      <c r="AH72" s="1128">
        <v>66348</v>
      </c>
      <c r="AI72" s="1128">
        <v>64872</v>
      </c>
      <c r="AJ72" s="1128">
        <v>64620.999999999993</v>
      </c>
      <c r="AK72" s="1128">
        <v>65101</v>
      </c>
      <c r="AL72" s="1128">
        <v>65330</v>
      </c>
      <c r="AM72" s="1128">
        <v>64915.000000000007</v>
      </c>
      <c r="AN72" s="1128">
        <v>66509</v>
      </c>
      <c r="AO72" s="1128">
        <v>66140</v>
      </c>
      <c r="AP72" s="1128">
        <v>66187</v>
      </c>
      <c r="AQ72" s="1128">
        <v>63192</v>
      </c>
    </row>
    <row r="73" spans="2:43" ht="5.0999999999999996" customHeight="1" outlineLevel="1">
      <c r="B73" s="228"/>
      <c r="C73" s="228"/>
      <c r="D73" s="228"/>
      <c r="E73" s="167"/>
      <c r="F73" s="167"/>
      <c r="G73" s="167"/>
      <c r="H73" s="167"/>
      <c r="I73" s="167"/>
      <c r="J73" s="167"/>
      <c r="K73" s="167"/>
      <c r="L73" s="167"/>
      <c r="M73" s="167"/>
      <c r="N73" s="167"/>
      <c r="O73" s="197"/>
      <c r="P73" s="198"/>
      <c r="Q73" s="199"/>
      <c r="R73" s="198"/>
      <c r="S73" s="198"/>
      <c r="T73" s="198"/>
      <c r="U73" s="198"/>
      <c r="V73" s="198"/>
      <c r="W73" s="198"/>
      <c r="X73" s="1128"/>
      <c r="Y73" s="1128"/>
      <c r="Z73" s="1128"/>
      <c r="AA73" s="1128"/>
      <c r="AB73" s="1128"/>
      <c r="AC73" s="1128"/>
      <c r="AD73" s="1128"/>
      <c r="AE73" s="1128"/>
      <c r="AF73" s="1128"/>
      <c r="AG73" s="1128"/>
      <c r="AH73" s="1128"/>
      <c r="AI73" s="1128"/>
      <c r="AJ73" s="1128"/>
      <c r="AK73" s="1128"/>
      <c r="AL73" s="1128"/>
      <c r="AM73" s="1128"/>
      <c r="AN73" s="1128"/>
      <c r="AO73" s="1128"/>
      <c r="AP73" s="1128"/>
      <c r="AQ73" s="1128"/>
    </row>
    <row r="74" spans="2:43" outlineLevel="1">
      <c r="B74" s="1219" t="s">
        <v>36</v>
      </c>
      <c r="C74" s="228" t="s">
        <v>37</v>
      </c>
      <c r="D74" s="228"/>
      <c r="E74" s="167"/>
      <c r="F74" s="167"/>
      <c r="G74" s="167"/>
      <c r="H74" s="167"/>
      <c r="I74" s="167"/>
      <c r="J74" s="167"/>
      <c r="K74" s="167"/>
      <c r="L74" s="167"/>
      <c r="M74" s="167"/>
      <c r="N74" s="167"/>
      <c r="O74" s="197"/>
      <c r="P74" s="198"/>
      <c r="Q74" s="199"/>
      <c r="R74" s="198"/>
      <c r="S74" s="198"/>
      <c r="T74" s="198"/>
      <c r="U74" s="198"/>
      <c r="V74" s="198"/>
      <c r="W74" s="198"/>
      <c r="X74" s="1128">
        <v>213833</v>
      </c>
      <c r="Y74" s="1128">
        <v>215924</v>
      </c>
      <c r="Z74" s="1128">
        <v>220496</v>
      </c>
      <c r="AA74" s="1128">
        <v>219620</v>
      </c>
      <c r="AB74" s="1128">
        <v>221214</v>
      </c>
      <c r="AC74" s="1128">
        <v>229073</v>
      </c>
      <c r="AD74" s="1128">
        <v>251558</v>
      </c>
      <c r="AE74" s="1128">
        <v>257344</v>
      </c>
      <c r="AF74" s="1128">
        <v>258829</v>
      </c>
      <c r="AG74" s="1128">
        <v>261160.00000000003</v>
      </c>
      <c r="AH74" s="1128">
        <v>275683</v>
      </c>
      <c r="AI74" s="1128">
        <v>278689</v>
      </c>
      <c r="AJ74" s="1128">
        <v>281995</v>
      </c>
      <c r="AK74" s="1128">
        <v>289499</v>
      </c>
      <c r="AL74" s="1128">
        <v>301099</v>
      </c>
      <c r="AM74" s="1128">
        <v>308501</v>
      </c>
      <c r="AN74" s="1128">
        <v>318463</v>
      </c>
      <c r="AO74" s="1128">
        <v>327461</v>
      </c>
      <c r="AP74" s="1128">
        <v>337061</v>
      </c>
      <c r="AQ74" s="1128">
        <v>310596</v>
      </c>
    </row>
    <row r="75" spans="2:43" ht="5.0999999999999996" customHeight="1" outlineLevel="1">
      <c r="B75" s="228"/>
      <c r="C75" s="228"/>
      <c r="D75" s="228"/>
      <c r="E75" s="167"/>
      <c r="F75" s="167"/>
      <c r="G75" s="167"/>
      <c r="H75" s="167"/>
      <c r="I75" s="167"/>
      <c r="J75" s="167"/>
      <c r="K75" s="167"/>
      <c r="L75" s="167"/>
      <c r="M75" s="167"/>
      <c r="N75" s="167"/>
      <c r="O75" s="197"/>
      <c r="P75" s="198"/>
      <c r="Q75" s="199"/>
      <c r="R75" s="198"/>
      <c r="S75" s="198"/>
      <c r="T75" s="198"/>
      <c r="U75" s="198"/>
      <c r="V75" s="198"/>
      <c r="W75" s="198"/>
      <c r="X75" s="1128"/>
      <c r="Y75" s="1128"/>
      <c r="Z75" s="1128"/>
      <c r="AA75" s="1128"/>
      <c r="AB75" s="1128"/>
      <c r="AC75" s="1128"/>
      <c r="AD75" s="1128"/>
      <c r="AE75" s="1128"/>
      <c r="AF75" s="1128"/>
      <c r="AG75" s="1128"/>
      <c r="AH75" s="1128"/>
      <c r="AI75" s="1128"/>
      <c r="AJ75" s="1128"/>
      <c r="AK75" s="1128"/>
      <c r="AL75" s="1128"/>
      <c r="AM75" s="1128"/>
      <c r="AN75" s="1128"/>
      <c r="AO75" s="1128"/>
      <c r="AP75" s="1128"/>
      <c r="AQ75" s="1128"/>
    </row>
    <row r="76" spans="2:43" outlineLevel="1">
      <c r="B76" s="1219" t="s">
        <v>38</v>
      </c>
      <c r="C76" s="228" t="s">
        <v>39</v>
      </c>
      <c r="D76" s="228"/>
      <c r="E76" s="167"/>
      <c r="F76" s="167"/>
      <c r="G76" s="167"/>
      <c r="H76" s="167"/>
      <c r="I76" s="167"/>
      <c r="J76" s="167"/>
      <c r="K76" s="167"/>
      <c r="L76" s="167"/>
      <c r="M76" s="167"/>
      <c r="N76" s="167"/>
      <c r="O76" s="197"/>
      <c r="P76" s="198"/>
      <c r="Q76" s="199"/>
      <c r="R76" s="198"/>
      <c r="S76" s="198"/>
      <c r="T76" s="198"/>
      <c r="U76" s="198"/>
      <c r="V76" s="198"/>
      <c r="W76" s="198"/>
      <c r="X76" s="1128">
        <v>222444</v>
      </c>
      <c r="Y76" s="1128">
        <v>223754</v>
      </c>
      <c r="Z76" s="1128">
        <v>228076</v>
      </c>
      <c r="AA76" s="1128">
        <v>234360</v>
      </c>
      <c r="AB76" s="1128">
        <v>237160</v>
      </c>
      <c r="AC76" s="1128">
        <v>245440</v>
      </c>
      <c r="AD76" s="1128">
        <v>267901</v>
      </c>
      <c r="AE76" s="1128">
        <v>273933</v>
      </c>
      <c r="AF76" s="1128">
        <v>275570</v>
      </c>
      <c r="AG76" s="1128">
        <v>277912</v>
      </c>
      <c r="AH76" s="1128">
        <v>293199</v>
      </c>
      <c r="AI76" s="1128">
        <v>296984</v>
      </c>
      <c r="AJ76" s="1128">
        <v>300366</v>
      </c>
      <c r="AK76" s="1128">
        <v>308493</v>
      </c>
      <c r="AL76" s="1128">
        <v>320025</v>
      </c>
      <c r="AM76" s="1128">
        <v>327063</v>
      </c>
      <c r="AN76" s="1128">
        <v>330168</v>
      </c>
      <c r="AO76" s="1128">
        <v>346183</v>
      </c>
      <c r="AP76" s="1128">
        <v>357409</v>
      </c>
      <c r="AQ76" s="1128">
        <v>331610</v>
      </c>
    </row>
    <row r="77" spans="2:43" outlineLevel="1">
      <c r="B77" s="1219"/>
      <c r="C77" s="228"/>
      <c r="D77" s="228"/>
      <c r="E77" s="167"/>
      <c r="F77" s="167"/>
      <c r="G77" s="167"/>
      <c r="H77" s="167"/>
      <c r="I77" s="167"/>
      <c r="J77" s="167"/>
      <c r="K77" s="167"/>
      <c r="L77" s="167"/>
      <c r="M77" s="167"/>
      <c r="N77" s="167"/>
      <c r="O77" s="197"/>
      <c r="P77" s="198"/>
      <c r="Q77" s="199"/>
      <c r="R77" s="198"/>
      <c r="S77" s="198"/>
      <c r="T77" s="198"/>
      <c r="U77" s="198"/>
      <c r="V77" s="198"/>
      <c r="W77" s="198"/>
      <c r="X77" s="1128"/>
      <c r="Y77" s="1128"/>
      <c r="Z77" s="1128"/>
      <c r="AA77" s="1128"/>
      <c r="AB77" s="1128"/>
      <c r="AC77" s="1128"/>
      <c r="AD77" s="1128"/>
      <c r="AE77" s="1128"/>
      <c r="AF77" s="1128"/>
      <c r="AG77" s="1128"/>
      <c r="AH77" s="1128"/>
      <c r="AI77" s="1128"/>
      <c r="AJ77" s="1128"/>
      <c r="AK77" s="1128"/>
      <c r="AL77" s="1128"/>
      <c r="AM77" s="1128"/>
      <c r="AN77" s="1128"/>
      <c r="AO77" s="1128"/>
      <c r="AP77" s="1128"/>
      <c r="AQ77" s="1128"/>
    </row>
    <row r="78" spans="2:43" outlineLevel="1">
      <c r="B78" s="228" t="s">
        <v>40</v>
      </c>
      <c r="C78" s="167"/>
      <c r="D78" s="228"/>
      <c r="E78" s="167"/>
      <c r="F78" s="167"/>
      <c r="G78" s="167"/>
      <c r="H78" s="167"/>
      <c r="I78" s="167"/>
      <c r="J78" s="167"/>
      <c r="K78" s="167"/>
      <c r="L78" s="167"/>
      <c r="M78" s="167"/>
      <c r="N78" s="167"/>
      <c r="O78" s="197"/>
      <c r="P78" s="198"/>
      <c r="Q78" s="199"/>
      <c r="R78" s="198"/>
      <c r="S78" s="198"/>
      <c r="T78" s="198"/>
      <c r="U78" s="198"/>
      <c r="V78" s="198"/>
      <c r="W78" s="198"/>
      <c r="X78" s="1128"/>
      <c r="Y78" s="1128"/>
      <c r="Z78" s="1128"/>
      <c r="AA78" s="1128"/>
      <c r="AB78" s="1128"/>
      <c r="AC78" s="1128"/>
      <c r="AD78" s="1128"/>
      <c r="AE78" s="1128"/>
      <c r="AF78" s="1128"/>
      <c r="AG78" s="1128"/>
      <c r="AH78" s="1128"/>
      <c r="AI78" s="1128"/>
      <c r="AJ78" s="1128"/>
      <c r="AK78" s="1128"/>
      <c r="AL78" s="1128"/>
      <c r="AM78" s="1128"/>
      <c r="AN78" s="1128"/>
      <c r="AO78" s="1128"/>
      <c r="AP78" s="1128"/>
      <c r="AQ78" s="1128"/>
    </row>
    <row r="79" spans="2:43" ht="6" customHeight="1" outlineLevel="1">
      <c r="B79" s="228"/>
      <c r="C79" s="228"/>
      <c r="D79" s="228"/>
      <c r="E79" s="167"/>
      <c r="F79" s="167"/>
      <c r="G79" s="167"/>
      <c r="H79" s="167"/>
      <c r="I79" s="167"/>
      <c r="J79" s="167"/>
      <c r="K79" s="167"/>
      <c r="L79" s="167"/>
      <c r="M79" s="167"/>
      <c r="N79" s="167"/>
      <c r="O79" s="197"/>
      <c r="P79" s="198"/>
      <c r="Q79" s="199"/>
      <c r="R79" s="198"/>
      <c r="S79" s="198"/>
      <c r="T79" s="198"/>
      <c r="U79" s="198"/>
      <c r="V79" s="198"/>
      <c r="W79" s="198"/>
      <c r="X79" s="1128"/>
      <c r="Y79" s="1128"/>
      <c r="Z79" s="1128"/>
      <c r="AA79" s="1128"/>
      <c r="AB79" s="1128"/>
      <c r="AC79" s="1128"/>
      <c r="AD79" s="1128"/>
      <c r="AE79" s="1128"/>
      <c r="AF79" s="1128"/>
      <c r="AG79" s="1128"/>
      <c r="AH79" s="1128"/>
      <c r="AI79" s="1128"/>
      <c r="AJ79" s="1128"/>
      <c r="AK79" s="1128"/>
      <c r="AL79" s="1128"/>
      <c r="AM79" s="1128"/>
      <c r="AN79" s="1128"/>
      <c r="AO79" s="1128"/>
      <c r="AP79" s="1128"/>
      <c r="AQ79" s="1128"/>
    </row>
    <row r="80" spans="2:43" outlineLevel="1">
      <c r="B80" s="1220" t="s">
        <v>41</v>
      </c>
      <c r="C80" s="240" t="s">
        <v>42</v>
      </c>
      <c r="D80" s="240"/>
      <c r="E80" s="167"/>
      <c r="F80" s="167"/>
      <c r="G80" s="167"/>
      <c r="H80" s="167"/>
      <c r="I80" s="167"/>
      <c r="J80" s="167"/>
      <c r="K80" s="167"/>
      <c r="L80" s="167"/>
      <c r="M80" s="167"/>
      <c r="N80" s="167"/>
      <c r="O80" s="197"/>
      <c r="P80" s="198"/>
      <c r="Q80" s="199"/>
      <c r="R80" s="198"/>
      <c r="S80" s="198"/>
      <c r="T80" s="198"/>
      <c r="U80" s="198"/>
      <c r="V80" s="198"/>
      <c r="W80" s="198"/>
      <c r="X80" s="1129">
        <f>X69/X67</f>
        <v>0.13738712196993574</v>
      </c>
      <c r="Y80" s="1129">
        <f t="shared" ref="Y80:AQ80" si="17">Y69/Y67</f>
        <v>0.13764804854634563</v>
      </c>
      <c r="Z80" s="1129">
        <f t="shared" si="17"/>
        <v>0.13831195511344632</v>
      </c>
      <c r="AA80" s="1129">
        <f t="shared" si="17"/>
        <v>0.13499134696296924</v>
      </c>
      <c r="AB80" s="1129">
        <f t="shared" si="17"/>
        <v>0.13340550318981234</v>
      </c>
      <c r="AC80" s="1129">
        <f t="shared" si="17"/>
        <v>0.1348677735278685</v>
      </c>
      <c r="AD80" s="1129">
        <f t="shared" si="17"/>
        <v>0.14547967843341908</v>
      </c>
      <c r="AE80" s="1129">
        <f t="shared" si="17"/>
        <v>0.14492404992904234</v>
      </c>
      <c r="AF80" s="1129">
        <f t="shared" si="17"/>
        <v>0.14480394876289629</v>
      </c>
      <c r="AG80" s="1129">
        <f t="shared" si="17"/>
        <v>0.1427503181545573</v>
      </c>
      <c r="AH80" s="1129">
        <f t="shared" si="17"/>
        <v>0.14515746697315024</v>
      </c>
      <c r="AI80" s="1129">
        <f t="shared" si="17"/>
        <v>0.14228824862912565</v>
      </c>
      <c r="AJ80" s="1129">
        <f t="shared" si="17"/>
        <v>0.14043879382630534</v>
      </c>
      <c r="AK80" s="1129">
        <f t="shared" si="17"/>
        <v>0.14058829874241169</v>
      </c>
      <c r="AL80" s="1129">
        <f t="shared" si="17"/>
        <v>0.1410386970556787</v>
      </c>
      <c r="AM80" s="1129">
        <f t="shared" si="17"/>
        <v>0.13943732157015806</v>
      </c>
      <c r="AN80" s="1129">
        <f t="shared" si="17"/>
        <v>0.13971252770108825</v>
      </c>
      <c r="AO80" s="1129">
        <f t="shared" si="17"/>
        <v>0.13948524552102368</v>
      </c>
      <c r="AP80" s="1129">
        <f t="shared" si="17"/>
        <v>0.13895325637864428</v>
      </c>
      <c r="AQ80" s="1129">
        <f t="shared" si="17"/>
        <v>0.13086015231840065</v>
      </c>
    </row>
    <row r="81" spans="1:44" ht="5.0999999999999996" customHeight="1" outlineLevel="1">
      <c r="B81" s="228"/>
      <c r="C81" s="228"/>
      <c r="D81" s="228"/>
      <c r="E81" s="167"/>
      <c r="F81" s="167"/>
      <c r="G81" s="167"/>
      <c r="H81" s="167"/>
      <c r="I81" s="167"/>
      <c r="J81" s="167"/>
      <c r="K81" s="167"/>
      <c r="L81" s="167"/>
      <c r="M81" s="167"/>
      <c r="N81" s="167"/>
      <c r="O81" s="197"/>
      <c r="P81" s="198"/>
      <c r="Q81" s="199"/>
      <c r="R81" s="198"/>
      <c r="S81" s="198"/>
      <c r="T81" s="198"/>
      <c r="U81" s="198"/>
      <c r="V81" s="198"/>
      <c r="W81" s="198"/>
      <c r="X81" s="1128"/>
      <c r="Y81" s="1128"/>
      <c r="Z81" s="1128"/>
      <c r="AA81" s="1128"/>
      <c r="AB81" s="1128"/>
      <c r="AC81" s="1128"/>
      <c r="AD81" s="1128"/>
      <c r="AE81" s="1128"/>
      <c r="AF81" s="1128"/>
      <c r="AG81" s="1128"/>
      <c r="AH81" s="1128"/>
      <c r="AI81" s="1128"/>
      <c r="AJ81" s="1128"/>
      <c r="AK81" s="1128"/>
      <c r="AL81" s="1128"/>
      <c r="AM81" s="1128"/>
      <c r="AN81" s="1128"/>
      <c r="AO81" s="1128"/>
      <c r="AP81" s="1128"/>
      <c r="AQ81" s="1128"/>
    </row>
    <row r="82" spans="1:44" outlineLevel="1">
      <c r="B82" s="1219" t="s">
        <v>43</v>
      </c>
      <c r="C82" s="228" t="s">
        <v>44</v>
      </c>
      <c r="D82" s="228"/>
      <c r="E82" s="167"/>
      <c r="F82" s="167"/>
      <c r="G82" s="167"/>
      <c r="H82" s="167"/>
      <c r="I82" s="167"/>
      <c r="J82" s="167"/>
      <c r="K82" s="167"/>
      <c r="L82" s="167"/>
      <c r="M82" s="167"/>
      <c r="N82" s="167"/>
      <c r="O82" s="197"/>
      <c r="P82" s="198"/>
      <c r="Q82" s="199"/>
      <c r="R82" s="198"/>
      <c r="S82" s="198"/>
      <c r="T82" s="198"/>
      <c r="U82" s="198"/>
      <c r="V82" s="198"/>
      <c r="W82" s="198"/>
      <c r="X82" s="1130">
        <f>X76/X67</f>
        <v>0.15240692272907902</v>
      </c>
      <c r="Y82" s="1130">
        <f t="shared" ref="Y82:AQ82" si="18">Y76/Y67</f>
        <v>0.15266526615135526</v>
      </c>
      <c r="Z82" s="1130">
        <f t="shared" si="18"/>
        <v>0.15287220187956746</v>
      </c>
      <c r="AA82" s="1130">
        <f t="shared" si="18"/>
        <v>0.15504019560626831</v>
      </c>
      <c r="AB82" s="1130">
        <f t="shared" si="18"/>
        <v>0.15410387001108539</v>
      </c>
      <c r="AC82" s="1130">
        <f t="shared" si="18"/>
        <v>0.15535130954242127</v>
      </c>
      <c r="AD82" s="1130">
        <f t="shared" si="18"/>
        <v>0.16643742001217679</v>
      </c>
      <c r="AE82" s="1130">
        <f t="shared" si="18"/>
        <v>0.16556764911381511</v>
      </c>
      <c r="AF82" s="1130">
        <f t="shared" si="18"/>
        <v>0.16509294078952491</v>
      </c>
      <c r="AG82" s="1130">
        <f t="shared" si="18"/>
        <v>0.16260959875956293</v>
      </c>
      <c r="AH82" s="1130">
        <f t="shared" si="18"/>
        <v>0.16587622491127685</v>
      </c>
      <c r="AI82" s="1130">
        <f t="shared" si="18"/>
        <v>0.16301411218390299</v>
      </c>
      <c r="AJ82" s="1130">
        <f t="shared" si="18"/>
        <v>0.16103654077516455</v>
      </c>
      <c r="AK82" s="1130">
        <f t="shared" si="18"/>
        <v>0.16152768338389586</v>
      </c>
      <c r="AL82" s="1130">
        <f t="shared" si="18"/>
        <v>0.16278919530430555</v>
      </c>
      <c r="AM82" s="1130">
        <f t="shared" si="18"/>
        <v>0.16057176101508935</v>
      </c>
      <c r="AN82" s="1130">
        <f t="shared" si="18"/>
        <v>0.15721552041857095</v>
      </c>
      <c r="AO82" s="1130">
        <f t="shared" si="18"/>
        <v>0.1601100197626722</v>
      </c>
      <c r="AP82" s="1130">
        <f t="shared" si="18"/>
        <v>0.15988392379445904</v>
      </c>
      <c r="AQ82" s="1130">
        <f t="shared" si="18"/>
        <v>0.15222200239343059</v>
      </c>
    </row>
    <row r="83" spans="1:44" ht="5.0999999999999996" customHeight="1" outlineLevel="1">
      <c r="B83" s="228"/>
      <c r="C83" s="228"/>
      <c r="D83" s="228"/>
      <c r="E83" s="167"/>
      <c r="F83" s="167"/>
      <c r="G83" s="167"/>
      <c r="H83" s="167"/>
      <c r="I83" s="167"/>
      <c r="J83" s="167"/>
      <c r="K83" s="167"/>
      <c r="L83" s="167"/>
      <c r="M83" s="167"/>
      <c r="N83" s="167"/>
      <c r="O83" s="197"/>
      <c r="P83" s="198"/>
      <c r="Q83" s="199"/>
      <c r="R83" s="198"/>
      <c r="S83" s="198"/>
      <c r="T83" s="198"/>
      <c r="U83" s="198"/>
      <c r="V83" s="198"/>
      <c r="W83" s="198"/>
      <c r="X83" s="1128"/>
      <c r="Y83" s="1128"/>
      <c r="Z83" s="1128"/>
      <c r="AA83" s="1128"/>
      <c r="AB83" s="1128"/>
      <c r="AC83" s="1128"/>
      <c r="AD83" s="1128"/>
      <c r="AE83" s="1128"/>
      <c r="AF83" s="1128"/>
      <c r="AG83" s="1128"/>
      <c r="AH83" s="1128"/>
      <c r="AI83" s="1128"/>
      <c r="AJ83" s="1128"/>
      <c r="AK83" s="1128"/>
      <c r="AL83" s="1128"/>
      <c r="AM83" s="1128"/>
      <c r="AN83" s="1128"/>
      <c r="AO83" s="1128"/>
      <c r="AP83" s="1128"/>
      <c r="AQ83" s="1128"/>
    </row>
    <row r="84" spans="1:44" outlineLevel="1">
      <c r="B84" s="1219" t="s">
        <v>45</v>
      </c>
      <c r="C84" s="228" t="s">
        <v>46</v>
      </c>
      <c r="D84" s="228"/>
      <c r="E84" s="167"/>
      <c r="F84" s="167"/>
      <c r="G84" s="167"/>
      <c r="H84" s="167"/>
      <c r="I84" s="167"/>
      <c r="J84" s="167"/>
      <c r="K84" s="167"/>
      <c r="L84" s="167"/>
      <c r="M84" s="167"/>
      <c r="N84" s="167"/>
      <c r="O84" s="197"/>
      <c r="P84" s="198"/>
      <c r="Q84" s="199"/>
      <c r="R84" s="198"/>
      <c r="S84" s="198"/>
      <c r="T84" s="198"/>
      <c r="U84" s="198"/>
      <c r="V84" s="198"/>
      <c r="W84" s="198"/>
      <c r="X84" s="1130">
        <f>X76/X65</f>
        <v>0.1813346985091758</v>
      </c>
      <c r="Y84" s="1130">
        <f t="shared" ref="Y84:AQ84" si="19">Y76/Y65</f>
        <v>0.18261592741524119</v>
      </c>
      <c r="Z84" s="1130">
        <f t="shared" si="19"/>
        <v>0.18264651497642803</v>
      </c>
      <c r="AA84" s="1130">
        <f t="shared" si="19"/>
        <v>0.18449955008750266</v>
      </c>
      <c r="AB84" s="1130">
        <f t="shared" si="19"/>
        <v>0.1833082517311716</v>
      </c>
      <c r="AC84" s="1130">
        <f t="shared" si="19"/>
        <v>0.18479951691912461</v>
      </c>
      <c r="AD84" s="1130">
        <f t="shared" si="19"/>
        <v>0.19850326577035504</v>
      </c>
      <c r="AE84" s="1130">
        <f t="shared" si="19"/>
        <v>0.19838343136644299</v>
      </c>
      <c r="AF84" s="1130">
        <f t="shared" si="19"/>
        <v>0.19963227730174415</v>
      </c>
      <c r="AG84" s="1130">
        <f t="shared" si="19"/>
        <v>0.19665342727569279</v>
      </c>
      <c r="AH84" s="1130">
        <f t="shared" si="19"/>
        <v>0.20014430644846404</v>
      </c>
      <c r="AI84" s="1130">
        <f t="shared" si="19"/>
        <v>0.19702182482555664</v>
      </c>
      <c r="AJ84" s="1130">
        <f t="shared" si="19"/>
        <v>0.19583331160059045</v>
      </c>
      <c r="AK84" s="1130">
        <f t="shared" si="19"/>
        <v>0.19725890226926418</v>
      </c>
      <c r="AL84" s="1130">
        <f t="shared" si="19"/>
        <v>0.19964515845284594</v>
      </c>
      <c r="AM84" s="1130">
        <f t="shared" si="19"/>
        <v>0.19777458765592157</v>
      </c>
      <c r="AN84" s="1130">
        <f t="shared" si="19"/>
        <v>0.19393526445477588</v>
      </c>
      <c r="AO84" s="1130">
        <f t="shared" si="19"/>
        <v>0.19758660819824925</v>
      </c>
      <c r="AP84" s="1130">
        <f t="shared" si="19"/>
        <v>0.19823973758023819</v>
      </c>
      <c r="AQ84" s="1130">
        <f t="shared" si="19"/>
        <v>0.19415355467107889</v>
      </c>
    </row>
    <row r="85" spans="1:44" ht="5.0999999999999996" customHeight="1" outlineLevel="1">
      <c r="B85" s="238"/>
      <c r="C85" s="238"/>
      <c r="D85" s="238"/>
      <c r="E85" s="167"/>
      <c r="F85" s="167"/>
      <c r="G85" s="167"/>
      <c r="H85" s="167"/>
      <c r="I85" s="167"/>
      <c r="J85" s="167"/>
      <c r="K85" s="167"/>
      <c r="L85" s="167"/>
      <c r="M85" s="167"/>
      <c r="N85" s="167"/>
      <c r="O85" s="197"/>
      <c r="P85" s="198"/>
      <c r="Q85" s="199"/>
      <c r="R85" s="198"/>
      <c r="S85" s="198"/>
      <c r="T85" s="198"/>
      <c r="U85" s="198"/>
      <c r="V85" s="198"/>
      <c r="W85" s="198"/>
      <c r="X85" s="230"/>
      <c r="Y85" s="230"/>
      <c r="Z85" s="230"/>
      <c r="AA85" s="230"/>
      <c r="AB85" s="230"/>
      <c r="AC85" s="230"/>
      <c r="AD85" s="230"/>
      <c r="AE85" s="230"/>
      <c r="AF85" s="230"/>
      <c r="AG85" s="230"/>
      <c r="AH85" s="230"/>
      <c r="AI85" s="230"/>
      <c r="AJ85" s="230"/>
      <c r="AK85" s="230"/>
      <c r="AL85" s="230"/>
      <c r="AM85" s="230"/>
      <c r="AN85" s="230"/>
      <c r="AO85" s="230"/>
      <c r="AP85" s="230"/>
      <c r="AQ85" s="230"/>
    </row>
    <row r="86" spans="1:44" ht="6" customHeight="1" outlineLevel="1">
      <c r="B86" s="228"/>
      <c r="C86" s="228"/>
      <c r="D86" s="228"/>
      <c r="E86" s="167"/>
      <c r="F86" s="167"/>
      <c r="G86" s="167"/>
      <c r="H86" s="167"/>
      <c r="I86" s="167"/>
      <c r="J86" s="167"/>
      <c r="K86" s="167"/>
      <c r="L86" s="167"/>
      <c r="M86" s="167"/>
      <c r="N86" s="167"/>
      <c r="O86" s="197"/>
      <c r="P86" s="198"/>
      <c r="Q86" s="199"/>
      <c r="R86" s="198"/>
      <c r="S86" s="198"/>
      <c r="T86" s="198"/>
      <c r="U86" s="198"/>
      <c r="V86" s="198"/>
      <c r="W86" s="198"/>
      <c r="X86" s="229"/>
      <c r="Y86" s="229"/>
      <c r="Z86" s="229"/>
      <c r="AA86" s="229"/>
      <c r="AB86" s="229"/>
      <c r="AC86" s="229"/>
      <c r="AD86" s="229"/>
      <c r="AE86" s="229"/>
      <c r="AF86" s="229"/>
      <c r="AG86" s="564"/>
      <c r="AH86" s="564"/>
      <c r="AI86" s="564"/>
      <c r="AJ86" s="564"/>
      <c r="AK86" s="564"/>
      <c r="AL86" s="564"/>
      <c r="AM86" s="564"/>
      <c r="AN86" s="564"/>
      <c r="AO86" s="564"/>
      <c r="AP86" s="1096"/>
    </row>
    <row r="87" spans="1:44" ht="30" customHeight="1" outlineLevel="1">
      <c r="B87" s="1955" t="s">
        <v>47</v>
      </c>
      <c r="C87" s="1956"/>
      <c r="D87" s="1956"/>
      <c r="E87" s="1956"/>
      <c r="F87" s="1956"/>
      <c r="G87" s="1956"/>
      <c r="H87" s="1956"/>
      <c r="I87" s="1956"/>
      <c r="J87" s="1956"/>
      <c r="K87" s="1956"/>
      <c r="L87" s="1956"/>
      <c r="M87" s="1956"/>
      <c r="N87" s="1956"/>
      <c r="O87" s="1956"/>
      <c r="P87" s="1956"/>
      <c r="Q87" s="1956"/>
      <c r="R87" s="1956"/>
      <c r="S87" s="1956"/>
      <c r="T87" s="1956"/>
      <c r="U87" s="1956"/>
      <c r="V87" s="1956"/>
      <c r="W87" s="1956"/>
      <c r="X87" s="1956"/>
      <c r="Y87" s="1956"/>
      <c r="Z87" s="1956"/>
      <c r="AA87" s="1956"/>
      <c r="AB87" s="1956"/>
      <c r="AC87" s="1956"/>
      <c r="AD87" s="1956"/>
      <c r="AE87" s="1956"/>
      <c r="AF87" s="1956"/>
      <c r="AG87" s="564"/>
      <c r="AH87" s="564"/>
      <c r="AI87" s="191"/>
      <c r="AJ87" s="191"/>
      <c r="AK87" s="191"/>
      <c r="AL87" s="191"/>
      <c r="AM87" s="191"/>
      <c r="AN87" s="191"/>
      <c r="AO87" s="191"/>
    </row>
    <row r="88" spans="1:44" ht="13.5" customHeight="1">
      <c r="A88" s="237"/>
      <c r="B88" s="237"/>
      <c r="C88" s="167"/>
      <c r="D88" s="167"/>
      <c r="E88" s="167"/>
      <c r="F88" s="167"/>
      <c r="G88" s="167"/>
      <c r="H88" s="167"/>
      <c r="I88" s="167"/>
      <c r="J88" s="167"/>
      <c r="K88" s="167"/>
      <c r="L88" s="167"/>
      <c r="M88" s="167"/>
      <c r="N88" s="167"/>
      <c r="O88" s="167"/>
      <c r="P88" s="167"/>
      <c r="Q88" s="167"/>
      <c r="R88" s="167"/>
      <c r="S88" s="167"/>
      <c r="T88" s="167"/>
      <c r="X88" s="1216"/>
      <c r="Y88" s="1216"/>
      <c r="Z88" s="1216"/>
      <c r="AA88" s="1216"/>
      <c r="AB88" s="1216"/>
      <c r="AC88" s="1216"/>
      <c r="AD88" s="1216"/>
      <c r="AE88" s="1216"/>
      <c r="AF88" s="1216"/>
      <c r="AG88" s="1039"/>
      <c r="AH88" s="1039"/>
      <c r="AI88" s="1203"/>
      <c r="AJ88" s="1203"/>
      <c r="AK88" s="1203"/>
      <c r="AL88" s="1203"/>
      <c r="AM88" s="1203"/>
      <c r="AN88" s="1203"/>
      <c r="AO88" s="1203"/>
    </row>
    <row r="89" spans="1:44" ht="13.5" customHeight="1">
      <c r="A89" s="237"/>
      <c r="B89" s="237"/>
      <c r="C89" s="167"/>
      <c r="D89" s="167"/>
      <c r="E89" s="167"/>
      <c r="F89" s="167"/>
      <c r="G89" s="167"/>
      <c r="H89" s="167"/>
      <c r="I89" s="167"/>
      <c r="J89" s="167"/>
      <c r="K89" s="167"/>
      <c r="L89" s="167"/>
      <c r="M89" s="167"/>
      <c r="N89" s="167"/>
      <c r="O89" s="167"/>
      <c r="P89" s="167"/>
      <c r="Q89" s="167"/>
      <c r="R89" s="167"/>
      <c r="S89" s="167"/>
      <c r="T89" s="167"/>
      <c r="X89" s="1216"/>
      <c r="Y89" s="1216"/>
      <c r="Z89" s="1216"/>
      <c r="AA89" s="1216"/>
      <c r="AB89" s="1216"/>
      <c r="AC89" s="1216"/>
      <c r="AD89" s="1216"/>
      <c r="AE89" s="1216"/>
      <c r="AF89" s="1216"/>
      <c r="AG89" s="1039"/>
      <c r="AH89" s="1039"/>
      <c r="AI89" s="1203"/>
      <c r="AJ89" s="1203"/>
      <c r="AK89" s="1203"/>
      <c r="AL89" s="1203"/>
      <c r="AM89" s="1203"/>
      <c r="AN89" s="1203"/>
      <c r="AO89" s="1203"/>
    </row>
    <row r="90" spans="1:44" ht="13.5" customHeight="1">
      <c r="A90" s="232" t="s">
        <v>48</v>
      </c>
      <c r="B90" s="242"/>
      <c r="C90" s="167"/>
      <c r="D90" s="167"/>
      <c r="E90" s="167"/>
      <c r="F90" s="167"/>
      <c r="G90" s="167"/>
      <c r="H90" s="167"/>
      <c r="I90" s="167"/>
      <c r="J90" s="167"/>
      <c r="K90" s="167"/>
      <c r="L90" s="167"/>
      <c r="M90" s="167"/>
      <c r="N90" s="167"/>
      <c r="O90" s="167"/>
      <c r="P90" s="167"/>
      <c r="Q90" s="167"/>
      <c r="R90" s="167"/>
      <c r="S90" s="167"/>
      <c r="T90" s="167"/>
      <c r="X90" s="1221"/>
      <c r="Y90" s="1221"/>
      <c r="Z90" s="1221"/>
      <c r="AA90" s="1221"/>
      <c r="AB90" s="1221"/>
      <c r="AC90" s="1221"/>
      <c r="AD90" s="1221"/>
      <c r="AE90" s="1221"/>
      <c r="AF90" s="1221"/>
      <c r="AG90" s="1039"/>
      <c r="AH90" s="1039"/>
      <c r="AI90" s="245"/>
      <c r="AJ90" s="245"/>
      <c r="AK90" s="245"/>
      <c r="AL90" s="245"/>
      <c r="AM90" s="245"/>
      <c r="AN90" s="245"/>
      <c r="AO90" s="245"/>
    </row>
    <row r="91" spans="1:44" ht="13.5" customHeight="1">
      <c r="A91" s="562"/>
      <c r="B91" s="562"/>
      <c r="C91" s="167"/>
      <c r="D91" s="167"/>
      <c r="E91" s="167"/>
      <c r="F91" s="167"/>
      <c r="G91" s="167"/>
      <c r="H91" s="167"/>
      <c r="I91" s="167"/>
      <c r="J91" s="167"/>
      <c r="K91" s="167"/>
      <c r="L91" s="167"/>
      <c r="M91" s="167"/>
      <c r="N91" s="167"/>
      <c r="O91" s="167"/>
      <c r="P91" s="167"/>
      <c r="Q91" s="167"/>
      <c r="R91" s="167"/>
      <c r="S91" s="167"/>
      <c r="T91" s="167"/>
      <c r="X91" s="751"/>
      <c r="Y91" s="751"/>
      <c r="Z91" s="751"/>
      <c r="AA91" s="751"/>
      <c r="AB91" s="751"/>
      <c r="AC91" s="751"/>
      <c r="AD91" s="751"/>
      <c r="AE91" s="751"/>
      <c r="AF91" s="751"/>
      <c r="AG91" s="1039"/>
      <c r="AH91" s="1039"/>
      <c r="AI91" s="245"/>
      <c r="AJ91" s="245"/>
      <c r="AK91" s="245"/>
      <c r="AL91" s="245"/>
      <c r="AM91" s="245"/>
      <c r="AN91" s="245"/>
      <c r="AO91" s="245"/>
    </row>
    <row r="92" spans="1:44" ht="19.5" customHeight="1">
      <c r="A92" s="1209"/>
      <c r="B92" s="1209"/>
      <c r="C92" s="167"/>
      <c r="D92" s="167"/>
      <c r="E92" s="167"/>
      <c r="F92" s="167"/>
      <c r="G92" s="167"/>
      <c r="H92" s="167"/>
      <c r="I92" s="167"/>
      <c r="J92" s="167"/>
      <c r="K92" s="167"/>
      <c r="L92" s="167"/>
      <c r="M92" s="167"/>
      <c r="N92" s="167"/>
      <c r="O92" s="167"/>
      <c r="P92" s="167"/>
      <c r="Q92" s="167"/>
      <c r="R92" s="167"/>
      <c r="S92" s="167"/>
      <c r="T92" s="167"/>
      <c r="X92" s="1222">
        <v>2001</v>
      </c>
      <c r="Y92" s="1222">
        <v>2002</v>
      </c>
      <c r="Z92" s="1222">
        <v>2003</v>
      </c>
      <c r="AA92" s="1222">
        <v>2004</v>
      </c>
      <c r="AB92" s="1222">
        <v>2005</v>
      </c>
      <c r="AC92" s="1222">
        <v>2006</v>
      </c>
      <c r="AD92" s="1222">
        <v>2007</v>
      </c>
      <c r="AE92" s="1222">
        <v>2008</v>
      </c>
      <c r="AF92" s="1222">
        <v>2009</v>
      </c>
      <c r="AG92" s="1222">
        <v>2010</v>
      </c>
      <c r="AH92" s="1222">
        <v>2011</v>
      </c>
      <c r="AI92" s="1222">
        <v>2012</v>
      </c>
      <c r="AJ92" s="1222">
        <v>2013</v>
      </c>
      <c r="AK92" s="1222">
        <v>2014</v>
      </c>
      <c r="AL92" s="1222">
        <v>2015</v>
      </c>
      <c r="AM92" s="1222">
        <v>2016</v>
      </c>
      <c r="AN92" s="1222">
        <v>2017</v>
      </c>
      <c r="AO92" s="1222">
        <v>2018</v>
      </c>
      <c r="AP92" s="1222">
        <v>2019</v>
      </c>
      <c r="AQ92" s="1222">
        <v>2020</v>
      </c>
    </row>
    <row r="93" spans="1:44" ht="13.5" customHeight="1">
      <c r="C93" s="167"/>
      <c r="D93" s="167"/>
      <c r="E93" s="167"/>
      <c r="F93" s="167"/>
      <c r="G93" s="167"/>
      <c r="H93" s="167"/>
      <c r="I93" s="167"/>
      <c r="J93" s="167"/>
      <c r="K93" s="167"/>
      <c r="L93" s="167"/>
      <c r="M93" s="167"/>
      <c r="N93" s="167"/>
      <c r="O93" s="167"/>
      <c r="P93" s="167"/>
      <c r="Q93" s="167"/>
      <c r="R93" s="167"/>
      <c r="S93" s="167"/>
      <c r="T93" s="167"/>
      <c r="X93" s="749"/>
      <c r="Y93" s="749"/>
      <c r="Z93" s="749"/>
      <c r="AA93" s="749"/>
      <c r="AB93" s="749"/>
      <c r="AC93" s="749"/>
      <c r="AD93" s="749"/>
      <c r="AE93" s="749"/>
      <c r="AF93" s="749"/>
      <c r="AG93" s="1039"/>
      <c r="AH93" s="1039"/>
      <c r="AI93" s="245"/>
      <c r="AJ93" s="245"/>
      <c r="AK93" s="245"/>
      <c r="AL93" s="245"/>
      <c r="AM93" s="245"/>
      <c r="AN93" s="245"/>
      <c r="AO93" s="245"/>
      <c r="AP93" s="245"/>
      <c r="AQ93" s="245"/>
    </row>
    <row r="94" spans="1:44" ht="13.5" customHeight="1">
      <c r="A94" s="217" t="s">
        <v>49</v>
      </c>
      <c r="C94" s="167"/>
      <c r="D94" s="167"/>
      <c r="E94" s="167"/>
      <c r="F94" s="167"/>
      <c r="G94" s="167"/>
      <c r="H94" s="167"/>
      <c r="I94" s="167"/>
      <c r="J94" s="167"/>
      <c r="K94" s="167"/>
      <c r="L94" s="167"/>
      <c r="M94" s="167"/>
      <c r="N94" s="167"/>
      <c r="O94" s="167"/>
      <c r="P94" s="199">
        <v>13082.632920800001</v>
      </c>
      <c r="Q94" s="199" t="e">
        <f>#REF!*0.511292</f>
        <v>#REF!</v>
      </c>
      <c r="R94" s="199">
        <f t="shared" ref="R94:W94" si="20">SUM(R96:R108,R115:R119)</f>
        <v>0</v>
      </c>
      <c r="S94" s="199">
        <f t="shared" si="20"/>
        <v>13500.600460592454</v>
      </c>
      <c r="T94" s="199" t="e">
        <f t="shared" si="20"/>
        <v>#REF!</v>
      </c>
      <c r="U94" s="249">
        <f t="shared" si="20"/>
        <v>15582.244402846653</v>
      </c>
      <c r="V94" s="249">
        <f t="shared" si="20"/>
        <v>47488.642707156279</v>
      </c>
      <c r="W94" s="249">
        <f t="shared" si="20"/>
        <v>50955.351485320891</v>
      </c>
      <c r="X94" s="1223">
        <f>SUM(X95:X107)</f>
        <v>33327</v>
      </c>
      <c r="Y94" s="1223"/>
      <c r="Z94" s="1223">
        <f>SUM(Z95:Z107)</f>
        <v>36473</v>
      </c>
      <c r="AA94" s="1223"/>
      <c r="AB94" s="1223">
        <f>SUM(AB95:AB107)</f>
        <v>32743</v>
      </c>
      <c r="AC94" s="1223"/>
      <c r="AD94" s="1223">
        <f>SUM(AD95:AD107)</f>
        <v>30268</v>
      </c>
      <c r="AE94" s="1223"/>
      <c r="AF94" s="1223">
        <f t="shared" ref="AF94:AP94" si="21">SUM(AF95:AF107)</f>
        <v>28157</v>
      </c>
      <c r="AG94" s="1223">
        <f t="shared" si="21"/>
        <v>29331</v>
      </c>
      <c r="AH94" s="1223">
        <f t="shared" si="21"/>
        <v>27753</v>
      </c>
      <c r="AI94" s="1223">
        <f t="shared" si="21"/>
        <v>27196</v>
      </c>
      <c r="AJ94" s="1223">
        <f t="shared" si="21"/>
        <v>27017</v>
      </c>
      <c r="AK94" s="1223">
        <f t="shared" si="21"/>
        <v>27141</v>
      </c>
      <c r="AL94" s="1223">
        <f t="shared" si="21"/>
        <v>28343</v>
      </c>
      <c r="AM94" s="1223">
        <f t="shared" si="21"/>
        <v>29147</v>
      </c>
      <c r="AN94" s="1223">
        <f t="shared" si="21"/>
        <v>30204</v>
      </c>
      <c r="AO94" s="1223">
        <f t="shared" si="21"/>
        <v>31403</v>
      </c>
      <c r="AP94" s="1223">
        <f t="shared" si="21"/>
        <v>32250</v>
      </c>
      <c r="AQ94" s="1223"/>
    </row>
    <row r="95" spans="1:44" ht="13.5" customHeight="1">
      <c r="B95" s="167" t="s">
        <v>1083</v>
      </c>
      <c r="C95" s="167"/>
      <c r="D95" s="167"/>
      <c r="E95" s="167"/>
      <c r="F95" s="167"/>
      <c r="G95" s="167"/>
      <c r="H95" s="167"/>
      <c r="I95" s="167"/>
      <c r="J95" s="167"/>
      <c r="K95" s="167"/>
      <c r="L95" s="167"/>
      <c r="M95" s="167"/>
      <c r="N95" s="167"/>
      <c r="O95" s="167"/>
      <c r="P95" s="199"/>
      <c r="Q95" s="199"/>
      <c r="R95" s="199"/>
      <c r="S95" s="199"/>
      <c r="T95" s="199"/>
      <c r="U95" s="249"/>
      <c r="V95" s="249"/>
      <c r="W95" s="249"/>
      <c r="X95" s="1213">
        <v>1733</v>
      </c>
      <c r="Y95" s="749"/>
      <c r="Z95" s="1213">
        <v>430</v>
      </c>
      <c r="AA95" s="749"/>
      <c r="AB95" s="1213">
        <v>30</v>
      </c>
      <c r="AC95" s="749"/>
      <c r="AD95" s="1213">
        <v>0</v>
      </c>
      <c r="AE95" s="1213">
        <v>0</v>
      </c>
      <c r="AF95" s="1213">
        <v>0</v>
      </c>
      <c r="AG95" s="1213">
        <v>0</v>
      </c>
      <c r="AH95" s="1213">
        <v>0</v>
      </c>
      <c r="AI95" s="1213">
        <v>0</v>
      </c>
      <c r="AJ95" s="1213">
        <v>0</v>
      </c>
      <c r="AK95" s="1213">
        <v>0</v>
      </c>
      <c r="AL95" s="1213">
        <v>0</v>
      </c>
      <c r="AM95" s="1213">
        <v>0</v>
      </c>
      <c r="AN95" s="1213">
        <v>0</v>
      </c>
      <c r="AO95" s="1213">
        <v>0</v>
      </c>
      <c r="AP95" s="1213">
        <v>0</v>
      </c>
      <c r="AQ95" s="1213"/>
      <c r="AR95" s="247" t="s">
        <v>1067</v>
      </c>
    </row>
    <row r="96" spans="1:44" ht="13.5" customHeight="1">
      <c r="B96" s="167" t="s">
        <v>1084</v>
      </c>
      <c r="C96" s="167"/>
      <c r="D96" s="167"/>
      <c r="E96" s="167"/>
      <c r="F96" s="167"/>
      <c r="G96" s="167"/>
      <c r="H96" s="167"/>
      <c r="I96" s="167"/>
      <c r="J96" s="167"/>
      <c r="K96" s="167"/>
      <c r="L96" s="167"/>
      <c r="M96" s="167"/>
      <c r="N96" s="167"/>
      <c r="O96" s="167"/>
      <c r="P96" s="199"/>
      <c r="Q96" s="199"/>
      <c r="R96" s="199"/>
      <c r="S96" s="199"/>
      <c r="T96" s="199"/>
      <c r="U96" s="249"/>
      <c r="V96" s="249"/>
      <c r="W96" s="249"/>
      <c r="X96" s="1213">
        <v>460</v>
      </c>
      <c r="Y96" s="749"/>
      <c r="Z96" s="1213">
        <v>65</v>
      </c>
      <c r="AA96" s="749"/>
      <c r="AB96" s="1213">
        <v>30</v>
      </c>
      <c r="AC96" s="749"/>
      <c r="AD96" s="1213">
        <v>0</v>
      </c>
      <c r="AE96" s="1213">
        <v>0</v>
      </c>
      <c r="AF96" s="1213">
        <v>0</v>
      </c>
      <c r="AG96" s="1213">
        <v>0</v>
      </c>
      <c r="AH96" s="1213">
        <v>0</v>
      </c>
      <c r="AI96" s="1213">
        <v>0</v>
      </c>
      <c r="AJ96" s="1213">
        <v>0</v>
      </c>
      <c r="AK96" s="1213">
        <v>0</v>
      </c>
      <c r="AL96" s="1213">
        <v>0</v>
      </c>
      <c r="AM96" s="1213">
        <v>0</v>
      </c>
      <c r="AN96" s="1213">
        <v>0</v>
      </c>
      <c r="AO96" s="1213">
        <v>0</v>
      </c>
      <c r="AP96" s="1213">
        <v>0</v>
      </c>
      <c r="AQ96" s="1213"/>
      <c r="AR96" s="247" t="s">
        <v>1067</v>
      </c>
    </row>
    <row r="97" spans="2:44" ht="13.5" customHeight="1">
      <c r="B97" s="167" t="s">
        <v>1085</v>
      </c>
      <c r="C97" s="167"/>
      <c r="D97" s="167"/>
      <c r="E97" s="167"/>
      <c r="F97" s="167"/>
      <c r="G97" s="167"/>
      <c r="H97" s="167"/>
      <c r="I97" s="167"/>
      <c r="J97" s="167"/>
      <c r="K97" s="167"/>
      <c r="L97" s="167"/>
      <c r="M97" s="167"/>
      <c r="N97" s="167"/>
      <c r="O97" s="167"/>
      <c r="P97" s="199"/>
      <c r="Q97" s="199"/>
      <c r="R97" s="199"/>
      <c r="S97" s="199"/>
      <c r="T97" s="199"/>
      <c r="U97" s="249"/>
      <c r="V97" s="249"/>
      <c r="W97" s="249"/>
      <c r="X97" s="1213">
        <v>8050</v>
      </c>
      <c r="Y97" s="749"/>
      <c r="Z97" s="1213">
        <v>10536</v>
      </c>
      <c r="AA97" s="749"/>
      <c r="AB97" s="1213">
        <v>10247</v>
      </c>
      <c r="AC97" s="749"/>
      <c r="AD97" s="1213">
        <v>7722</v>
      </c>
      <c r="AE97" s="749"/>
      <c r="AF97" s="1213">
        <v>4972</v>
      </c>
      <c r="AG97" s="1213">
        <v>3616</v>
      </c>
      <c r="AH97" s="1213">
        <v>2378</v>
      </c>
      <c r="AI97" s="1213">
        <v>1366</v>
      </c>
      <c r="AJ97" s="1213">
        <v>542</v>
      </c>
      <c r="AK97" s="1213">
        <v>151</v>
      </c>
      <c r="AL97" s="1213">
        <v>53</v>
      </c>
      <c r="AM97" s="1213">
        <v>27</v>
      </c>
      <c r="AN97" s="1213">
        <v>14</v>
      </c>
      <c r="AO97" s="1213">
        <v>8</v>
      </c>
      <c r="AP97" s="1213">
        <v>0</v>
      </c>
      <c r="AQ97" s="1213"/>
      <c r="AR97" s="247" t="s">
        <v>1067</v>
      </c>
    </row>
    <row r="98" spans="2:44" ht="13.5" customHeight="1">
      <c r="B98" s="167" t="s">
        <v>1086</v>
      </c>
      <c r="C98" s="167"/>
      <c r="D98" s="167"/>
      <c r="E98" s="167"/>
      <c r="F98" s="167"/>
      <c r="G98" s="167"/>
      <c r="H98" s="167"/>
      <c r="I98" s="167"/>
      <c r="J98" s="167"/>
      <c r="K98" s="167"/>
      <c r="L98" s="167"/>
      <c r="M98" s="167"/>
      <c r="N98" s="167"/>
      <c r="O98" s="167"/>
      <c r="P98" s="199"/>
      <c r="Q98" s="199"/>
      <c r="R98" s="199"/>
      <c r="S98" s="199"/>
      <c r="T98" s="199"/>
      <c r="U98" s="249"/>
      <c r="V98" s="249"/>
      <c r="W98" s="249"/>
      <c r="X98" s="1213">
        <v>41</v>
      </c>
      <c r="Y98" s="749"/>
      <c r="Z98" s="1213">
        <v>41</v>
      </c>
      <c r="AA98" s="749"/>
      <c r="AB98" s="1213">
        <v>36</v>
      </c>
      <c r="AC98" s="749"/>
      <c r="AD98" s="1213">
        <v>65</v>
      </c>
      <c r="AE98" s="749"/>
      <c r="AF98" s="1213">
        <v>80</v>
      </c>
      <c r="AG98" s="1213">
        <v>80</v>
      </c>
      <c r="AH98" s="1213">
        <v>85</v>
      </c>
      <c r="AI98" s="1213">
        <v>85</v>
      </c>
      <c r="AJ98" s="1213">
        <v>85</v>
      </c>
      <c r="AK98" s="1213">
        <v>85</v>
      </c>
      <c r="AL98" s="1213">
        <v>85</v>
      </c>
      <c r="AM98" s="1213">
        <v>85</v>
      </c>
      <c r="AN98" s="1213">
        <v>85</v>
      </c>
      <c r="AO98" s="1213">
        <v>85</v>
      </c>
      <c r="AP98" s="1213">
        <v>85</v>
      </c>
      <c r="AQ98" s="1213"/>
      <c r="AR98" s="604" t="s">
        <v>1069</v>
      </c>
    </row>
    <row r="99" spans="2:44" ht="13.5" customHeight="1">
      <c r="B99" s="167" t="s">
        <v>1087</v>
      </c>
      <c r="C99" s="167"/>
      <c r="D99" s="167"/>
      <c r="E99" s="167"/>
      <c r="F99" s="167"/>
      <c r="G99" s="167"/>
      <c r="H99" s="167"/>
      <c r="I99" s="167"/>
      <c r="J99" s="167"/>
      <c r="K99" s="167"/>
      <c r="L99" s="167"/>
      <c r="M99" s="167"/>
      <c r="N99" s="167"/>
      <c r="O99" s="167"/>
      <c r="P99" s="199"/>
      <c r="Q99" s="199"/>
      <c r="R99" s="199"/>
      <c r="S99" s="199"/>
      <c r="T99" s="199"/>
      <c r="U99" s="249"/>
      <c r="V99" s="249"/>
      <c r="W99" s="249"/>
      <c r="X99" s="1213">
        <v>79</v>
      </c>
      <c r="Y99" s="749"/>
      <c r="Z99" s="1213">
        <v>85</v>
      </c>
      <c r="AA99" s="749"/>
      <c r="AB99" s="1213">
        <v>90</v>
      </c>
      <c r="AC99" s="749"/>
      <c r="AD99" s="1213">
        <v>90</v>
      </c>
      <c r="AE99" s="749"/>
      <c r="AF99" s="1213">
        <v>100</v>
      </c>
      <c r="AG99" s="1213">
        <v>95</v>
      </c>
      <c r="AH99" s="1213">
        <v>90</v>
      </c>
      <c r="AI99" s="1213">
        <v>85</v>
      </c>
      <c r="AJ99" s="1213">
        <v>85</v>
      </c>
      <c r="AK99" s="1213">
        <v>100</v>
      </c>
      <c r="AL99" s="1213">
        <v>100</v>
      </c>
      <c r="AM99" s="1213">
        <v>100</v>
      </c>
      <c r="AN99" s="1213">
        <v>95</v>
      </c>
      <c r="AO99" s="1213">
        <v>95</v>
      </c>
      <c r="AP99" s="1213">
        <v>100</v>
      </c>
      <c r="AQ99" s="1213"/>
      <c r="AR99" s="247" t="s">
        <v>1067</v>
      </c>
    </row>
    <row r="100" spans="2:44" ht="13.5" customHeight="1">
      <c r="B100" s="167" t="s">
        <v>1088</v>
      </c>
      <c r="C100" s="167"/>
      <c r="D100" s="167"/>
      <c r="E100" s="167"/>
      <c r="F100" s="167"/>
      <c r="G100" s="167"/>
      <c r="H100" s="167"/>
      <c r="I100" s="167"/>
      <c r="J100" s="167"/>
      <c r="K100" s="167"/>
      <c r="L100" s="167"/>
      <c r="M100" s="167"/>
      <c r="N100" s="167"/>
      <c r="O100" s="167"/>
      <c r="P100" s="199"/>
      <c r="Q100" s="199"/>
      <c r="R100" s="199"/>
      <c r="S100" s="199"/>
      <c r="T100" s="199"/>
      <c r="U100" s="249"/>
      <c r="V100" s="249"/>
      <c r="W100" s="249"/>
      <c r="X100" s="1213">
        <v>135</v>
      </c>
      <c r="Y100" s="749"/>
      <c r="Z100" s="1213">
        <v>130</v>
      </c>
      <c r="AA100" s="749"/>
      <c r="AB100" s="1213">
        <v>140</v>
      </c>
      <c r="AC100" s="749"/>
      <c r="AD100" s="1213">
        <v>146</v>
      </c>
      <c r="AE100" s="749"/>
      <c r="AF100" s="1213">
        <v>135</v>
      </c>
      <c r="AG100" s="1213">
        <v>130</v>
      </c>
      <c r="AH100" s="1213">
        <v>125</v>
      </c>
      <c r="AI100" s="1213">
        <v>120</v>
      </c>
      <c r="AJ100" s="1213">
        <v>115</v>
      </c>
      <c r="AK100" s="1213">
        <v>120</v>
      </c>
      <c r="AL100" s="1213">
        <v>120</v>
      </c>
      <c r="AM100" s="1213">
        <v>115</v>
      </c>
      <c r="AN100" s="1213">
        <v>115</v>
      </c>
      <c r="AO100" s="1213">
        <v>105</v>
      </c>
      <c r="AP100" s="1213">
        <v>105</v>
      </c>
      <c r="AQ100" s="1213"/>
      <c r="AR100" s="247" t="s">
        <v>1067</v>
      </c>
    </row>
    <row r="101" spans="2:44" ht="13.5" customHeight="1">
      <c r="B101" s="167" t="s">
        <v>1089</v>
      </c>
      <c r="C101" s="167"/>
      <c r="D101" s="167"/>
      <c r="E101" s="167"/>
      <c r="F101" s="167"/>
      <c r="G101" s="167"/>
      <c r="H101" s="167"/>
      <c r="I101" s="167"/>
      <c r="J101" s="167"/>
      <c r="K101" s="167"/>
      <c r="L101" s="167"/>
      <c r="M101" s="167"/>
      <c r="N101" s="167"/>
      <c r="O101" s="167"/>
      <c r="P101" s="199"/>
      <c r="Q101" s="199"/>
      <c r="R101" s="199"/>
      <c r="S101" s="199"/>
      <c r="T101" s="199"/>
      <c r="U101" s="249"/>
      <c r="V101" s="249"/>
      <c r="W101" s="249"/>
      <c r="X101" s="1213">
        <v>1100</v>
      </c>
      <c r="Y101" s="749"/>
      <c r="Z101" s="1213">
        <v>1000</v>
      </c>
      <c r="AA101" s="749"/>
      <c r="AB101" s="1213">
        <v>340</v>
      </c>
      <c r="AC101" s="749"/>
      <c r="AD101" s="1213">
        <v>350</v>
      </c>
      <c r="AE101" s="749"/>
      <c r="AF101" s="1213">
        <v>360</v>
      </c>
      <c r="AG101" s="1213">
        <v>355</v>
      </c>
      <c r="AH101" s="1213">
        <v>340</v>
      </c>
      <c r="AI101" s="1213">
        <v>355</v>
      </c>
      <c r="AJ101" s="1213">
        <v>360</v>
      </c>
      <c r="AK101" s="1213">
        <v>365</v>
      </c>
      <c r="AL101" s="1213">
        <v>525</v>
      </c>
      <c r="AM101" s="1213">
        <v>550</v>
      </c>
      <c r="AN101" s="1213">
        <v>535</v>
      </c>
      <c r="AO101" s="1213">
        <v>515</v>
      </c>
      <c r="AP101" s="1213">
        <v>525</v>
      </c>
      <c r="AQ101" s="1213"/>
      <c r="AR101" s="247" t="s">
        <v>1067</v>
      </c>
    </row>
    <row r="102" spans="2:44" ht="13.5" customHeight="1">
      <c r="B102" s="167" t="s">
        <v>1090</v>
      </c>
      <c r="C102" s="167"/>
      <c r="D102" s="167"/>
      <c r="E102" s="167"/>
      <c r="F102" s="167"/>
      <c r="G102" s="167"/>
      <c r="H102" s="167"/>
      <c r="I102" s="167"/>
      <c r="J102" s="167"/>
      <c r="K102" s="167"/>
      <c r="L102" s="167"/>
      <c r="M102" s="167"/>
      <c r="N102" s="167"/>
      <c r="O102" s="167"/>
      <c r="P102" s="199"/>
      <c r="Q102" s="199"/>
      <c r="R102" s="199"/>
      <c r="S102" s="199"/>
      <c r="T102" s="199"/>
      <c r="U102" s="249"/>
      <c r="V102" s="249"/>
      <c r="W102" s="249"/>
      <c r="X102" s="1213">
        <v>465</v>
      </c>
      <c r="Y102" s="749"/>
      <c r="Z102" s="1213">
        <v>475</v>
      </c>
      <c r="AA102" s="749"/>
      <c r="AB102" s="1213">
        <v>650</v>
      </c>
      <c r="AC102" s="749"/>
      <c r="AD102" s="1213">
        <v>675</v>
      </c>
      <c r="AE102" s="749"/>
      <c r="AF102" s="1213">
        <v>970</v>
      </c>
      <c r="AG102" s="1213">
        <v>1035</v>
      </c>
      <c r="AH102" s="1213">
        <v>915</v>
      </c>
      <c r="AI102" s="1213">
        <v>815</v>
      </c>
      <c r="AJ102" s="1213">
        <v>840</v>
      </c>
      <c r="AK102" s="1213">
        <v>860</v>
      </c>
      <c r="AL102" s="1213">
        <v>930</v>
      </c>
      <c r="AM102" s="1213">
        <v>1075</v>
      </c>
      <c r="AN102" s="1213">
        <v>1105</v>
      </c>
      <c r="AO102" s="1213">
        <v>1245</v>
      </c>
      <c r="AP102" s="1213">
        <v>1315</v>
      </c>
      <c r="AQ102" s="1213"/>
      <c r="AR102" s="247" t="s">
        <v>1067</v>
      </c>
    </row>
    <row r="103" spans="2:44" ht="13.5" customHeight="1">
      <c r="B103" s="167" t="s">
        <v>1091</v>
      </c>
      <c r="C103" s="167"/>
      <c r="D103" s="167"/>
      <c r="E103" s="167"/>
      <c r="F103" s="167"/>
      <c r="G103" s="167"/>
      <c r="H103" s="167"/>
      <c r="I103" s="167"/>
      <c r="J103" s="167"/>
      <c r="K103" s="167"/>
      <c r="L103" s="167"/>
      <c r="M103" s="167"/>
      <c r="N103" s="167"/>
      <c r="O103" s="167"/>
      <c r="P103" s="199"/>
      <c r="Q103" s="199"/>
      <c r="R103" s="199"/>
      <c r="S103" s="199"/>
      <c r="T103" s="199"/>
      <c r="U103" s="249"/>
      <c r="V103" s="249"/>
      <c r="W103" s="249"/>
      <c r="X103" s="1213">
        <v>1094</v>
      </c>
      <c r="Y103" s="749"/>
      <c r="Z103" s="1213">
        <v>659</v>
      </c>
      <c r="AA103" s="749"/>
      <c r="AB103" s="1213">
        <v>845</v>
      </c>
      <c r="AC103" s="749"/>
      <c r="AD103" s="1213">
        <v>845</v>
      </c>
      <c r="AE103" s="749"/>
      <c r="AF103" s="1213">
        <v>805</v>
      </c>
      <c r="AG103" s="1213">
        <v>815</v>
      </c>
      <c r="AH103" s="1213">
        <v>770</v>
      </c>
      <c r="AI103" s="1213">
        <v>725</v>
      </c>
      <c r="AJ103" s="1213">
        <v>720</v>
      </c>
      <c r="AK103" s="1213">
        <v>850</v>
      </c>
      <c r="AL103" s="1213">
        <v>925</v>
      </c>
      <c r="AM103" s="1213">
        <v>910</v>
      </c>
      <c r="AN103" s="1213">
        <v>1030</v>
      </c>
      <c r="AO103" s="1213">
        <v>1065</v>
      </c>
      <c r="AP103" s="1213">
        <v>1075</v>
      </c>
      <c r="AQ103" s="1213"/>
      <c r="AR103" s="247" t="s">
        <v>1067</v>
      </c>
    </row>
    <row r="104" spans="2:44" ht="13.5" customHeight="1">
      <c r="B104" s="167" t="s">
        <v>1092</v>
      </c>
      <c r="C104" s="167"/>
      <c r="D104" s="167"/>
      <c r="E104" s="167"/>
      <c r="F104" s="167"/>
      <c r="G104" s="167"/>
      <c r="H104" s="167"/>
      <c r="I104" s="167"/>
      <c r="J104" s="167"/>
      <c r="K104" s="167"/>
      <c r="L104" s="167"/>
      <c r="M104" s="167"/>
      <c r="N104" s="167"/>
      <c r="O104" s="167"/>
      <c r="P104" s="199"/>
      <c r="Q104" s="199"/>
      <c r="R104" s="199"/>
      <c r="S104" s="199"/>
      <c r="T104" s="199"/>
      <c r="U104" s="249"/>
      <c r="V104" s="249"/>
      <c r="W104" s="249"/>
      <c r="X104" s="1213">
        <v>798</v>
      </c>
      <c r="Y104" s="749"/>
      <c r="Z104" s="1213">
        <v>810</v>
      </c>
      <c r="AA104" s="749"/>
      <c r="AB104" s="1213">
        <v>805</v>
      </c>
      <c r="AC104" s="749"/>
      <c r="AD104" s="1213">
        <v>740</v>
      </c>
      <c r="AE104" s="749"/>
      <c r="AF104" s="1213">
        <v>955</v>
      </c>
      <c r="AG104" s="1213">
        <v>960</v>
      </c>
      <c r="AH104" s="1213">
        <v>785</v>
      </c>
      <c r="AI104" s="1213">
        <v>740</v>
      </c>
      <c r="AJ104" s="1213">
        <v>795</v>
      </c>
      <c r="AK104" s="1213">
        <v>825</v>
      </c>
      <c r="AL104" s="1213">
        <v>860</v>
      </c>
      <c r="AM104" s="1213">
        <v>915</v>
      </c>
      <c r="AN104" s="1213">
        <v>935</v>
      </c>
      <c r="AO104" s="1213">
        <v>960</v>
      </c>
      <c r="AP104" s="1213">
        <v>995</v>
      </c>
      <c r="AQ104" s="1213"/>
      <c r="AR104" s="247" t="s">
        <v>1067</v>
      </c>
    </row>
    <row r="105" spans="2:44" ht="13.5" customHeight="1">
      <c r="B105" s="167" t="s">
        <v>1093</v>
      </c>
      <c r="C105" s="167"/>
      <c r="D105" s="167"/>
      <c r="E105" s="167"/>
      <c r="F105" s="167"/>
      <c r="G105" s="167"/>
      <c r="H105" s="167"/>
      <c r="I105" s="167"/>
      <c r="J105" s="167"/>
      <c r="K105" s="167"/>
      <c r="L105" s="167"/>
      <c r="M105" s="167"/>
      <c r="N105" s="167"/>
      <c r="O105" s="167"/>
      <c r="P105" s="199"/>
      <c r="Q105" s="199"/>
      <c r="R105" s="199"/>
      <c r="S105" s="199"/>
      <c r="T105" s="199"/>
      <c r="U105" s="249"/>
      <c r="V105" s="249"/>
      <c r="W105" s="249"/>
      <c r="X105" s="1213">
        <v>72</v>
      </c>
      <c r="Y105" s="749"/>
      <c r="Z105" s="1213">
        <v>72</v>
      </c>
      <c r="AA105" s="749"/>
      <c r="AB105" s="1213">
        <v>60</v>
      </c>
      <c r="AC105" s="749"/>
      <c r="AD105" s="1213">
        <v>60</v>
      </c>
      <c r="AE105" s="749"/>
      <c r="AF105" s="1213">
        <v>65</v>
      </c>
      <c r="AG105" s="1213">
        <v>65</v>
      </c>
      <c r="AH105" s="1213">
        <v>55</v>
      </c>
      <c r="AI105" s="1213">
        <v>50</v>
      </c>
      <c r="AJ105" s="1213">
        <v>50</v>
      </c>
      <c r="AK105" s="1213">
        <v>50</v>
      </c>
      <c r="AL105" s="1213">
        <v>45</v>
      </c>
      <c r="AM105" s="1213">
        <v>45</v>
      </c>
      <c r="AN105" s="1213">
        <v>50</v>
      </c>
      <c r="AO105" s="1213">
        <v>50</v>
      </c>
      <c r="AP105" s="1213">
        <v>55</v>
      </c>
      <c r="AQ105" s="1213"/>
      <c r="AR105" s="247" t="s">
        <v>1067</v>
      </c>
    </row>
    <row r="106" spans="2:44" ht="13.5" customHeight="1">
      <c r="B106" s="167" t="s">
        <v>1094</v>
      </c>
      <c r="C106" s="167"/>
      <c r="D106" s="167"/>
      <c r="E106" s="167"/>
      <c r="F106" s="167"/>
      <c r="G106" s="167"/>
      <c r="H106" s="167"/>
      <c r="I106" s="167"/>
      <c r="J106" s="167"/>
      <c r="K106" s="167"/>
      <c r="L106" s="167"/>
      <c r="M106" s="167"/>
      <c r="N106" s="167"/>
      <c r="O106" s="167"/>
      <c r="P106" s="199"/>
      <c r="Q106" s="199"/>
      <c r="R106" s="199"/>
      <c r="S106" s="250">
        <v>13500.600460592454</v>
      </c>
      <c r="T106" s="250">
        <v>15514.903517489918</v>
      </c>
      <c r="U106" s="250">
        <v>15582.244402846653</v>
      </c>
      <c r="V106" s="250">
        <v>17988.122237559197</v>
      </c>
      <c r="W106" s="250">
        <v>19301.26950201549</v>
      </c>
      <c r="X106" s="1213">
        <v>0</v>
      </c>
      <c r="Y106" s="749"/>
      <c r="Z106" s="1213">
        <v>170</v>
      </c>
      <c r="AA106" s="749"/>
      <c r="AB106" s="1213">
        <v>160</v>
      </c>
      <c r="AC106" s="749"/>
      <c r="AD106" s="1213">
        <v>245</v>
      </c>
      <c r="AE106" s="749"/>
      <c r="AF106" s="1213">
        <v>345</v>
      </c>
      <c r="AG106" s="1213">
        <v>420</v>
      </c>
      <c r="AH106" s="1213">
        <v>420</v>
      </c>
      <c r="AI106" s="1213">
        <v>445</v>
      </c>
      <c r="AJ106" s="1213">
        <v>545</v>
      </c>
      <c r="AK106" s="1213">
        <v>605</v>
      </c>
      <c r="AL106" s="1213">
        <v>650</v>
      </c>
      <c r="AM106" s="1213">
        <v>670</v>
      </c>
      <c r="AN106" s="1213">
        <v>765</v>
      </c>
      <c r="AO106" s="1213">
        <v>810</v>
      </c>
      <c r="AP106" s="1213">
        <v>840</v>
      </c>
      <c r="AQ106" s="1213"/>
      <c r="AR106" s="247" t="s">
        <v>1067</v>
      </c>
    </row>
    <row r="107" spans="2:44" ht="13.5" customHeight="1">
      <c r="B107" s="167" t="s">
        <v>1095</v>
      </c>
      <c r="C107" s="167"/>
      <c r="D107" s="167"/>
      <c r="E107" s="167"/>
      <c r="F107" s="167"/>
      <c r="G107" s="167"/>
      <c r="H107" s="167"/>
      <c r="I107" s="167"/>
      <c r="J107" s="167"/>
      <c r="K107" s="167"/>
      <c r="L107" s="167"/>
      <c r="M107" s="167"/>
      <c r="N107" s="167"/>
      <c r="O107" s="167"/>
      <c r="P107" s="199"/>
      <c r="Q107" s="199"/>
      <c r="R107" s="199"/>
      <c r="S107" s="251"/>
      <c r="T107" s="251" t="e">
        <f>#REF!</f>
        <v>#REF!</v>
      </c>
      <c r="U107" s="251"/>
      <c r="V107" s="251">
        <v>29500.520469597082</v>
      </c>
      <c r="W107" s="251">
        <v>31654.081983305405</v>
      </c>
      <c r="X107" s="1224">
        <v>19300</v>
      </c>
      <c r="Y107" s="1225"/>
      <c r="Z107" s="1224">
        <v>22000</v>
      </c>
      <c r="AA107" s="1225"/>
      <c r="AB107" s="1224">
        <v>19310</v>
      </c>
      <c r="AC107" s="1225"/>
      <c r="AD107" s="1224">
        <v>19330</v>
      </c>
      <c r="AE107" s="1225"/>
      <c r="AF107" s="1224">
        <v>19370</v>
      </c>
      <c r="AG107" s="1224">
        <v>21760</v>
      </c>
      <c r="AH107" s="1224">
        <v>21790</v>
      </c>
      <c r="AI107" s="1224">
        <v>22410</v>
      </c>
      <c r="AJ107" s="1224">
        <v>22880</v>
      </c>
      <c r="AK107" s="1224">
        <v>23130</v>
      </c>
      <c r="AL107" s="1224">
        <v>24050</v>
      </c>
      <c r="AM107" s="1224">
        <v>24655</v>
      </c>
      <c r="AN107" s="1224">
        <v>25475</v>
      </c>
      <c r="AO107" s="1224">
        <v>26465</v>
      </c>
      <c r="AP107" s="1224">
        <v>27155</v>
      </c>
      <c r="AQ107" s="1224"/>
      <c r="AR107" s="247" t="s">
        <v>1067</v>
      </c>
    </row>
    <row r="108" spans="2:44" s="1226" customFormat="1" ht="13.5" customHeight="1" outlineLevel="1">
      <c r="B108" s="1226" t="s">
        <v>1096</v>
      </c>
      <c r="P108" s="251"/>
      <c r="Q108" s="251"/>
      <c r="R108" s="251"/>
      <c r="S108" s="251"/>
      <c r="T108" s="251"/>
      <c r="U108" s="1227"/>
      <c r="V108" s="1227"/>
      <c r="W108" s="1227"/>
      <c r="X108" s="1228" t="s">
        <v>1097</v>
      </c>
      <c r="Y108" s="1229"/>
      <c r="Z108" s="1228" t="s">
        <v>1098</v>
      </c>
      <c r="AA108" s="1230"/>
      <c r="AB108" s="1228" t="s">
        <v>1099</v>
      </c>
      <c r="AC108" s="1230"/>
      <c r="AD108" s="1228" t="s">
        <v>1100</v>
      </c>
      <c r="AE108" s="1230"/>
      <c r="AF108" s="1228" t="s">
        <v>1101</v>
      </c>
      <c r="AG108" s="1228" t="s">
        <v>1102</v>
      </c>
      <c r="AH108" s="1228" t="s">
        <v>1103</v>
      </c>
      <c r="AI108" s="1228" t="s">
        <v>1104</v>
      </c>
      <c r="AJ108" s="1228" t="s">
        <v>1105</v>
      </c>
      <c r="AK108" s="1228" t="s">
        <v>1657</v>
      </c>
      <c r="AL108" s="1228" t="s">
        <v>1658</v>
      </c>
      <c r="AM108" s="1228" t="s">
        <v>1659</v>
      </c>
      <c r="AN108" s="1228" t="s">
        <v>1660</v>
      </c>
      <c r="AO108" s="1228" t="s">
        <v>1661</v>
      </c>
      <c r="AP108" s="1228" t="s">
        <v>1662</v>
      </c>
      <c r="AQ108" s="1228"/>
      <c r="AR108" s="1231"/>
    </row>
    <row r="109" spans="2:44" hidden="1">
      <c r="C109" s="167"/>
      <c r="D109" s="167"/>
      <c r="E109" s="167"/>
      <c r="F109" s="167"/>
      <c r="G109" s="167"/>
      <c r="H109" s="167"/>
      <c r="I109" s="167"/>
      <c r="J109" s="167"/>
      <c r="K109" s="167"/>
      <c r="L109" s="167"/>
      <c r="M109" s="167"/>
      <c r="N109" s="167"/>
      <c r="O109" s="197"/>
      <c r="P109" s="199"/>
      <c r="Q109" s="199"/>
      <c r="R109" s="199"/>
      <c r="S109" s="199"/>
      <c r="T109" s="199"/>
      <c r="U109" s="199"/>
      <c r="V109" s="199"/>
      <c r="W109" s="199"/>
      <c r="X109" s="564"/>
      <c r="Y109" s="564"/>
      <c r="Z109" s="564"/>
      <c r="AA109" s="564"/>
      <c r="AB109" s="564"/>
      <c r="AC109" s="564"/>
      <c r="AD109" s="564"/>
      <c r="AE109" s="564"/>
      <c r="AF109" s="564"/>
      <c r="AG109" s="564"/>
      <c r="AH109" s="564"/>
      <c r="AI109" s="565"/>
      <c r="AJ109" s="565"/>
    </row>
    <row r="110" spans="2:44" s="1226" customFormat="1" hidden="1">
      <c r="O110" s="1232"/>
      <c r="P110" s="251"/>
      <c r="Q110" s="251"/>
      <c r="R110" s="251"/>
      <c r="S110" s="251"/>
      <c r="T110" s="251"/>
      <c r="U110" s="251"/>
      <c r="V110" s="251"/>
      <c r="W110" s="251"/>
      <c r="X110" s="1233"/>
      <c r="Y110" s="1233"/>
      <c r="Z110" s="1233"/>
      <c r="AA110" s="1233"/>
      <c r="AB110" s="1233"/>
      <c r="AC110" s="1233"/>
      <c r="AD110" s="1233"/>
      <c r="AE110" s="1233"/>
      <c r="AF110" s="1233"/>
      <c r="AG110" s="1233"/>
      <c r="AH110" s="1233"/>
      <c r="AI110" s="565"/>
      <c r="AJ110" s="565"/>
    </row>
    <row r="111" spans="2:44" hidden="1">
      <c r="C111" s="167"/>
      <c r="D111" s="167"/>
      <c r="E111" s="167"/>
      <c r="F111" s="167"/>
      <c r="G111" s="167"/>
      <c r="H111" s="167"/>
      <c r="I111" s="167"/>
      <c r="J111" s="167"/>
      <c r="K111" s="167"/>
      <c r="L111" s="167"/>
      <c r="M111" s="167"/>
      <c r="N111" s="167"/>
      <c r="O111" s="197"/>
      <c r="P111" s="199"/>
      <c r="Q111" s="199"/>
      <c r="R111" s="199"/>
      <c r="S111" s="199"/>
      <c r="T111" s="199"/>
      <c r="U111" s="199"/>
      <c r="V111" s="199"/>
      <c r="W111" s="199"/>
      <c r="X111" s="564"/>
      <c r="Y111" s="564"/>
      <c r="Z111" s="564"/>
      <c r="AA111" s="564"/>
      <c r="AB111" s="564"/>
      <c r="AC111" s="564"/>
      <c r="AD111" s="564"/>
      <c r="AE111" s="564"/>
      <c r="AF111" s="564"/>
      <c r="AG111" s="564"/>
      <c r="AH111" s="564"/>
      <c r="AI111" s="565"/>
      <c r="AJ111" s="565"/>
    </row>
    <row r="112" spans="2:44" hidden="1">
      <c r="C112" s="167"/>
      <c r="D112" s="167"/>
      <c r="E112" s="167"/>
      <c r="F112" s="167"/>
      <c r="G112" s="167"/>
      <c r="H112" s="167"/>
      <c r="I112" s="167"/>
      <c r="J112" s="167"/>
      <c r="K112" s="167"/>
      <c r="L112" s="167"/>
      <c r="M112" s="167"/>
      <c r="N112" s="167"/>
      <c r="O112" s="197"/>
      <c r="P112" s="199"/>
      <c r="Q112" s="199"/>
      <c r="R112" s="199"/>
      <c r="S112" s="199"/>
      <c r="T112" s="199"/>
      <c r="U112" s="199"/>
      <c r="V112" s="199"/>
      <c r="W112" s="199"/>
      <c r="X112" s="564"/>
      <c r="Y112" s="564"/>
      <c r="Z112" s="564"/>
      <c r="AA112" s="564"/>
      <c r="AB112" s="564"/>
      <c r="AC112" s="564"/>
      <c r="AD112" s="564"/>
      <c r="AE112" s="564"/>
      <c r="AF112" s="564"/>
      <c r="AG112" s="564"/>
      <c r="AH112" s="564"/>
      <c r="AI112" s="565"/>
      <c r="AJ112" s="565"/>
    </row>
    <row r="113" spans="1:44" hidden="1">
      <c r="C113" s="167"/>
      <c r="D113" s="167"/>
      <c r="E113" s="167"/>
      <c r="F113" s="167"/>
      <c r="G113" s="167"/>
      <c r="H113" s="167"/>
      <c r="I113" s="167"/>
      <c r="J113" s="167"/>
      <c r="K113" s="167"/>
      <c r="L113" s="167"/>
      <c r="M113" s="167"/>
      <c r="N113" s="167"/>
      <c r="O113" s="197"/>
      <c r="P113" s="199"/>
      <c r="Q113" s="199"/>
      <c r="R113" s="199"/>
      <c r="S113" s="199"/>
      <c r="T113" s="199"/>
      <c r="U113" s="199"/>
      <c r="V113" s="199"/>
      <c r="W113" s="199"/>
      <c r="X113" s="564"/>
      <c r="Y113" s="564"/>
      <c r="Z113" s="564"/>
      <c r="AA113" s="564"/>
      <c r="AB113" s="564"/>
      <c r="AC113" s="564"/>
      <c r="AD113" s="564"/>
      <c r="AE113" s="564"/>
      <c r="AF113" s="564"/>
      <c r="AG113" s="564"/>
      <c r="AH113" s="564"/>
      <c r="AI113" s="565"/>
      <c r="AJ113" s="565"/>
    </row>
    <row r="114" spans="1:44" ht="13.5" customHeight="1">
      <c r="C114" s="167"/>
      <c r="D114" s="167"/>
      <c r="E114" s="167"/>
      <c r="F114" s="167"/>
      <c r="G114" s="167"/>
      <c r="H114" s="167"/>
      <c r="I114" s="167"/>
      <c r="J114" s="167"/>
      <c r="K114" s="167"/>
      <c r="L114" s="167"/>
      <c r="M114" s="167"/>
      <c r="N114" s="167"/>
      <c r="O114" s="167"/>
      <c r="P114" s="167"/>
      <c r="Q114" s="167"/>
      <c r="R114" s="167"/>
      <c r="S114" s="167"/>
      <c r="T114" s="167"/>
      <c r="X114" s="749"/>
      <c r="Y114" s="749"/>
      <c r="Z114" s="749"/>
      <c r="AA114" s="749"/>
      <c r="AB114" s="749"/>
      <c r="AC114" s="749"/>
      <c r="AD114" s="749"/>
      <c r="AE114" s="749"/>
      <c r="AF114" s="749"/>
      <c r="AG114" s="1039"/>
      <c r="AH114" s="1039"/>
      <c r="AI114" s="1039"/>
      <c r="AJ114" s="245"/>
      <c r="AK114" s="245"/>
      <c r="AL114" s="245"/>
      <c r="AM114" s="245"/>
      <c r="AN114" s="245"/>
      <c r="AO114" s="245"/>
      <c r="AP114" s="245"/>
      <c r="AQ114" s="245"/>
      <c r="AR114" s="604"/>
    </row>
    <row r="115" spans="1:44" ht="13.5" customHeight="1">
      <c r="A115" s="217" t="s">
        <v>78</v>
      </c>
      <c r="B115" s="252"/>
      <c r="C115" s="167"/>
      <c r="D115" s="167"/>
      <c r="E115" s="167"/>
      <c r="F115" s="167"/>
      <c r="G115" s="167"/>
      <c r="H115" s="167"/>
      <c r="I115" s="167"/>
      <c r="J115" s="167"/>
      <c r="K115" s="167"/>
      <c r="L115" s="167"/>
      <c r="M115" s="167"/>
      <c r="N115" s="167"/>
      <c r="O115" s="167"/>
      <c r="P115" s="167"/>
      <c r="Q115" s="167"/>
      <c r="R115" s="167"/>
      <c r="S115" s="167"/>
      <c r="T115" s="167"/>
      <c r="X115" s="1223">
        <f>SUM(X116:X117)</f>
        <v>9480</v>
      </c>
      <c r="Y115" s="1223"/>
      <c r="Z115" s="1223">
        <f>SUM(Z116:Z117)</f>
        <v>9485</v>
      </c>
      <c r="AA115" s="1223"/>
      <c r="AB115" s="1223">
        <f>SUM(AB116:AB117)</f>
        <v>9480</v>
      </c>
      <c r="AC115" s="1223"/>
      <c r="AD115" s="1223">
        <f>SUM(AD116:AD117)</f>
        <v>10580</v>
      </c>
      <c r="AE115" s="1223"/>
      <c r="AF115" s="1223">
        <f t="shared" ref="AF115:AP115" si="22">SUM(AF116:AF117)</f>
        <v>9970</v>
      </c>
      <c r="AG115" s="1223">
        <f t="shared" si="22"/>
        <v>18510</v>
      </c>
      <c r="AH115" s="1223">
        <f t="shared" si="22"/>
        <v>19800</v>
      </c>
      <c r="AI115" s="1223">
        <f t="shared" si="22"/>
        <v>23880</v>
      </c>
      <c r="AJ115" s="1223">
        <f t="shared" si="22"/>
        <v>26240</v>
      </c>
      <c r="AK115" s="1223">
        <f t="shared" si="22"/>
        <v>28450</v>
      </c>
      <c r="AL115" s="1223">
        <f t="shared" si="22"/>
        <v>31540</v>
      </c>
      <c r="AM115" s="1223">
        <f t="shared" si="22"/>
        <v>34610</v>
      </c>
      <c r="AN115" s="1223">
        <f t="shared" si="22"/>
        <v>37380</v>
      </c>
      <c r="AO115" s="1223">
        <f t="shared" si="22"/>
        <v>39410</v>
      </c>
      <c r="AP115" s="1223">
        <f t="shared" si="22"/>
        <v>40510</v>
      </c>
      <c r="AQ115" s="1223"/>
      <c r="AR115" s="247"/>
    </row>
    <row r="116" spans="1:44" ht="13.5" customHeight="1">
      <c r="B116" s="167" t="s">
        <v>1106</v>
      </c>
      <c r="C116" s="167"/>
      <c r="D116" s="167"/>
      <c r="E116" s="167"/>
      <c r="F116" s="167"/>
      <c r="G116" s="167"/>
      <c r="H116" s="167"/>
      <c r="I116" s="167"/>
      <c r="J116" s="167"/>
      <c r="K116" s="167"/>
      <c r="L116" s="167"/>
      <c r="M116" s="167"/>
      <c r="N116" s="167"/>
      <c r="O116" s="167"/>
      <c r="P116" s="167"/>
      <c r="Q116" s="167"/>
      <c r="R116" s="167"/>
      <c r="S116" s="167"/>
      <c r="T116" s="167"/>
      <c r="X116" s="1213">
        <v>8400</v>
      </c>
      <c r="Y116" s="749"/>
      <c r="Z116" s="1213">
        <v>8400</v>
      </c>
      <c r="AA116" s="749"/>
      <c r="AB116" s="1213">
        <v>8400</v>
      </c>
      <c r="AC116" s="749"/>
      <c r="AD116" s="1213">
        <v>9300</v>
      </c>
      <c r="AE116" s="749"/>
      <c r="AF116" s="1213">
        <v>8820</v>
      </c>
      <c r="AG116" s="1213">
        <v>17020</v>
      </c>
      <c r="AH116" s="1213">
        <v>18150</v>
      </c>
      <c r="AI116" s="1213">
        <v>22250</v>
      </c>
      <c r="AJ116" s="1213">
        <v>24540</v>
      </c>
      <c r="AK116" s="1213">
        <v>26720</v>
      </c>
      <c r="AL116" s="1213">
        <v>29770</v>
      </c>
      <c r="AM116" s="1213">
        <v>32620</v>
      </c>
      <c r="AN116" s="1213">
        <v>35340</v>
      </c>
      <c r="AO116" s="1213">
        <v>37300</v>
      </c>
      <c r="AP116" s="1213">
        <v>38360</v>
      </c>
      <c r="AQ116" s="1213"/>
      <c r="AR116" s="247" t="s">
        <v>1069</v>
      </c>
    </row>
    <row r="117" spans="1:44" ht="13.5" customHeight="1">
      <c r="B117" s="167" t="s">
        <v>1107</v>
      </c>
      <c r="C117" s="167"/>
      <c r="D117" s="167"/>
      <c r="E117" s="167"/>
      <c r="F117" s="167"/>
      <c r="G117" s="167"/>
      <c r="H117" s="167"/>
      <c r="I117" s="167"/>
      <c r="J117" s="167"/>
      <c r="K117" s="167"/>
      <c r="L117" s="167"/>
      <c r="M117" s="167"/>
      <c r="N117" s="167"/>
      <c r="O117" s="167"/>
      <c r="P117" s="167"/>
      <c r="Q117" s="167"/>
      <c r="R117" s="167"/>
      <c r="S117" s="167"/>
      <c r="T117" s="167"/>
      <c r="X117" s="1213">
        <v>1080</v>
      </c>
      <c r="Y117" s="749"/>
      <c r="Z117" s="1213">
        <v>1085</v>
      </c>
      <c r="AA117" s="749"/>
      <c r="AB117" s="1213">
        <v>1080</v>
      </c>
      <c r="AC117" s="749"/>
      <c r="AD117" s="1213">
        <v>1280</v>
      </c>
      <c r="AE117" s="749"/>
      <c r="AF117" s="1213">
        <v>1150</v>
      </c>
      <c r="AG117" s="1213">
        <v>1490</v>
      </c>
      <c r="AH117" s="1213">
        <v>1650</v>
      </c>
      <c r="AI117" s="1213">
        <v>1630</v>
      </c>
      <c r="AJ117" s="1213">
        <v>1700</v>
      </c>
      <c r="AK117" s="1213">
        <v>1730</v>
      </c>
      <c r="AL117" s="1213">
        <v>1770</v>
      </c>
      <c r="AM117" s="1213">
        <v>1990</v>
      </c>
      <c r="AN117" s="1213">
        <v>2040</v>
      </c>
      <c r="AO117" s="1213">
        <v>2110</v>
      </c>
      <c r="AP117" s="1213">
        <v>2150</v>
      </c>
      <c r="AQ117" s="1213"/>
      <c r="AR117" s="247" t="s">
        <v>1069</v>
      </c>
    </row>
    <row r="118" spans="1:44" ht="13.5" customHeight="1">
      <c r="C118" s="167"/>
      <c r="D118" s="167"/>
      <c r="E118" s="167"/>
      <c r="F118" s="167"/>
      <c r="G118" s="167"/>
      <c r="H118" s="167"/>
      <c r="I118" s="167"/>
      <c r="J118" s="167"/>
      <c r="K118" s="167"/>
      <c r="L118" s="167"/>
      <c r="M118" s="167"/>
      <c r="N118" s="167"/>
      <c r="O118" s="167"/>
      <c r="P118" s="167"/>
      <c r="Q118" s="167"/>
      <c r="R118" s="167"/>
      <c r="S118" s="167"/>
      <c r="T118" s="167"/>
      <c r="X118" s="749"/>
      <c r="Y118" s="749"/>
      <c r="Z118" s="749"/>
      <c r="AA118" s="749"/>
      <c r="AB118" s="749"/>
      <c r="AC118" s="749"/>
      <c r="AD118" s="749"/>
      <c r="AE118" s="749"/>
      <c r="AF118" s="749"/>
      <c r="AG118" s="1039"/>
      <c r="AH118" s="1039"/>
      <c r="AI118" s="1039"/>
      <c r="AJ118" s="1039"/>
      <c r="AK118" s="1039"/>
      <c r="AL118" s="1039"/>
      <c r="AM118" s="1039"/>
      <c r="AN118" s="245"/>
      <c r="AO118" s="245"/>
      <c r="AP118" s="245"/>
      <c r="AQ118" s="245"/>
      <c r="AR118" s="247"/>
    </row>
    <row r="119" spans="1:44" ht="13.5" customHeight="1">
      <c r="A119" s="253" t="s">
        <v>447</v>
      </c>
      <c r="B119" s="253"/>
      <c r="C119" s="167"/>
      <c r="D119" s="167"/>
      <c r="E119" s="167"/>
      <c r="F119" s="167"/>
      <c r="G119" s="167"/>
      <c r="H119" s="167"/>
      <c r="I119" s="167"/>
      <c r="J119" s="167"/>
      <c r="K119" s="167"/>
      <c r="L119" s="167"/>
      <c r="M119" s="167"/>
      <c r="N119" s="167"/>
      <c r="O119" s="167"/>
      <c r="P119" s="167"/>
      <c r="Q119" s="167"/>
      <c r="R119" s="167"/>
      <c r="S119" s="167"/>
      <c r="T119" s="167"/>
      <c r="X119" s="1223">
        <f>SUM(X120:X122)</f>
        <v>17520</v>
      </c>
      <c r="Y119" s="1223"/>
      <c r="Z119" s="1223">
        <f>SUM(Z120:Z122)</f>
        <v>18280</v>
      </c>
      <c r="AA119" s="1223"/>
      <c r="AB119" s="1223">
        <f>SUM(AB120:AB122)</f>
        <v>19585</v>
      </c>
      <c r="AC119" s="1223"/>
      <c r="AD119" s="1223">
        <f>SUM(AD120:AD122)</f>
        <v>20270</v>
      </c>
      <c r="AE119" s="1223"/>
      <c r="AF119" s="1223">
        <f t="shared" ref="AF119:AP119" si="23">SUM(AF120:AF122)</f>
        <v>20730</v>
      </c>
      <c r="AG119" s="1223">
        <f t="shared" si="23"/>
        <v>19610</v>
      </c>
      <c r="AH119" s="1223">
        <f t="shared" si="23"/>
        <v>26470</v>
      </c>
      <c r="AI119" s="1223">
        <f t="shared" si="23"/>
        <v>28060</v>
      </c>
      <c r="AJ119" s="1223">
        <f t="shared" si="23"/>
        <v>28895</v>
      </c>
      <c r="AK119" s="1223">
        <f t="shared" si="23"/>
        <v>30200</v>
      </c>
      <c r="AL119" s="1223">
        <f t="shared" si="23"/>
        <v>30305</v>
      </c>
      <c r="AM119" s="1223">
        <f t="shared" si="23"/>
        <v>31975</v>
      </c>
      <c r="AN119" s="1223">
        <f t="shared" si="23"/>
        <v>34190</v>
      </c>
      <c r="AO119" s="1223">
        <f t="shared" si="23"/>
        <v>36560</v>
      </c>
      <c r="AP119" s="1223">
        <f t="shared" si="23"/>
        <v>39150</v>
      </c>
      <c r="AQ119" s="1223"/>
      <c r="AR119" s="247"/>
    </row>
    <row r="120" spans="1:44" ht="13.5" customHeight="1">
      <c r="B120" s="167" t="s">
        <v>1108</v>
      </c>
      <c r="C120" s="167"/>
      <c r="D120" s="167"/>
      <c r="E120" s="167"/>
      <c r="F120" s="167"/>
      <c r="G120" s="167"/>
      <c r="H120" s="167"/>
      <c r="I120" s="167"/>
      <c r="J120" s="167"/>
      <c r="K120" s="167"/>
      <c r="L120" s="167"/>
      <c r="M120" s="167"/>
      <c r="N120" s="167"/>
      <c r="O120" s="167"/>
      <c r="P120" s="167"/>
      <c r="Q120" s="167"/>
      <c r="R120" s="167"/>
      <c r="S120" s="167"/>
      <c r="T120" s="167"/>
      <c r="X120" s="1213">
        <v>14300</v>
      </c>
      <c r="Y120" s="749"/>
      <c r="Z120" s="1213">
        <v>15100</v>
      </c>
      <c r="AA120" s="749"/>
      <c r="AB120" s="1213">
        <v>16500</v>
      </c>
      <c r="AC120" s="749"/>
      <c r="AD120" s="1213">
        <v>17400</v>
      </c>
      <c r="AE120" s="749"/>
      <c r="AF120" s="1213">
        <v>18110</v>
      </c>
      <c r="AG120" s="1213">
        <v>19150</v>
      </c>
      <c r="AH120" s="1213">
        <v>26040</v>
      </c>
      <c r="AI120" s="1213">
        <v>27660</v>
      </c>
      <c r="AJ120" s="1213">
        <v>28610</v>
      </c>
      <c r="AK120" s="1213">
        <v>29930</v>
      </c>
      <c r="AL120" s="1213">
        <v>30080</v>
      </c>
      <c r="AM120" s="1213">
        <v>31760</v>
      </c>
      <c r="AN120" s="1213">
        <v>33980</v>
      </c>
      <c r="AO120" s="1213">
        <v>36350</v>
      </c>
      <c r="AP120" s="1213">
        <v>38940</v>
      </c>
      <c r="AQ120" s="1213"/>
      <c r="AR120" s="247" t="s">
        <v>1069</v>
      </c>
    </row>
    <row r="121" spans="1:44" ht="13.5" customHeight="1">
      <c r="B121" s="167" t="s">
        <v>1109</v>
      </c>
      <c r="C121" s="167"/>
      <c r="D121" s="167"/>
      <c r="E121" s="167"/>
      <c r="F121" s="167"/>
      <c r="G121" s="167"/>
      <c r="H121" s="167"/>
      <c r="I121" s="167"/>
      <c r="J121" s="167"/>
      <c r="K121" s="167"/>
      <c r="L121" s="167"/>
      <c r="M121" s="167"/>
      <c r="N121" s="167"/>
      <c r="O121" s="167"/>
      <c r="P121" s="167"/>
      <c r="Q121" s="167"/>
      <c r="R121" s="167"/>
      <c r="S121" s="167"/>
      <c r="T121" s="167"/>
      <c r="X121" s="1213">
        <v>2300</v>
      </c>
      <c r="Y121" s="749"/>
      <c r="Z121" s="1213">
        <v>2200</v>
      </c>
      <c r="AA121" s="749"/>
      <c r="AB121" s="1213">
        <v>2100</v>
      </c>
      <c r="AC121" s="749"/>
      <c r="AD121" s="1213">
        <v>2000</v>
      </c>
      <c r="AE121" s="749"/>
      <c r="AF121" s="1213">
        <v>1800</v>
      </c>
      <c r="AG121" s="1213">
        <v>0</v>
      </c>
      <c r="AH121" s="1213">
        <v>0</v>
      </c>
      <c r="AI121" s="1213">
        <v>0</v>
      </c>
      <c r="AJ121" s="1213">
        <v>0</v>
      </c>
      <c r="AK121" s="1213">
        <v>0</v>
      </c>
      <c r="AL121" s="1213">
        <v>0</v>
      </c>
      <c r="AM121" s="1213">
        <v>0</v>
      </c>
      <c r="AN121" s="1213">
        <v>0</v>
      </c>
      <c r="AO121" s="1213">
        <v>0</v>
      </c>
      <c r="AP121" s="1213">
        <v>0</v>
      </c>
      <c r="AQ121" s="1213"/>
      <c r="AR121" s="247" t="s">
        <v>1069</v>
      </c>
    </row>
    <row r="122" spans="1:44" ht="13.5" customHeight="1">
      <c r="B122" s="167" t="s">
        <v>1110</v>
      </c>
      <c r="C122" s="167"/>
      <c r="D122" s="167"/>
      <c r="E122" s="167"/>
      <c r="F122" s="167"/>
      <c r="G122" s="167"/>
      <c r="H122" s="167"/>
      <c r="I122" s="167"/>
      <c r="J122" s="167"/>
      <c r="K122" s="167"/>
      <c r="L122" s="167"/>
      <c r="M122" s="167"/>
      <c r="N122" s="167"/>
      <c r="O122" s="167"/>
      <c r="P122" s="167"/>
      <c r="Q122" s="167"/>
      <c r="R122" s="167"/>
      <c r="S122" s="167"/>
      <c r="T122" s="167"/>
      <c r="X122" s="1213">
        <v>920</v>
      </c>
      <c r="Y122" s="749"/>
      <c r="Z122" s="1213">
        <v>980</v>
      </c>
      <c r="AA122" s="749"/>
      <c r="AB122" s="1213">
        <v>985</v>
      </c>
      <c r="AC122" s="749"/>
      <c r="AD122" s="1213">
        <v>870</v>
      </c>
      <c r="AE122" s="749"/>
      <c r="AF122" s="1213">
        <v>820</v>
      </c>
      <c r="AG122" s="1213">
        <v>460</v>
      </c>
      <c r="AH122" s="1213">
        <v>430</v>
      </c>
      <c r="AI122" s="1213">
        <v>400</v>
      </c>
      <c r="AJ122" s="1213">
        <v>285</v>
      </c>
      <c r="AK122" s="1213">
        <v>270</v>
      </c>
      <c r="AL122" s="1213">
        <v>225</v>
      </c>
      <c r="AM122" s="1213">
        <v>215</v>
      </c>
      <c r="AN122" s="1213">
        <v>210</v>
      </c>
      <c r="AO122" s="1213">
        <v>210</v>
      </c>
      <c r="AP122" s="1213">
        <v>210</v>
      </c>
      <c r="AQ122" s="1213"/>
      <c r="AR122" s="247" t="s">
        <v>1069</v>
      </c>
    </row>
    <row r="123" spans="1:44" ht="13.5" customHeight="1">
      <c r="A123" s="562"/>
      <c r="B123" s="562"/>
      <c r="C123" s="562"/>
      <c r="D123" s="562"/>
      <c r="E123" s="562"/>
      <c r="F123" s="562"/>
      <c r="G123" s="562"/>
      <c r="H123" s="562"/>
      <c r="I123" s="562"/>
      <c r="J123" s="562"/>
      <c r="K123" s="562"/>
      <c r="L123" s="562"/>
      <c r="M123" s="562"/>
      <c r="N123" s="562"/>
      <c r="O123" s="562"/>
      <c r="P123" s="562"/>
      <c r="Q123" s="562"/>
      <c r="R123" s="562"/>
      <c r="S123" s="562"/>
      <c r="T123" s="562"/>
      <c r="U123" s="1043"/>
      <c r="V123" s="1043"/>
      <c r="W123" s="1043"/>
      <c r="X123" s="751"/>
      <c r="Y123" s="751"/>
      <c r="Z123" s="751"/>
      <c r="AA123" s="751"/>
      <c r="AB123" s="751"/>
      <c r="AC123" s="751"/>
      <c r="AD123" s="751"/>
      <c r="AE123" s="751"/>
      <c r="AF123" s="751"/>
      <c r="AG123" s="751"/>
      <c r="AH123" s="751"/>
      <c r="AI123" s="751"/>
      <c r="AJ123" s="751"/>
      <c r="AK123" s="751"/>
      <c r="AL123" s="751"/>
      <c r="AM123" s="751"/>
      <c r="AN123" s="751"/>
      <c r="AO123" s="751"/>
      <c r="AP123" s="751"/>
      <c r="AQ123" s="751"/>
    </row>
    <row r="124" spans="1:44" ht="13.5" customHeight="1">
      <c r="C124" s="167"/>
      <c r="D124" s="167"/>
      <c r="E124" s="167"/>
      <c r="F124" s="167"/>
      <c r="G124" s="167"/>
      <c r="H124" s="167"/>
      <c r="I124" s="167"/>
      <c r="J124" s="167"/>
      <c r="K124" s="167"/>
      <c r="L124" s="167"/>
      <c r="M124" s="167"/>
      <c r="N124" s="167"/>
      <c r="O124" s="167"/>
      <c r="P124" s="167"/>
      <c r="Q124" s="167"/>
      <c r="R124" s="167"/>
      <c r="S124" s="167"/>
      <c r="T124" s="167"/>
      <c r="X124" s="196"/>
      <c r="Y124" s="196"/>
      <c r="Z124" s="196"/>
      <c r="AA124" s="196"/>
      <c r="AB124" s="196"/>
      <c r="AC124" s="196"/>
      <c r="AD124" s="196"/>
      <c r="AE124" s="196"/>
      <c r="AF124" s="196"/>
      <c r="AG124" s="1203"/>
      <c r="AH124" s="245"/>
      <c r="AI124" s="245"/>
      <c r="AJ124" s="245"/>
      <c r="AK124" s="245"/>
      <c r="AL124" s="245"/>
      <c r="AM124" s="245"/>
      <c r="AN124" s="245"/>
      <c r="AO124" s="191"/>
    </row>
    <row r="125" spans="1:44" ht="13.5" customHeight="1">
      <c r="A125" s="1226" t="s">
        <v>1111</v>
      </c>
      <c r="C125" s="167"/>
      <c r="D125" s="167"/>
      <c r="E125" s="167"/>
      <c r="F125" s="167"/>
      <c r="G125" s="167"/>
      <c r="H125" s="167"/>
      <c r="I125" s="167"/>
      <c r="J125" s="167"/>
      <c r="K125" s="167"/>
      <c r="L125" s="167"/>
      <c r="M125" s="167"/>
      <c r="N125" s="167"/>
      <c r="O125" s="167"/>
      <c r="P125" s="167"/>
      <c r="Q125" s="167"/>
      <c r="R125" s="167"/>
      <c r="S125" s="167"/>
      <c r="T125" s="167"/>
      <c r="X125" s="196"/>
      <c r="Y125" s="196"/>
      <c r="Z125" s="196"/>
      <c r="AA125" s="196"/>
      <c r="AB125" s="196"/>
      <c r="AC125" s="196"/>
      <c r="AD125" s="196"/>
      <c r="AE125" s="196"/>
      <c r="AF125" s="196"/>
      <c r="AG125" s="1203"/>
      <c r="AH125" s="1202"/>
      <c r="AI125" s="1202"/>
      <c r="AJ125" s="1234"/>
      <c r="AK125" s="1234"/>
      <c r="AL125" s="1234"/>
      <c r="AM125" s="1234"/>
      <c r="AN125" s="245"/>
      <c r="AO125" s="191"/>
    </row>
    <row r="126" spans="1:44" ht="13.5" customHeight="1">
      <c r="A126" s="1235"/>
      <c r="B126" s="1236" t="s">
        <v>1112</v>
      </c>
      <c r="C126" s="167"/>
      <c r="D126" s="167"/>
      <c r="E126" s="167"/>
      <c r="F126" s="167"/>
      <c r="G126" s="167"/>
      <c r="H126" s="167"/>
      <c r="I126" s="167"/>
      <c r="J126" s="167"/>
      <c r="K126" s="167"/>
      <c r="L126" s="167"/>
      <c r="M126" s="167"/>
      <c r="N126" s="167"/>
      <c r="O126" s="167"/>
      <c r="P126" s="167"/>
      <c r="Q126" s="167"/>
      <c r="R126" s="167"/>
      <c r="S126" s="167"/>
      <c r="T126" s="167"/>
      <c r="X126" s="196"/>
      <c r="Y126" s="196"/>
      <c r="Z126" s="196"/>
      <c r="AA126" s="196"/>
      <c r="AB126" s="196"/>
      <c r="AC126" s="196"/>
      <c r="AD126" s="196"/>
      <c r="AE126" s="196"/>
      <c r="AF126" s="196"/>
      <c r="AG126" s="1203"/>
      <c r="AH126" s="1202"/>
      <c r="AI126" s="1202"/>
      <c r="AJ126" s="1234"/>
      <c r="AK126" s="1234"/>
      <c r="AL126" s="1234"/>
      <c r="AM126" s="1234"/>
      <c r="AN126" s="245"/>
      <c r="AO126" s="191"/>
    </row>
    <row r="127" spans="1:44" s="209" customFormat="1" ht="13.5" customHeight="1">
      <c r="A127" s="923" t="s">
        <v>1113</v>
      </c>
      <c r="B127" s="167"/>
      <c r="U127" s="245"/>
      <c r="V127" s="245"/>
      <c r="W127" s="245"/>
      <c r="X127" s="196"/>
      <c r="Y127" s="196"/>
      <c r="Z127" s="196"/>
      <c r="AA127" s="196"/>
      <c r="AB127" s="196"/>
      <c r="AC127" s="196"/>
      <c r="AD127" s="196"/>
      <c r="AE127" s="196"/>
      <c r="AF127" s="196"/>
      <c r="AG127" s="1203"/>
      <c r="AH127" s="245"/>
      <c r="AI127" s="245"/>
      <c r="AJ127" s="245"/>
      <c r="AK127" s="245"/>
      <c r="AL127" s="245"/>
      <c r="AM127" s="245"/>
      <c r="AN127" s="245"/>
      <c r="AO127" s="191"/>
    </row>
    <row r="128" spans="1:44" s="209" customFormat="1" ht="13.5" customHeight="1">
      <c r="A128" s="167"/>
      <c r="B128" s="1237" t="s">
        <v>1114</v>
      </c>
      <c r="C128" s="1202"/>
      <c r="D128" s="1202"/>
      <c r="E128" s="1202"/>
      <c r="F128" s="1202"/>
      <c r="G128" s="1202"/>
      <c r="H128" s="1202"/>
      <c r="I128" s="1202"/>
      <c r="J128" s="1202"/>
      <c r="K128" s="1202"/>
      <c r="L128" s="1203"/>
      <c r="M128" s="245"/>
      <c r="N128" s="245"/>
      <c r="O128" s="245"/>
      <c r="P128" s="245"/>
      <c r="Q128" s="245"/>
      <c r="R128" s="245"/>
      <c r="S128" s="245"/>
      <c r="T128" s="191"/>
      <c r="U128" s="245"/>
      <c r="V128" s="245"/>
      <c r="W128" s="245"/>
      <c r="X128" s="245"/>
      <c r="Y128" s="245"/>
    </row>
    <row r="129" spans="1:25" s="209" customFormat="1" ht="13.5" customHeight="1">
      <c r="A129" s="167"/>
      <c r="B129" s="167"/>
      <c r="C129" s="1202"/>
      <c r="D129" s="1202"/>
      <c r="E129" s="1202"/>
      <c r="F129" s="1202"/>
      <c r="G129" s="1202"/>
      <c r="H129" s="1202"/>
      <c r="I129" s="1202"/>
      <c r="J129" s="1202"/>
      <c r="K129" s="1202"/>
      <c r="L129" s="1203"/>
      <c r="M129" s="245"/>
      <c r="N129" s="245"/>
      <c r="O129" s="245"/>
      <c r="P129" s="245"/>
      <c r="Q129" s="245"/>
      <c r="R129" s="245"/>
      <c r="S129" s="245"/>
      <c r="T129" s="191"/>
      <c r="U129" s="245"/>
      <c r="V129" s="245"/>
      <c r="W129" s="245"/>
      <c r="X129" s="245"/>
      <c r="Y129" s="245"/>
    </row>
    <row r="130" spans="1:25" s="209" customFormat="1" ht="13.5" customHeight="1">
      <c r="A130" s="923"/>
      <c r="B130" s="923" t="s">
        <v>1663</v>
      </c>
      <c r="C130" s="1202"/>
      <c r="D130" s="1202"/>
      <c r="E130" s="1202"/>
      <c r="F130" s="1202"/>
      <c r="G130" s="1202"/>
      <c r="H130" s="1202"/>
      <c r="I130" s="1202"/>
      <c r="J130" s="1202"/>
      <c r="K130" s="1202"/>
      <c r="L130" s="1203"/>
      <c r="M130" s="245"/>
      <c r="N130" s="245"/>
      <c r="O130" s="245"/>
      <c r="P130" s="245"/>
      <c r="Q130" s="245"/>
      <c r="R130" s="245"/>
      <c r="S130" s="245"/>
      <c r="T130" s="191"/>
      <c r="U130" s="245"/>
      <c r="V130" s="245"/>
      <c r="W130" s="245"/>
      <c r="X130" s="245"/>
      <c r="Y130" s="245"/>
    </row>
    <row r="131" spans="1:25" s="209" customFormat="1" ht="13.5" customHeight="1">
      <c r="A131" s="167"/>
      <c r="B131" s="167"/>
      <c r="C131" s="1202"/>
      <c r="D131" s="1202"/>
      <c r="E131" s="1202"/>
      <c r="F131" s="1202"/>
      <c r="G131" s="1202"/>
      <c r="H131" s="1202"/>
      <c r="I131" s="1202"/>
      <c r="J131" s="1202"/>
      <c r="K131" s="1202"/>
      <c r="L131" s="1203"/>
      <c r="M131" s="245"/>
      <c r="N131" s="245"/>
      <c r="O131" s="245"/>
      <c r="P131" s="245"/>
      <c r="Q131" s="245"/>
      <c r="R131" s="245"/>
      <c r="S131" s="245"/>
      <c r="T131" s="191"/>
      <c r="U131" s="245"/>
      <c r="V131" s="245"/>
      <c r="W131" s="245"/>
      <c r="X131" s="245"/>
      <c r="Y131" s="245"/>
    </row>
    <row r="132" spans="1:25" s="209" customFormat="1" ht="13.5" customHeight="1">
      <c r="A132" s="167"/>
      <c r="B132" s="167"/>
      <c r="C132" s="1202"/>
      <c r="D132" s="1202"/>
      <c r="E132" s="1202"/>
      <c r="F132" s="1202"/>
      <c r="G132" s="1202"/>
      <c r="H132" s="1202"/>
      <c r="I132" s="1202"/>
      <c r="J132" s="1202"/>
      <c r="K132" s="1202"/>
      <c r="L132" s="1203"/>
      <c r="M132" s="245"/>
      <c r="N132" s="245"/>
      <c r="O132" s="245"/>
      <c r="P132" s="245"/>
      <c r="Q132" s="245"/>
      <c r="R132" s="245"/>
      <c r="S132" s="245"/>
      <c r="T132" s="191"/>
      <c r="U132" s="245"/>
      <c r="V132" s="245"/>
      <c r="W132" s="245"/>
      <c r="X132" s="245"/>
      <c r="Y132" s="245"/>
    </row>
    <row r="133" spans="1:25" s="209" customFormat="1" ht="13.5" customHeight="1">
      <c r="A133" s="167"/>
      <c r="B133" s="167"/>
      <c r="C133" s="1202"/>
      <c r="D133" s="1202"/>
      <c r="E133" s="1202"/>
      <c r="F133" s="1202"/>
      <c r="G133" s="1202"/>
      <c r="H133" s="1202"/>
      <c r="I133" s="1202"/>
      <c r="J133" s="1202"/>
      <c r="K133" s="1202"/>
      <c r="L133" s="1203"/>
      <c r="M133" s="245"/>
      <c r="N133" s="245"/>
      <c r="O133" s="245"/>
      <c r="P133" s="245"/>
      <c r="Q133" s="245"/>
      <c r="R133" s="245"/>
      <c r="S133" s="245"/>
      <c r="T133" s="191"/>
      <c r="U133" s="245"/>
      <c r="V133" s="245"/>
      <c r="W133" s="245"/>
      <c r="X133" s="245"/>
      <c r="Y133" s="245"/>
    </row>
    <row r="134" spans="1:25" s="209" customFormat="1" ht="13.5" customHeight="1">
      <c r="A134" s="167"/>
      <c r="B134" s="167"/>
      <c r="C134" s="1202"/>
      <c r="D134" s="1202"/>
      <c r="E134" s="1202"/>
      <c r="F134" s="1202"/>
      <c r="G134" s="1202"/>
      <c r="H134" s="1202"/>
      <c r="I134" s="1202"/>
      <c r="J134" s="1202"/>
      <c r="K134" s="1202"/>
      <c r="L134" s="1203"/>
      <c r="M134" s="245"/>
      <c r="N134" s="245"/>
      <c r="O134" s="245"/>
      <c r="P134" s="245"/>
      <c r="Q134" s="245"/>
      <c r="R134" s="245"/>
      <c r="S134" s="245"/>
      <c r="T134" s="191"/>
      <c r="U134" s="245"/>
      <c r="V134" s="245"/>
      <c r="W134" s="245"/>
      <c r="X134" s="245"/>
      <c r="Y134" s="245"/>
    </row>
    <row r="135" spans="1:25" s="209" customFormat="1" ht="13.5" customHeight="1">
      <c r="A135" s="167"/>
      <c r="B135" s="167"/>
      <c r="C135" s="1202"/>
      <c r="D135" s="1202"/>
      <c r="E135" s="1202"/>
      <c r="F135" s="1202"/>
      <c r="G135" s="1202"/>
      <c r="H135" s="1202"/>
      <c r="I135" s="1202"/>
      <c r="J135" s="1202"/>
      <c r="K135" s="1202"/>
      <c r="L135" s="1203"/>
      <c r="M135" s="245"/>
      <c r="N135" s="245"/>
      <c r="O135" s="245"/>
      <c r="P135" s="245"/>
      <c r="Q135" s="245"/>
      <c r="R135" s="245"/>
      <c r="S135" s="245"/>
      <c r="T135" s="191"/>
      <c r="U135" s="245"/>
      <c r="V135" s="245"/>
      <c r="W135" s="245"/>
      <c r="X135" s="245"/>
      <c r="Y135" s="245"/>
    </row>
    <row r="136" spans="1:25" s="209" customFormat="1" ht="13.5" customHeight="1">
      <c r="A136" s="167"/>
      <c r="B136" s="167"/>
      <c r="C136" s="1202"/>
      <c r="D136" s="1202"/>
      <c r="E136" s="1202"/>
      <c r="F136" s="1202"/>
      <c r="G136" s="1202"/>
      <c r="H136" s="1202"/>
      <c r="I136" s="1202"/>
      <c r="J136" s="1202"/>
      <c r="K136" s="1202"/>
      <c r="L136" s="1203"/>
      <c r="M136" s="245"/>
      <c r="N136" s="245"/>
      <c r="O136" s="245"/>
      <c r="P136" s="245"/>
      <c r="Q136" s="245"/>
      <c r="R136" s="245"/>
      <c r="S136" s="245"/>
      <c r="T136" s="191"/>
      <c r="U136" s="245"/>
      <c r="V136" s="245"/>
      <c r="W136" s="245"/>
      <c r="X136" s="245"/>
      <c r="Y136" s="245"/>
    </row>
    <row r="137" spans="1:25" s="209" customFormat="1" ht="13.5" customHeight="1">
      <c r="A137" s="167"/>
      <c r="B137" s="167"/>
      <c r="C137" s="1202"/>
      <c r="D137" s="1202"/>
      <c r="E137" s="1202"/>
      <c r="F137" s="1202"/>
      <c r="G137" s="1202"/>
      <c r="H137" s="1202"/>
      <c r="I137" s="1202"/>
      <c r="J137" s="1202"/>
      <c r="K137" s="1202"/>
      <c r="L137" s="1203"/>
      <c r="M137" s="245"/>
      <c r="N137" s="245"/>
      <c r="O137" s="245"/>
      <c r="P137" s="245"/>
      <c r="Q137" s="245"/>
      <c r="R137" s="245"/>
      <c r="S137" s="245"/>
      <c r="T137" s="191"/>
      <c r="U137" s="245"/>
      <c r="V137" s="245"/>
      <c r="W137" s="245"/>
      <c r="X137" s="245"/>
      <c r="Y137" s="245"/>
    </row>
    <row r="138" spans="1:25" s="209" customFormat="1" ht="13.5" customHeight="1">
      <c r="A138" s="167"/>
      <c r="B138" s="167"/>
      <c r="C138" s="1202"/>
      <c r="D138" s="1202"/>
      <c r="E138" s="1202"/>
      <c r="F138" s="1202"/>
      <c r="G138" s="1202"/>
      <c r="H138" s="1202"/>
      <c r="I138" s="1202"/>
      <c r="J138" s="1202"/>
      <c r="K138" s="1202"/>
      <c r="L138" s="1203"/>
      <c r="M138" s="245"/>
      <c r="N138" s="245"/>
      <c r="O138" s="245"/>
      <c r="P138" s="245"/>
      <c r="Q138" s="245"/>
      <c r="R138" s="245"/>
      <c r="S138" s="245"/>
      <c r="T138" s="191"/>
      <c r="U138" s="245"/>
      <c r="V138" s="245"/>
      <c r="W138" s="245"/>
      <c r="X138" s="245"/>
      <c r="Y138" s="245"/>
    </row>
    <row r="139" spans="1:25" s="209" customFormat="1" ht="13.5" customHeight="1">
      <c r="A139" s="167"/>
      <c r="B139" s="167"/>
      <c r="C139" s="1202"/>
      <c r="D139" s="1202"/>
      <c r="E139" s="1202"/>
      <c r="F139" s="1202"/>
      <c r="G139" s="1202"/>
      <c r="H139" s="1202"/>
      <c r="I139" s="1202"/>
      <c r="J139" s="1202"/>
      <c r="K139" s="1202"/>
      <c r="L139" s="1203"/>
      <c r="M139" s="245"/>
      <c r="N139" s="245"/>
      <c r="O139" s="245"/>
      <c r="P139" s="245"/>
      <c r="Q139" s="245"/>
      <c r="R139" s="245"/>
      <c r="S139" s="245"/>
      <c r="T139" s="191"/>
      <c r="U139" s="245"/>
      <c r="V139" s="245"/>
      <c r="W139" s="245"/>
      <c r="X139" s="245"/>
      <c r="Y139" s="245"/>
    </row>
    <row r="140" spans="1:25" s="209" customFormat="1" ht="13.5" customHeight="1">
      <c r="A140" s="167"/>
      <c r="B140" s="167"/>
      <c r="C140" s="1202"/>
      <c r="D140" s="1202"/>
      <c r="E140" s="1202"/>
      <c r="F140" s="1202"/>
      <c r="G140" s="1202"/>
      <c r="H140" s="1202"/>
      <c r="I140" s="1202"/>
      <c r="J140" s="1202"/>
      <c r="K140" s="1202"/>
      <c r="L140" s="1203"/>
      <c r="M140" s="245"/>
      <c r="N140" s="245"/>
      <c r="O140" s="245"/>
      <c r="P140" s="245"/>
      <c r="Q140" s="245"/>
      <c r="R140" s="245"/>
      <c r="S140" s="245"/>
      <c r="T140" s="191"/>
      <c r="U140" s="245"/>
      <c r="V140" s="245"/>
      <c r="W140" s="245"/>
      <c r="X140" s="245"/>
      <c r="Y140" s="245"/>
    </row>
    <row r="141" spans="1:25" s="209" customFormat="1" ht="13.5" customHeight="1">
      <c r="A141" s="167"/>
      <c r="B141" s="167"/>
      <c r="C141" s="1202"/>
      <c r="D141" s="1202"/>
      <c r="E141" s="1202"/>
      <c r="F141" s="1202"/>
      <c r="G141" s="1202"/>
      <c r="H141" s="1202"/>
      <c r="I141" s="1202"/>
      <c r="J141" s="1202"/>
      <c r="K141" s="1202"/>
      <c r="L141" s="1203"/>
      <c r="M141" s="245"/>
      <c r="N141" s="245"/>
      <c r="O141" s="245"/>
      <c r="P141" s="245"/>
      <c r="Q141" s="245"/>
      <c r="R141" s="245"/>
      <c r="S141" s="245"/>
      <c r="T141" s="191"/>
      <c r="U141" s="245"/>
      <c r="V141" s="245"/>
      <c r="W141" s="245"/>
      <c r="X141" s="245"/>
      <c r="Y141" s="245"/>
    </row>
    <row r="142" spans="1:25" s="209" customFormat="1" ht="13.5" customHeight="1">
      <c r="A142" s="167"/>
      <c r="B142" s="167"/>
      <c r="C142" s="1202"/>
      <c r="D142" s="1202"/>
      <c r="E142" s="1202"/>
      <c r="F142" s="1202"/>
      <c r="G142" s="1202"/>
      <c r="H142" s="1202"/>
      <c r="I142" s="1202"/>
      <c r="J142" s="1202"/>
      <c r="K142" s="1202"/>
      <c r="L142" s="1203"/>
      <c r="M142" s="245"/>
      <c r="N142" s="245"/>
      <c r="O142" s="245"/>
      <c r="P142" s="245"/>
      <c r="Q142" s="245"/>
      <c r="R142" s="245"/>
      <c r="S142" s="245"/>
      <c r="T142" s="191"/>
      <c r="U142" s="245"/>
      <c r="V142" s="245"/>
      <c r="W142" s="245"/>
      <c r="X142" s="245"/>
      <c r="Y142" s="245"/>
    </row>
    <row r="143" spans="1:25" ht="13.5" customHeight="1"/>
    <row r="144" spans="1:25" ht="13.5" customHeight="1"/>
    <row r="145" spans="3:25" ht="13.5" customHeight="1"/>
    <row r="146" spans="3:25" ht="13.5" customHeight="1"/>
    <row r="147" spans="3:25" ht="13.5" customHeight="1"/>
    <row r="148" spans="3:25" ht="13.5" customHeight="1">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row>
    <row r="149" spans="3:25" ht="13.5" customHeight="1">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row>
    <row r="150" spans="3:25" ht="13.5" customHeight="1">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row>
    <row r="151" spans="3:25" ht="13.5" customHeight="1">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row>
    <row r="152" spans="3:25" ht="13.5" customHeight="1">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row>
    <row r="153" spans="3:25" ht="13.5" customHeight="1">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row>
    <row r="154" spans="3:25" ht="13.5" customHeight="1">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row>
    <row r="155" spans="3:25" ht="13.5" customHeight="1">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row>
    <row r="156" spans="3:25" ht="13.5" customHeight="1">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row>
    <row r="157" spans="3:25" ht="13.5" customHeight="1">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row>
    <row r="158" spans="3:25" ht="13.5" customHeight="1">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row>
    <row r="159" spans="3:25" ht="13.5" customHeight="1">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row>
    <row r="160" spans="3:25" ht="13.5" customHeight="1">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row>
    <row r="161" s="167" customFormat="1" ht="13.5" customHeight="1"/>
    <row r="162" s="167" customFormat="1" ht="13.5" customHeight="1"/>
    <row r="163" s="167" customFormat="1" ht="13.5" customHeight="1"/>
    <row r="164" s="167" customFormat="1" ht="13.5" customHeight="1"/>
    <row r="165" s="167" customFormat="1" ht="13.5" customHeight="1"/>
    <row r="166" s="167" customFormat="1" ht="13.5" customHeight="1"/>
    <row r="167" s="167" customFormat="1" ht="13.5" customHeight="1"/>
    <row r="168" s="167" customFormat="1" ht="13.5" customHeight="1"/>
    <row r="169" s="167" customFormat="1" ht="13.5" customHeight="1"/>
    <row r="170" s="167" customFormat="1" ht="13.5" customHeight="1"/>
    <row r="171" s="167" customFormat="1" ht="13.5" customHeight="1"/>
    <row r="172" s="167" customFormat="1" ht="13.5" customHeight="1"/>
    <row r="173" s="167" customFormat="1" ht="13.5" customHeight="1"/>
    <row r="174" s="167" customFormat="1" ht="13.5" customHeight="1"/>
    <row r="175" s="167" customFormat="1" ht="13.5" customHeight="1"/>
    <row r="176" s="167" customFormat="1" ht="13.5" customHeight="1"/>
    <row r="177" spans="3:25" ht="13.5" customHeight="1">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row>
    <row r="178" spans="3:25" ht="13.5" customHeight="1">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row>
    <row r="179" spans="3:25" ht="13.5" customHeight="1">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row>
    <row r="180" spans="3:25" ht="13.5" customHeight="1"/>
    <row r="181" spans="3:25" ht="13.5" customHeight="1"/>
  </sheetData>
  <mergeCells count="2">
    <mergeCell ref="B87:AF87"/>
    <mergeCell ref="A15:AQ15"/>
  </mergeCells>
  <pageMargins left="0.70866141732283472" right="0.70866141732283472" top="0.74803149606299213" bottom="0.74803149606299213" header="0.31496062992125984" footer="0.31496062992125984"/>
  <pageSetup paperSize="9" scale="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D121"/>
  <sheetViews>
    <sheetView showGridLines="0" topLeftCell="B14" zoomScale="70" zoomScaleNormal="70" workbookViewId="0">
      <selection activeCell="AH14" sqref="B14:BB108"/>
    </sheetView>
  </sheetViews>
  <sheetFormatPr defaultColWidth="8.88671875" defaultRowHeight="12.75" outlineLevelRow="1"/>
  <cols>
    <col min="1" max="1" width="6.88671875" style="601" hidden="1" customWidth="1"/>
    <col min="2" max="2" width="5.6640625" style="601" customWidth="1"/>
    <col min="3" max="3" width="36.109375" style="601" customWidth="1"/>
    <col min="4" max="4" width="7.44140625" style="601" hidden="1" customWidth="1"/>
    <col min="5" max="5" width="7.44140625" style="135" hidden="1" customWidth="1"/>
    <col min="6" max="8" width="7.109375" style="601" hidden="1" customWidth="1"/>
    <col min="9" max="10" width="7.44140625" style="601" hidden="1" customWidth="1"/>
    <col min="11" max="11" width="9.88671875" style="601" hidden="1" customWidth="1"/>
    <col min="12" max="12" width="1.6640625" style="601" hidden="1" customWidth="1"/>
    <col min="13" max="13" width="7.77734375" style="601" hidden="1" customWidth="1"/>
    <col min="14" max="15" width="7.44140625" style="601" hidden="1" customWidth="1"/>
    <col min="16" max="21" width="5.77734375" style="103" hidden="1" customWidth="1"/>
    <col min="22" max="22" width="9.88671875" style="103" hidden="1" customWidth="1"/>
    <col min="23" max="23" width="2.21875" style="103" hidden="1" customWidth="1"/>
    <col min="24" max="24" width="8.6640625" style="104" customWidth="1"/>
    <col min="25" max="25" width="4.77734375" style="104" customWidth="1"/>
    <col min="26" max="26" width="8.21875" style="104" customWidth="1"/>
    <col min="27" max="27" width="4.77734375" style="104" customWidth="1"/>
    <col min="28" max="28" width="8.109375" style="104" customWidth="1"/>
    <col min="29" max="29" width="5.21875" style="104" customWidth="1"/>
    <col min="30" max="30" width="7.5546875" style="104" customWidth="1"/>
    <col min="31" max="31" width="4.88671875" style="601" customWidth="1"/>
    <col min="32" max="32" width="8" style="104" customWidth="1"/>
    <col min="33" max="33" width="8" style="601" customWidth="1"/>
    <col min="34" max="34" width="8" style="104" customWidth="1"/>
    <col min="35" max="35" width="8" style="601" customWidth="1"/>
    <col min="36" max="36" width="8" style="104" customWidth="1"/>
    <col min="37" max="43" width="8" style="601" customWidth="1"/>
    <col min="44" max="47" width="7.109375" style="601" customWidth="1"/>
    <col min="48" max="49" width="8.88671875" style="601"/>
    <col min="50" max="50" width="8.88671875" style="601" customWidth="1"/>
    <col min="51" max="51" width="8.88671875" style="601"/>
    <col min="52" max="54" width="6.21875" style="601" customWidth="1"/>
    <col min="55" max="16384" width="8.88671875" style="601"/>
  </cols>
  <sheetData>
    <row r="1" spans="1:54" ht="15.75" hidden="1" customHeight="1" outlineLevel="1">
      <c r="B1" s="601" t="s">
        <v>108</v>
      </c>
    </row>
    <row r="2" spans="1:54" hidden="1" outlineLevel="1"/>
    <row r="3" spans="1:54" hidden="1" outlineLevel="1"/>
    <row r="4" spans="1:54" hidden="1" outlineLevel="1">
      <c r="B4" s="601" t="s">
        <v>109</v>
      </c>
      <c r="P4" s="103">
        <v>1993</v>
      </c>
      <c r="R4" s="103">
        <v>1995</v>
      </c>
      <c r="T4" s="103">
        <v>1997</v>
      </c>
      <c r="V4" s="103">
        <v>1999</v>
      </c>
      <c r="X4" s="104">
        <v>2001</v>
      </c>
      <c r="Z4" s="104">
        <v>2003</v>
      </c>
      <c r="AB4" s="104">
        <v>2005</v>
      </c>
      <c r="AD4" s="104">
        <v>2007</v>
      </c>
      <c r="AF4" s="103">
        <v>2009</v>
      </c>
      <c r="AG4" s="103">
        <v>2010</v>
      </c>
      <c r="AH4" s="103">
        <v>2011</v>
      </c>
      <c r="AI4" s="103">
        <v>2012</v>
      </c>
      <c r="AJ4" s="103">
        <v>2013</v>
      </c>
      <c r="AK4" s="103">
        <v>2014</v>
      </c>
      <c r="AL4" s="103">
        <v>2015</v>
      </c>
      <c r="AM4" s="103">
        <v>2016</v>
      </c>
      <c r="AN4" s="103">
        <v>2017</v>
      </c>
      <c r="AO4" s="103">
        <v>2018</v>
      </c>
      <c r="AP4" s="103">
        <v>2019</v>
      </c>
      <c r="AQ4" s="103">
        <v>2020</v>
      </c>
    </row>
    <row r="5" spans="1:54" hidden="1" outlineLevel="1"/>
    <row r="6" spans="1:54" hidden="1" outlineLevel="1">
      <c r="A6" s="3" t="s">
        <v>2</v>
      </c>
      <c r="B6" s="135" t="s">
        <v>3</v>
      </c>
      <c r="P6" s="105">
        <f>P94</f>
        <v>673</v>
      </c>
      <c r="Q6" s="105">
        <f>Q94</f>
        <v>618</v>
      </c>
      <c r="R6" s="105">
        <f>R94</f>
        <v>517</v>
      </c>
      <c r="S6" s="105">
        <f>S94</f>
        <v>474</v>
      </c>
      <c r="T6" s="105">
        <f>T94</f>
        <v>442</v>
      </c>
      <c r="U6" s="105"/>
      <c r="V6" s="105">
        <f>V94</f>
        <v>172</v>
      </c>
      <c r="W6" s="105"/>
      <c r="X6" s="106">
        <f>X94</f>
        <v>182</v>
      </c>
      <c r="Y6" s="106"/>
      <c r="Z6" s="106">
        <f>Z94</f>
        <v>189</v>
      </c>
      <c r="AA6" s="106"/>
      <c r="AB6" s="106">
        <f t="shared" ref="AB6:AP6" si="0">AB94</f>
        <v>201</v>
      </c>
      <c r="AC6" s="106">
        <f t="shared" si="0"/>
        <v>0</v>
      </c>
      <c r="AD6" s="106">
        <f t="shared" si="0"/>
        <v>0</v>
      </c>
      <c r="AE6" s="106">
        <f t="shared" si="0"/>
        <v>0</v>
      </c>
      <c r="AF6" s="106">
        <f t="shared" si="0"/>
        <v>0</v>
      </c>
      <c r="AG6" s="106">
        <f t="shared" si="0"/>
        <v>0</v>
      </c>
      <c r="AH6" s="106">
        <f t="shared" si="0"/>
        <v>0</v>
      </c>
      <c r="AI6" s="106">
        <f t="shared" si="0"/>
        <v>0</v>
      </c>
      <c r="AJ6" s="106">
        <f t="shared" si="0"/>
        <v>0</v>
      </c>
      <c r="AK6" s="106">
        <f t="shared" si="0"/>
        <v>0</v>
      </c>
      <c r="AL6" s="106">
        <f t="shared" si="0"/>
        <v>0</v>
      </c>
      <c r="AM6" s="106">
        <f t="shared" si="0"/>
        <v>0</v>
      </c>
      <c r="AN6" s="106">
        <f t="shared" si="0"/>
        <v>0</v>
      </c>
      <c r="AO6" s="106">
        <f t="shared" si="0"/>
        <v>0</v>
      </c>
      <c r="AP6" s="106">
        <f t="shared" si="0"/>
        <v>0</v>
      </c>
      <c r="AQ6" s="106"/>
    </row>
    <row r="7" spans="1:54" ht="14.25" hidden="1" customHeight="1" outlineLevel="1">
      <c r="A7" s="3" t="s">
        <v>4</v>
      </c>
      <c r="B7" s="135" t="s">
        <v>5</v>
      </c>
      <c r="P7" s="107">
        <f>P104</f>
        <v>0</v>
      </c>
      <c r="Q7" s="107">
        <f>Q104</f>
        <v>0</v>
      </c>
      <c r="R7" s="107">
        <f>R104</f>
        <v>0</v>
      </c>
      <c r="S7" s="107">
        <f>S104</f>
        <v>0</v>
      </c>
      <c r="T7" s="107">
        <f>T104</f>
        <v>0</v>
      </c>
      <c r="U7" s="107"/>
      <c r="V7" s="107">
        <f>V104</f>
        <v>0</v>
      </c>
      <c r="W7" s="107"/>
      <c r="X7" s="108">
        <f>X104</f>
        <v>0</v>
      </c>
      <c r="Y7" s="109"/>
      <c r="Z7" s="108">
        <f>Z104</f>
        <v>0</v>
      </c>
      <c r="AA7" s="109"/>
      <c r="AB7" s="108">
        <f t="shared" ref="AB7:AP7" si="1">AB104</f>
        <v>0</v>
      </c>
      <c r="AC7" s="108">
        <f t="shared" si="1"/>
        <v>0</v>
      </c>
      <c r="AD7" s="108">
        <f t="shared" si="1"/>
        <v>0</v>
      </c>
      <c r="AE7" s="108">
        <f t="shared" si="1"/>
        <v>0</v>
      </c>
      <c r="AF7" s="108">
        <f t="shared" si="1"/>
        <v>0</v>
      </c>
      <c r="AG7" s="108">
        <f t="shared" si="1"/>
        <v>0</v>
      </c>
      <c r="AH7" s="108">
        <f t="shared" si="1"/>
        <v>0</v>
      </c>
      <c r="AI7" s="108">
        <f t="shared" si="1"/>
        <v>0</v>
      </c>
      <c r="AJ7" s="108">
        <f t="shared" si="1"/>
        <v>0</v>
      </c>
      <c r="AK7" s="108">
        <f t="shared" si="1"/>
        <v>0</v>
      </c>
      <c r="AL7" s="108">
        <f t="shared" si="1"/>
        <v>0</v>
      </c>
      <c r="AM7" s="108">
        <f t="shared" si="1"/>
        <v>0</v>
      </c>
      <c r="AN7" s="108">
        <f t="shared" si="1"/>
        <v>0</v>
      </c>
      <c r="AO7" s="108">
        <f t="shared" si="1"/>
        <v>0</v>
      </c>
      <c r="AP7" s="108">
        <f t="shared" si="1"/>
        <v>0</v>
      </c>
      <c r="AQ7" s="108"/>
    </row>
    <row r="8" spans="1:54" hidden="1" outlineLevel="1">
      <c r="A8" s="3" t="s">
        <v>6</v>
      </c>
      <c r="B8" s="3"/>
      <c r="P8" s="105">
        <f>P6+P7</f>
        <v>673</v>
      </c>
      <c r="Q8" s="105">
        <f>Q6+Q7</f>
        <v>618</v>
      </c>
      <c r="R8" s="105">
        <f>R6+R7</f>
        <v>517</v>
      </c>
      <c r="S8" s="105">
        <f>S6+S7</f>
        <v>474</v>
      </c>
      <c r="T8" s="105">
        <f>T6+T7</f>
        <v>442</v>
      </c>
      <c r="U8" s="105"/>
      <c r="V8" s="105">
        <f>V6+V7</f>
        <v>172</v>
      </c>
      <c r="W8" s="105"/>
      <c r="X8" s="106">
        <f>X6+X7</f>
        <v>182</v>
      </c>
      <c r="Y8" s="106"/>
      <c r="Z8" s="106">
        <f>Z6+Z7</f>
        <v>189</v>
      </c>
      <c r="AA8" s="106"/>
      <c r="AB8" s="106">
        <f t="shared" ref="AB8:AP8" si="2">AB6+AB7</f>
        <v>201</v>
      </c>
      <c r="AC8" s="106">
        <f t="shared" si="2"/>
        <v>0</v>
      </c>
      <c r="AD8" s="106">
        <f t="shared" si="2"/>
        <v>0</v>
      </c>
      <c r="AE8" s="106">
        <f t="shared" si="2"/>
        <v>0</v>
      </c>
      <c r="AF8" s="106">
        <f t="shared" si="2"/>
        <v>0</v>
      </c>
      <c r="AG8" s="106">
        <f t="shared" si="2"/>
        <v>0</v>
      </c>
      <c r="AH8" s="106">
        <f t="shared" si="2"/>
        <v>0</v>
      </c>
      <c r="AI8" s="106">
        <f t="shared" si="2"/>
        <v>0</v>
      </c>
      <c r="AJ8" s="106">
        <f t="shared" si="2"/>
        <v>0</v>
      </c>
      <c r="AK8" s="106">
        <f t="shared" si="2"/>
        <v>0</v>
      </c>
      <c r="AL8" s="106">
        <f t="shared" si="2"/>
        <v>0</v>
      </c>
      <c r="AM8" s="106">
        <f t="shared" si="2"/>
        <v>0</v>
      </c>
      <c r="AN8" s="106">
        <f t="shared" si="2"/>
        <v>0</v>
      </c>
      <c r="AO8" s="106">
        <f t="shared" si="2"/>
        <v>0</v>
      </c>
      <c r="AP8" s="106">
        <f t="shared" si="2"/>
        <v>0</v>
      </c>
      <c r="AQ8" s="106"/>
    </row>
    <row r="9" spans="1:54" hidden="1" outlineLevel="1">
      <c r="P9" s="105"/>
      <c r="Q9" s="105"/>
      <c r="R9" s="105"/>
      <c r="S9" s="105"/>
      <c r="T9" s="105"/>
      <c r="U9" s="105"/>
      <c r="V9" s="105"/>
      <c r="W9" s="105"/>
      <c r="X9" s="106"/>
      <c r="Y9" s="106"/>
      <c r="Z9" s="106"/>
      <c r="AA9" s="106"/>
      <c r="AB9" s="106"/>
      <c r="AC9" s="106"/>
      <c r="AD9" s="106"/>
      <c r="AE9" s="106"/>
      <c r="AF9" s="106"/>
      <c r="AG9" s="106"/>
      <c r="AH9" s="106"/>
      <c r="AI9" s="106"/>
      <c r="AJ9" s="106"/>
      <c r="AK9" s="106"/>
      <c r="AL9" s="106"/>
      <c r="AM9" s="106"/>
      <c r="AN9" s="106"/>
      <c r="AO9" s="106"/>
      <c r="AP9" s="106"/>
      <c r="AQ9" s="106"/>
    </row>
    <row r="10" spans="1:54" hidden="1" outlineLevel="1">
      <c r="B10" s="601" t="s">
        <v>110</v>
      </c>
      <c r="P10" s="105">
        <v>0</v>
      </c>
      <c r="Q10" s="105">
        <v>0</v>
      </c>
      <c r="R10" s="105">
        <v>0</v>
      </c>
      <c r="S10" s="105">
        <v>0</v>
      </c>
      <c r="T10" s="105">
        <v>0</v>
      </c>
      <c r="U10" s="105">
        <v>0</v>
      </c>
      <c r="V10" s="105">
        <v>0</v>
      </c>
      <c r="W10" s="105"/>
      <c r="X10" s="106">
        <f>X107</f>
        <v>0</v>
      </c>
      <c r="Y10" s="106"/>
      <c r="Z10" s="106">
        <f>Z107</f>
        <v>0</v>
      </c>
      <c r="AA10" s="106"/>
      <c r="AB10" s="106">
        <f t="shared" ref="AB10:AP10" si="3">AB107</f>
        <v>0</v>
      </c>
      <c r="AC10" s="106">
        <f t="shared" si="3"/>
        <v>0</v>
      </c>
      <c r="AD10" s="106">
        <f t="shared" si="3"/>
        <v>0</v>
      </c>
      <c r="AE10" s="106">
        <f t="shared" si="3"/>
        <v>0</v>
      </c>
      <c r="AF10" s="106">
        <f t="shared" si="3"/>
        <v>0</v>
      </c>
      <c r="AG10" s="106">
        <f t="shared" si="3"/>
        <v>0</v>
      </c>
      <c r="AH10" s="106">
        <f t="shared" si="3"/>
        <v>0</v>
      </c>
      <c r="AI10" s="106">
        <f t="shared" si="3"/>
        <v>0</v>
      </c>
      <c r="AJ10" s="106">
        <f t="shared" si="3"/>
        <v>0</v>
      </c>
      <c r="AK10" s="106">
        <f t="shared" si="3"/>
        <v>0</v>
      </c>
      <c r="AL10" s="106">
        <f t="shared" si="3"/>
        <v>0</v>
      </c>
      <c r="AM10" s="106">
        <f t="shared" si="3"/>
        <v>0</v>
      </c>
      <c r="AN10" s="106">
        <f t="shared" si="3"/>
        <v>0</v>
      </c>
      <c r="AO10" s="106">
        <f t="shared" si="3"/>
        <v>0</v>
      </c>
      <c r="AP10" s="106">
        <f t="shared" si="3"/>
        <v>0</v>
      </c>
      <c r="AQ10" s="106"/>
    </row>
    <row r="11" spans="1:54" hidden="1" outlineLevel="1">
      <c r="P11" s="105"/>
      <c r="Q11" s="105"/>
      <c r="R11" s="105"/>
      <c r="S11" s="105"/>
      <c r="T11" s="105"/>
      <c r="U11" s="105"/>
      <c r="V11" s="105"/>
      <c r="W11" s="105"/>
      <c r="X11" s="106"/>
      <c r="Y11" s="106"/>
      <c r="Z11" s="106"/>
      <c r="AA11" s="106"/>
      <c r="AB11" s="106"/>
      <c r="AC11" s="106"/>
      <c r="AD11" s="106"/>
      <c r="AE11" s="106"/>
      <c r="AF11" s="106"/>
      <c r="AG11" s="106"/>
      <c r="AH11" s="106"/>
      <c r="AI11" s="106"/>
      <c r="AJ11" s="106"/>
      <c r="AK11" s="106"/>
      <c r="AL11" s="106"/>
      <c r="AM11" s="106"/>
      <c r="AN11" s="106"/>
      <c r="AO11" s="106"/>
      <c r="AP11" s="106"/>
      <c r="AQ11" s="106"/>
    </row>
    <row r="12" spans="1:54" hidden="1" outlineLevel="1">
      <c r="B12" s="135" t="s">
        <v>8</v>
      </c>
      <c r="P12" s="105">
        <v>0</v>
      </c>
      <c r="Q12" s="105">
        <v>0</v>
      </c>
      <c r="R12" s="105">
        <v>0</v>
      </c>
      <c r="S12" s="105">
        <v>0</v>
      </c>
      <c r="T12" s="105">
        <v>0</v>
      </c>
      <c r="U12" s="105">
        <v>0</v>
      </c>
      <c r="V12" s="105">
        <v>0</v>
      </c>
      <c r="W12" s="105"/>
      <c r="X12" s="106">
        <f>X98</f>
        <v>0</v>
      </c>
      <c r="Y12" s="106"/>
      <c r="Z12" s="106">
        <f>Z98</f>
        <v>0</v>
      </c>
      <c r="AA12" s="106"/>
      <c r="AB12" s="106">
        <f t="shared" ref="AB12:AP12" si="4">AB98</f>
        <v>0</v>
      </c>
      <c r="AC12" s="106">
        <f t="shared" si="4"/>
        <v>0</v>
      </c>
      <c r="AD12" s="106">
        <f t="shared" si="4"/>
        <v>0</v>
      </c>
      <c r="AE12" s="106">
        <f t="shared" si="4"/>
        <v>0</v>
      </c>
      <c r="AF12" s="106">
        <f t="shared" si="4"/>
        <v>0</v>
      </c>
      <c r="AG12" s="106">
        <f t="shared" si="4"/>
        <v>0</v>
      </c>
      <c r="AH12" s="106">
        <f t="shared" si="4"/>
        <v>0</v>
      </c>
      <c r="AI12" s="106">
        <f t="shared" si="4"/>
        <v>0</v>
      </c>
      <c r="AJ12" s="106">
        <f t="shared" si="4"/>
        <v>0</v>
      </c>
      <c r="AK12" s="106">
        <f t="shared" si="4"/>
        <v>0</v>
      </c>
      <c r="AL12" s="106">
        <f t="shared" si="4"/>
        <v>0</v>
      </c>
      <c r="AM12" s="106">
        <f t="shared" si="4"/>
        <v>0</v>
      </c>
      <c r="AN12" s="106">
        <f t="shared" si="4"/>
        <v>0</v>
      </c>
      <c r="AO12" s="106">
        <f t="shared" si="4"/>
        <v>0</v>
      </c>
      <c r="AP12" s="106">
        <f t="shared" si="4"/>
        <v>0</v>
      </c>
      <c r="AQ12" s="106"/>
    </row>
    <row r="13" spans="1:54" hidden="1" outlineLevel="1">
      <c r="P13" s="105"/>
      <c r="Q13" s="105"/>
      <c r="R13" s="105"/>
      <c r="S13" s="105"/>
      <c r="T13" s="105"/>
      <c r="U13" s="105"/>
      <c r="V13" s="105"/>
      <c r="W13" s="105"/>
      <c r="X13" s="106"/>
      <c r="Y13" s="106"/>
      <c r="Z13" s="106"/>
      <c r="AA13" s="106"/>
      <c r="AB13" s="106"/>
      <c r="AC13" s="106"/>
      <c r="AD13" s="106"/>
      <c r="AE13" s="110"/>
      <c r="AF13" s="106"/>
      <c r="AG13" s="110"/>
    </row>
    <row r="14" spans="1:54" outlineLevel="1">
      <c r="P14" s="105"/>
      <c r="Q14" s="105"/>
      <c r="R14" s="105"/>
      <c r="S14" s="105"/>
      <c r="T14" s="105"/>
      <c r="U14" s="105"/>
      <c r="V14" s="105"/>
      <c r="W14" s="105"/>
      <c r="X14" s="106"/>
      <c r="Y14" s="106"/>
      <c r="Z14" s="106"/>
      <c r="AA14" s="106"/>
      <c r="AB14" s="106"/>
      <c r="AC14" s="106"/>
      <c r="AD14" s="106"/>
      <c r="AE14" s="110"/>
      <c r="AF14" s="106"/>
      <c r="AG14" s="110"/>
    </row>
    <row r="15" spans="1:54" ht="27" customHeight="1">
      <c r="B15" s="1958" t="s">
        <v>9</v>
      </c>
      <c r="C15" s="1958"/>
      <c r="D15" s="1958"/>
      <c r="E15" s="1958"/>
      <c r="F15" s="1958"/>
      <c r="G15" s="1958"/>
      <c r="H15" s="1958"/>
      <c r="I15" s="1958"/>
      <c r="J15" s="1958"/>
      <c r="K15" s="1958"/>
      <c r="L15" s="1958"/>
      <c r="M15" s="1958"/>
      <c r="N15" s="1958"/>
      <c r="O15" s="1958"/>
      <c r="P15" s="1958"/>
      <c r="Q15" s="1958"/>
      <c r="R15" s="1958"/>
      <c r="S15" s="1958"/>
      <c r="T15" s="1958"/>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3"/>
      <c r="AV15" s="1953"/>
      <c r="AW15" s="1953"/>
      <c r="AX15" s="1953"/>
      <c r="AY15" s="1953"/>
      <c r="AZ15" s="1953"/>
      <c r="BA15" s="1953"/>
      <c r="BB15" s="1953"/>
    </row>
    <row r="16" spans="1:54">
      <c r="B16" s="1953"/>
      <c r="C16" s="1953"/>
      <c r="D16" s="1953"/>
      <c r="E16" s="1953"/>
      <c r="F16" s="1953"/>
      <c r="G16" s="1953"/>
      <c r="H16" s="1953"/>
      <c r="I16" s="1953"/>
      <c r="J16" s="1953"/>
      <c r="K16" s="1953"/>
      <c r="L16" s="1953"/>
      <c r="M16" s="1953"/>
      <c r="N16" s="1953"/>
      <c r="O16" s="1953"/>
      <c r="P16" s="1953"/>
      <c r="Q16" s="1953"/>
      <c r="R16" s="1953"/>
      <c r="S16" s="1953"/>
      <c r="T16" s="1953"/>
      <c r="U16" s="1953"/>
      <c r="V16" s="1953"/>
      <c r="W16" s="1953"/>
      <c r="X16" s="1953"/>
      <c r="Y16" s="1953"/>
      <c r="Z16" s="1953"/>
      <c r="AA16" s="1953"/>
      <c r="AB16" s="1953"/>
      <c r="AC16" s="1953"/>
      <c r="AD16" s="1953"/>
      <c r="AE16" s="1953"/>
      <c r="AF16" s="1953"/>
      <c r="AG16" s="1953"/>
      <c r="AH16" s="1953"/>
      <c r="AI16" s="1953"/>
      <c r="AJ16" s="1953"/>
      <c r="AK16" s="1953"/>
      <c r="AL16" s="1953"/>
      <c r="AM16" s="1953"/>
      <c r="AN16" s="1953"/>
      <c r="AO16" s="1953"/>
      <c r="AP16" s="1953"/>
      <c r="AQ16" s="1953"/>
      <c r="AR16" s="1953"/>
      <c r="AS16" s="1953"/>
      <c r="AT16" s="1953"/>
      <c r="AU16" s="1953"/>
      <c r="AV16" s="1953"/>
      <c r="AW16" s="1953"/>
      <c r="AX16" s="1953"/>
      <c r="AY16" s="1953"/>
      <c r="AZ16" s="1953"/>
      <c r="BA16" s="1953"/>
      <c r="BB16" s="1953"/>
    </row>
    <row r="17" spans="2:56">
      <c r="B17" s="138" t="s">
        <v>108</v>
      </c>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10"/>
      <c r="AF17" s="139"/>
      <c r="AG17" s="110"/>
    </row>
    <row r="18" spans="2:56">
      <c r="B18" s="135"/>
      <c r="C18" s="136"/>
      <c r="D18" s="136"/>
      <c r="E18" s="136"/>
      <c r="F18" s="136"/>
      <c r="G18" s="136"/>
      <c r="H18" s="136"/>
      <c r="I18" s="136"/>
      <c r="J18" s="136"/>
      <c r="K18" s="136"/>
      <c r="L18" s="136"/>
      <c r="M18" s="136"/>
      <c r="N18" s="136"/>
      <c r="O18" s="137"/>
      <c r="P18" s="137"/>
      <c r="Q18" s="137"/>
      <c r="R18" s="137"/>
      <c r="S18" s="137"/>
      <c r="T18" s="137"/>
      <c r="U18" s="137"/>
      <c r="V18" s="137"/>
      <c r="W18" s="137"/>
      <c r="X18" s="146"/>
      <c r="Y18" s="146"/>
      <c r="Z18" s="146"/>
      <c r="AA18" s="146"/>
      <c r="AB18" s="146"/>
      <c r="AC18" s="146"/>
      <c r="AD18" s="146"/>
      <c r="AE18" s="110"/>
      <c r="AF18" s="146"/>
      <c r="AG18" s="110"/>
    </row>
    <row r="19" spans="2:56">
      <c r="B19" s="138" t="s">
        <v>111</v>
      </c>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48"/>
      <c r="AB19" s="148"/>
      <c r="AC19" s="148"/>
      <c r="AD19" s="139"/>
      <c r="AE19" s="155"/>
      <c r="AF19" s="139"/>
      <c r="AG19" s="155"/>
    </row>
    <row r="20" spans="2:56">
      <c r="B20" s="111"/>
      <c r="C20" s="111"/>
      <c r="D20" s="111"/>
      <c r="E20" s="140"/>
      <c r="F20" s="111"/>
      <c r="G20" s="111"/>
      <c r="H20" s="111"/>
      <c r="I20" s="111"/>
      <c r="J20" s="111"/>
      <c r="K20" s="111"/>
      <c r="L20" s="111"/>
      <c r="M20" s="111"/>
      <c r="N20" s="111"/>
      <c r="O20" s="111"/>
      <c r="P20" s="107"/>
      <c r="Q20" s="107"/>
      <c r="R20" s="107"/>
      <c r="S20" s="107"/>
      <c r="T20" s="107"/>
      <c r="U20" s="107"/>
      <c r="V20" s="107"/>
      <c r="W20" s="107"/>
      <c r="X20" s="108"/>
      <c r="Y20" s="108"/>
      <c r="Z20" s="108"/>
      <c r="AA20" s="108"/>
      <c r="AB20" s="108"/>
      <c r="AC20" s="108"/>
      <c r="AD20" s="108"/>
      <c r="AE20" s="110"/>
      <c r="AF20" s="108"/>
      <c r="AG20" s="110"/>
    </row>
    <row r="21" spans="2:56">
      <c r="J21" s="112">
        <v>2001</v>
      </c>
      <c r="K21" s="112"/>
      <c r="L21" s="112"/>
      <c r="M21" s="112"/>
      <c r="N21" s="112"/>
      <c r="O21" s="112"/>
      <c r="P21" s="112"/>
      <c r="Q21" s="112"/>
      <c r="R21" s="112"/>
      <c r="S21" s="112"/>
      <c r="T21" s="112"/>
      <c r="U21" s="112"/>
      <c r="V21" s="112"/>
      <c r="W21" s="112"/>
      <c r="X21" s="143">
        <v>2001</v>
      </c>
      <c r="Y21" s="113"/>
      <c r="Z21" s="112">
        <v>2003</v>
      </c>
      <c r="AA21" s="113"/>
      <c r="AB21" s="112">
        <v>2005</v>
      </c>
      <c r="AC21" s="113"/>
      <c r="AD21" s="112">
        <v>2007</v>
      </c>
      <c r="AE21" s="114"/>
      <c r="AF21" s="112">
        <v>2009</v>
      </c>
      <c r="AG21" s="114"/>
      <c r="AH21" s="112">
        <v>2010</v>
      </c>
      <c r="AI21" s="114"/>
      <c r="AJ21" s="112">
        <v>2011</v>
      </c>
      <c r="AK21" s="114"/>
      <c r="AL21" s="112">
        <v>2012</v>
      </c>
      <c r="AM21" s="114"/>
      <c r="AN21" s="112">
        <v>2013</v>
      </c>
      <c r="AO21" s="112"/>
      <c r="AP21" s="112">
        <v>2014</v>
      </c>
      <c r="AQ21" s="112"/>
      <c r="AR21" s="112">
        <v>2015</v>
      </c>
      <c r="AS21" s="112"/>
      <c r="AT21" s="112">
        <v>2016</v>
      </c>
      <c r="AU21" s="112"/>
      <c r="AV21" s="112">
        <v>2017</v>
      </c>
      <c r="AW21" s="112"/>
      <c r="AX21" s="112">
        <v>2018</v>
      </c>
      <c r="AY21" s="112"/>
      <c r="AZ21" s="112">
        <v>2019</v>
      </c>
      <c r="BA21" s="112"/>
      <c r="BB21" s="112">
        <v>2020</v>
      </c>
      <c r="BC21" s="112"/>
    </row>
    <row r="22" spans="2:56" ht="44.1" customHeight="1">
      <c r="J22" s="108" t="s">
        <v>112</v>
      </c>
      <c r="K22" s="108" t="s">
        <v>113</v>
      </c>
      <c r="L22" s="104"/>
      <c r="M22" s="109"/>
      <c r="O22" s="109"/>
      <c r="P22" s="116"/>
      <c r="Q22" s="116"/>
      <c r="R22" s="117"/>
      <c r="S22" s="117"/>
      <c r="T22" s="117"/>
      <c r="U22" s="109"/>
      <c r="V22" s="109"/>
      <c r="W22" s="104"/>
      <c r="X22" s="118" t="s">
        <v>114</v>
      </c>
      <c r="Y22" s="605"/>
      <c r="Z22" s="118" t="s">
        <v>114</v>
      </c>
      <c r="AA22" s="605"/>
      <c r="AB22" s="118" t="s">
        <v>114</v>
      </c>
      <c r="AC22" s="605"/>
      <c r="AD22" s="118" t="s">
        <v>114</v>
      </c>
      <c r="AE22" s="606"/>
      <c r="AF22" s="118" t="s">
        <v>114</v>
      </c>
      <c r="AG22" s="114"/>
      <c r="AH22" s="118" t="s">
        <v>114</v>
      </c>
      <c r="AI22" s="114"/>
      <c r="AJ22" s="118" t="s">
        <v>114</v>
      </c>
      <c r="AK22" s="114"/>
      <c r="AL22" s="118" t="s">
        <v>114</v>
      </c>
      <c r="AM22" s="114"/>
      <c r="AN22" s="118" t="s">
        <v>114</v>
      </c>
      <c r="AO22" s="118"/>
      <c r="AP22" s="118" t="s">
        <v>114</v>
      </c>
      <c r="AQ22" s="118"/>
      <c r="AR22" s="118" t="s">
        <v>114</v>
      </c>
      <c r="AS22" s="118"/>
      <c r="AT22" s="118" t="s">
        <v>114</v>
      </c>
      <c r="AU22" s="118"/>
      <c r="AV22" s="118" t="s">
        <v>114</v>
      </c>
      <c r="AW22" s="118"/>
      <c r="AX22" s="118" t="s">
        <v>114</v>
      </c>
      <c r="AY22" s="118"/>
      <c r="AZ22" s="118" t="s">
        <v>114</v>
      </c>
      <c r="BA22" s="118"/>
      <c r="BB22" s="118" t="s">
        <v>114</v>
      </c>
      <c r="BC22" s="118"/>
    </row>
    <row r="23" spans="2:56">
      <c r="B23" s="105">
        <v>1</v>
      </c>
      <c r="C23" s="119" t="s">
        <v>115</v>
      </c>
      <c r="J23" s="106"/>
      <c r="K23" s="106"/>
      <c r="L23" s="104"/>
      <c r="M23" s="120"/>
      <c r="O23" s="109"/>
      <c r="P23" s="121"/>
      <c r="Q23" s="121"/>
      <c r="R23" s="117"/>
      <c r="S23" s="117"/>
      <c r="T23" s="117"/>
      <c r="U23" s="109"/>
      <c r="V23" s="109"/>
      <c r="W23" s="104"/>
      <c r="Y23" s="120"/>
      <c r="AA23" s="120"/>
      <c r="AB23" s="120"/>
      <c r="AC23" s="120"/>
      <c r="AE23" s="110"/>
      <c r="AG23" s="110"/>
    </row>
    <row r="24" spans="2:56">
      <c r="B24" s="105"/>
      <c r="C24" s="119" t="s">
        <v>116</v>
      </c>
      <c r="J24" s="122">
        <v>27.68</v>
      </c>
      <c r="K24" s="122">
        <v>0</v>
      </c>
      <c r="L24" s="104"/>
      <c r="M24" s="122"/>
      <c r="O24" s="123"/>
      <c r="P24" s="121"/>
      <c r="Q24" s="121"/>
      <c r="R24" s="117"/>
      <c r="S24" s="117"/>
      <c r="T24" s="117"/>
      <c r="U24" s="122"/>
      <c r="V24" s="122"/>
      <c r="W24" s="104"/>
      <c r="X24" s="122">
        <f t="shared" ref="X24:X34" si="5">J24+K24</f>
        <v>27.68</v>
      </c>
      <c r="Y24" s="124">
        <v>0.97919999999999996</v>
      </c>
      <c r="Z24" s="122">
        <v>27.2</v>
      </c>
      <c r="AA24" s="124">
        <v>0.98</v>
      </c>
      <c r="AB24" s="122">
        <v>27.25</v>
      </c>
      <c r="AC24" s="124">
        <v>0.98</v>
      </c>
      <c r="AD24" s="122">
        <v>27.13</v>
      </c>
      <c r="AE24" s="124">
        <v>0.98</v>
      </c>
      <c r="AF24" s="122" t="s">
        <v>117</v>
      </c>
      <c r="AG24" s="124">
        <v>0.98</v>
      </c>
      <c r="AH24" s="104" t="s">
        <v>118</v>
      </c>
      <c r="AI24" s="124" t="s">
        <v>119</v>
      </c>
      <c r="AJ24" s="104" t="s">
        <v>120</v>
      </c>
      <c r="AK24" s="124" t="s">
        <v>119</v>
      </c>
      <c r="AL24" s="124" t="s">
        <v>121</v>
      </c>
      <c r="AM24" s="124">
        <v>0.99</v>
      </c>
      <c r="AN24" s="124" t="s">
        <v>122</v>
      </c>
      <c r="AO24" s="601">
        <v>0.99</v>
      </c>
      <c r="AP24" s="601">
        <v>27.02</v>
      </c>
      <c r="AQ24" s="601">
        <v>0.99</v>
      </c>
      <c r="AR24" s="601">
        <v>27.23</v>
      </c>
      <c r="AS24" s="601">
        <v>0.99</v>
      </c>
      <c r="AT24" s="601">
        <v>27.42</v>
      </c>
      <c r="AU24" s="601">
        <v>0.99</v>
      </c>
      <c r="AV24" s="601">
        <v>27.46</v>
      </c>
      <c r="AW24" s="601">
        <v>0.99</v>
      </c>
      <c r="AX24" s="601">
        <v>27.46</v>
      </c>
      <c r="AY24" s="601">
        <v>0.99</v>
      </c>
      <c r="AZ24" s="601">
        <v>27.9</v>
      </c>
      <c r="BA24" s="601">
        <v>0.99</v>
      </c>
    </row>
    <row r="25" spans="2:56">
      <c r="B25" s="105"/>
      <c r="C25" s="119" t="s">
        <v>123</v>
      </c>
      <c r="J25" s="122">
        <v>26.89</v>
      </c>
      <c r="K25" s="122">
        <v>0.03</v>
      </c>
      <c r="L25" s="104"/>
      <c r="M25" s="122"/>
      <c r="O25" s="123"/>
      <c r="P25" s="121"/>
      <c r="Q25" s="121"/>
      <c r="R25" s="117"/>
      <c r="S25" s="117"/>
      <c r="T25" s="117"/>
      <c r="U25" s="122"/>
      <c r="V25" s="122"/>
      <c r="W25" s="104"/>
      <c r="X25" s="122">
        <f t="shared" si="5"/>
        <v>26.92</v>
      </c>
      <c r="Y25" s="124">
        <v>0.74660000000000004</v>
      </c>
      <c r="Z25" s="122">
        <v>26.22</v>
      </c>
      <c r="AA25" s="124">
        <v>0.75</v>
      </c>
      <c r="AB25" s="122">
        <v>26.38</v>
      </c>
      <c r="AC25" s="124">
        <v>0.77</v>
      </c>
      <c r="AD25" s="122">
        <v>27.16</v>
      </c>
      <c r="AE25" s="124">
        <v>0.85</v>
      </c>
      <c r="AF25" s="122" t="s">
        <v>124</v>
      </c>
      <c r="AG25" s="124">
        <v>0.88</v>
      </c>
      <c r="AH25" s="104" t="s">
        <v>125</v>
      </c>
      <c r="AI25" s="124" t="s">
        <v>126</v>
      </c>
      <c r="AJ25" s="104" t="s">
        <v>127</v>
      </c>
      <c r="AK25" s="124" t="s">
        <v>128</v>
      </c>
      <c r="AL25" s="124" t="s">
        <v>129</v>
      </c>
      <c r="AM25" s="124">
        <v>0.91</v>
      </c>
      <c r="AN25" s="124" t="s">
        <v>130</v>
      </c>
      <c r="AO25" s="601">
        <v>0.92</v>
      </c>
      <c r="AP25" s="601">
        <v>27.97</v>
      </c>
      <c r="AQ25" s="601">
        <v>0.93</v>
      </c>
      <c r="AR25" s="601">
        <v>28.23</v>
      </c>
      <c r="AS25" s="601">
        <v>0.93</v>
      </c>
      <c r="AT25" s="601">
        <v>28.37</v>
      </c>
      <c r="AU25" s="601">
        <v>0.93</v>
      </c>
      <c r="AV25" s="601">
        <v>28.36</v>
      </c>
      <c r="AW25" s="601">
        <v>0.94</v>
      </c>
      <c r="AX25" s="601">
        <v>28.36</v>
      </c>
      <c r="AY25" s="601">
        <v>0.94</v>
      </c>
      <c r="AZ25" s="601">
        <v>28.49</v>
      </c>
      <c r="BA25" s="601">
        <v>0.94</v>
      </c>
    </row>
    <row r="26" spans="2:56">
      <c r="B26" s="105"/>
      <c r="C26" s="119" t="s">
        <v>131</v>
      </c>
      <c r="J26" s="122">
        <v>23.78</v>
      </c>
      <c r="K26" s="122">
        <v>0</v>
      </c>
      <c r="L26" s="104"/>
      <c r="M26" s="122"/>
      <c r="O26" s="123"/>
      <c r="P26" s="121"/>
      <c r="Q26" s="121"/>
      <c r="R26" s="117"/>
      <c r="S26" s="117"/>
      <c r="T26" s="117"/>
      <c r="U26" s="122"/>
      <c r="V26" s="122"/>
      <c r="W26" s="104"/>
      <c r="X26" s="122">
        <f t="shared" si="5"/>
        <v>23.78</v>
      </c>
      <c r="Y26" s="124">
        <v>0.8417</v>
      </c>
      <c r="Z26" s="122">
        <v>23.69</v>
      </c>
      <c r="AA26" s="124">
        <v>0.84</v>
      </c>
      <c r="AB26" s="122">
        <v>26.57</v>
      </c>
      <c r="AC26" s="124">
        <v>0.9</v>
      </c>
      <c r="AD26" s="122">
        <v>23.37</v>
      </c>
      <c r="AE26" s="124">
        <v>0.76</v>
      </c>
      <c r="AF26" s="122" t="s">
        <v>132</v>
      </c>
      <c r="AG26" s="124">
        <v>0.76</v>
      </c>
      <c r="AH26" s="104" t="s">
        <v>133</v>
      </c>
      <c r="AI26" s="124" t="s">
        <v>134</v>
      </c>
      <c r="AJ26" s="104" t="s">
        <v>135</v>
      </c>
      <c r="AK26" s="124" t="s">
        <v>136</v>
      </c>
      <c r="AL26" s="124" t="s">
        <v>132</v>
      </c>
      <c r="AM26" s="124">
        <v>0.78</v>
      </c>
      <c r="AN26" s="124" t="s">
        <v>137</v>
      </c>
      <c r="AO26" s="601">
        <v>0.78</v>
      </c>
      <c r="AP26" s="601">
        <v>23.98</v>
      </c>
      <c r="AQ26" s="601">
        <v>0.78</v>
      </c>
      <c r="AR26" s="601">
        <v>24.47</v>
      </c>
      <c r="AS26" s="601">
        <v>0.78</v>
      </c>
      <c r="AT26" s="601">
        <v>24.39</v>
      </c>
      <c r="AU26" s="601">
        <v>0.78</v>
      </c>
      <c r="AV26" s="601">
        <v>24.47</v>
      </c>
      <c r="AW26" s="601">
        <v>0.78</v>
      </c>
      <c r="AX26" s="601">
        <v>24.04</v>
      </c>
      <c r="AY26" s="601">
        <v>0.78</v>
      </c>
      <c r="AZ26" s="601">
        <v>24.14</v>
      </c>
      <c r="BA26" s="601">
        <v>0.78</v>
      </c>
      <c r="BD26" s="601" t="s">
        <v>138</v>
      </c>
    </row>
    <row r="27" spans="2:56" ht="15">
      <c r="B27" s="105">
        <v>2</v>
      </c>
      <c r="C27" s="119" t="s">
        <v>139</v>
      </c>
      <c r="J27" s="122">
        <v>30.68</v>
      </c>
      <c r="K27" s="122">
        <v>0</v>
      </c>
      <c r="L27" s="104"/>
      <c r="M27" s="122"/>
      <c r="O27" s="123"/>
      <c r="P27" s="121"/>
      <c r="Q27" s="121"/>
      <c r="R27" s="117"/>
      <c r="S27" s="117"/>
      <c r="T27" s="117"/>
      <c r="U27" s="122"/>
      <c r="V27" s="122"/>
      <c r="W27" s="104"/>
      <c r="X27" s="122">
        <f t="shared" si="5"/>
        <v>30.68</v>
      </c>
      <c r="Y27" s="607"/>
      <c r="Z27" s="122">
        <v>29.79</v>
      </c>
      <c r="AA27" s="607"/>
      <c r="AB27" s="122">
        <v>29.83</v>
      </c>
      <c r="AC27" s="607"/>
      <c r="AD27" s="122">
        <v>29.56</v>
      </c>
      <c r="AE27" s="607"/>
      <c r="AF27" s="122" t="s">
        <v>140</v>
      </c>
      <c r="AG27" s="607"/>
      <c r="AH27" s="104" t="s">
        <v>141</v>
      </c>
      <c r="AJ27" s="104" t="s">
        <v>142</v>
      </c>
      <c r="AL27" s="601" t="s">
        <v>143</v>
      </c>
      <c r="AN27" s="601" t="s">
        <v>144</v>
      </c>
      <c r="AP27" s="601">
        <v>28.67</v>
      </c>
      <c r="AR27" s="601">
        <v>28.8</v>
      </c>
      <c r="AT27" s="601">
        <v>28.98</v>
      </c>
      <c r="AU27" s="608"/>
      <c r="AV27" s="601">
        <v>28.97</v>
      </c>
      <c r="AW27" s="608"/>
      <c r="AX27" s="601">
        <v>28.93</v>
      </c>
      <c r="AY27" s="608"/>
      <c r="AZ27" s="601">
        <v>29.26</v>
      </c>
      <c r="BA27" s="608"/>
      <c r="BC27" s="609"/>
    </row>
    <row r="28" spans="2:56" ht="15">
      <c r="B28" s="105">
        <v>3</v>
      </c>
      <c r="C28" s="119" t="s">
        <v>145</v>
      </c>
      <c r="J28" s="122">
        <v>34.770000000000003</v>
      </c>
      <c r="K28" s="122">
        <v>0</v>
      </c>
      <c r="L28" s="104"/>
      <c r="M28" s="122"/>
      <c r="O28" s="123"/>
      <c r="P28" s="121"/>
      <c r="Q28" s="121"/>
      <c r="R28" s="117"/>
      <c r="S28" s="117"/>
      <c r="T28" s="117"/>
      <c r="U28" s="122"/>
      <c r="V28" s="122"/>
      <c r="W28" s="104"/>
      <c r="X28" s="122">
        <f t="shared" si="5"/>
        <v>34.770000000000003</v>
      </c>
      <c r="Y28" s="607"/>
      <c r="Z28" s="122">
        <v>34</v>
      </c>
      <c r="AA28" s="607"/>
      <c r="AB28" s="122">
        <v>33.659999999999997</v>
      </c>
      <c r="AC28" s="607"/>
      <c r="AD28" s="122">
        <v>33.81</v>
      </c>
      <c r="AE28" s="607"/>
      <c r="AF28" s="122" t="s">
        <v>146</v>
      </c>
      <c r="AG28" s="607"/>
      <c r="AH28" s="104" t="s">
        <v>147</v>
      </c>
      <c r="AJ28" s="104" t="s">
        <v>148</v>
      </c>
      <c r="AL28" s="601" t="s">
        <v>149</v>
      </c>
      <c r="AN28" s="601" t="s">
        <v>150</v>
      </c>
      <c r="AP28" s="601">
        <v>31.67</v>
      </c>
      <c r="AR28" s="601">
        <v>31.81</v>
      </c>
      <c r="AT28" s="601">
        <v>31.81</v>
      </c>
      <c r="AU28" s="608"/>
      <c r="AV28" s="601">
        <v>31.69</v>
      </c>
      <c r="AW28" s="608"/>
      <c r="AX28" s="601">
        <v>31.76</v>
      </c>
      <c r="AY28" s="608"/>
      <c r="AZ28" s="601">
        <v>32.01</v>
      </c>
      <c r="BA28" s="608"/>
      <c r="BC28" s="609"/>
    </row>
    <row r="29" spans="2:56" ht="15">
      <c r="B29" s="105">
        <v>4</v>
      </c>
      <c r="C29" s="119" t="s">
        <v>151</v>
      </c>
      <c r="J29" s="122">
        <v>31.5</v>
      </c>
      <c r="K29" s="122">
        <v>0.8</v>
      </c>
      <c r="L29" s="104"/>
      <c r="M29" s="122"/>
      <c r="O29" s="123"/>
      <c r="P29" s="121"/>
      <c r="Q29" s="121"/>
      <c r="R29" s="117"/>
      <c r="S29" s="117"/>
      <c r="T29" s="117"/>
      <c r="U29" s="122"/>
      <c r="V29" s="122"/>
      <c r="W29" s="104"/>
      <c r="X29" s="122">
        <f t="shared" si="5"/>
        <v>32.299999999999997</v>
      </c>
      <c r="Y29" s="607"/>
      <c r="Z29" s="122">
        <v>31.48</v>
      </c>
      <c r="AA29" s="607"/>
      <c r="AB29" s="122">
        <v>30.19</v>
      </c>
      <c r="AC29" s="607"/>
      <c r="AD29" s="122">
        <v>30</v>
      </c>
      <c r="AE29" s="607"/>
      <c r="AF29" s="122">
        <v>30</v>
      </c>
      <c r="AG29" s="607"/>
      <c r="AH29" s="104">
        <v>30</v>
      </c>
      <c r="AJ29" s="104">
        <v>30</v>
      </c>
      <c r="AL29" s="601">
        <v>30</v>
      </c>
      <c r="AN29" s="601">
        <v>30</v>
      </c>
      <c r="AP29" s="601">
        <v>30</v>
      </c>
      <c r="AR29" s="601">
        <v>30</v>
      </c>
      <c r="AT29" s="601">
        <v>30</v>
      </c>
      <c r="AU29" s="608"/>
      <c r="AV29" s="601">
        <v>30</v>
      </c>
      <c r="AW29" s="608"/>
      <c r="AX29" s="601">
        <v>30</v>
      </c>
      <c r="AY29" s="608"/>
      <c r="AZ29" s="601">
        <v>30</v>
      </c>
      <c r="BA29" s="608"/>
      <c r="BC29" s="609"/>
    </row>
    <row r="30" spans="2:56" ht="15">
      <c r="B30" s="105">
        <v>5</v>
      </c>
      <c r="C30" s="119" t="s">
        <v>152</v>
      </c>
      <c r="J30" s="122">
        <v>31.86</v>
      </c>
      <c r="K30" s="122">
        <v>4.5</v>
      </c>
      <c r="L30" s="104"/>
      <c r="M30" s="122"/>
      <c r="O30" s="123"/>
      <c r="P30" s="121"/>
      <c r="Q30" s="121"/>
      <c r="R30" s="117"/>
      <c r="S30" s="117"/>
      <c r="T30" s="117"/>
      <c r="U30" s="122"/>
      <c r="V30" s="122"/>
      <c r="W30" s="104"/>
      <c r="X30" s="122">
        <f t="shared" si="5"/>
        <v>36.36</v>
      </c>
      <c r="Y30" s="607"/>
      <c r="Z30" s="122">
        <v>36.49</v>
      </c>
      <c r="AA30" s="607"/>
      <c r="AB30" s="122">
        <v>36.75</v>
      </c>
      <c r="AC30" s="607"/>
      <c r="AD30" s="122">
        <v>35.159999999999997</v>
      </c>
      <c r="AE30" s="607"/>
      <c r="AF30" s="122" t="s">
        <v>153</v>
      </c>
      <c r="AG30" s="607"/>
      <c r="AH30" s="104" t="s">
        <v>154</v>
      </c>
      <c r="AJ30" s="104" t="s">
        <v>155</v>
      </c>
      <c r="AL30" s="601" t="s">
        <v>156</v>
      </c>
      <c r="AN30" s="601" t="s">
        <v>157</v>
      </c>
      <c r="AP30" s="601">
        <v>30.14</v>
      </c>
      <c r="AR30" s="601">
        <v>30.7</v>
      </c>
      <c r="AT30" s="601">
        <v>30.78</v>
      </c>
      <c r="AU30" s="608"/>
      <c r="AV30" s="601">
        <v>30.99</v>
      </c>
      <c r="AW30" s="608"/>
      <c r="AX30" s="601">
        <v>30.97</v>
      </c>
      <c r="AY30" s="608"/>
      <c r="AZ30" s="601">
        <v>30.87</v>
      </c>
      <c r="BA30" s="608"/>
      <c r="BC30" s="609"/>
    </row>
    <row r="31" spans="2:56" ht="15">
      <c r="B31" s="105">
        <v>6</v>
      </c>
      <c r="C31" s="119" t="s">
        <v>158</v>
      </c>
      <c r="J31" s="122">
        <v>24.27</v>
      </c>
      <c r="K31" s="122">
        <v>4.58</v>
      </c>
      <c r="L31" s="104"/>
      <c r="M31" s="122"/>
      <c r="O31" s="123"/>
      <c r="P31" s="121"/>
      <c r="Q31" s="121"/>
      <c r="R31" s="117"/>
      <c r="S31" s="117"/>
      <c r="T31" s="117"/>
      <c r="U31" s="122"/>
      <c r="V31" s="122"/>
      <c r="W31" s="104"/>
      <c r="X31" s="122">
        <f t="shared" si="5"/>
        <v>28.85</v>
      </c>
      <c r="Y31" s="607"/>
      <c r="Z31" s="122">
        <v>28.56</v>
      </c>
      <c r="AA31" s="607"/>
      <c r="AB31" s="122">
        <v>28.69</v>
      </c>
      <c r="AC31" s="607"/>
      <c r="AD31" s="122">
        <v>29.47</v>
      </c>
      <c r="AE31" s="607"/>
      <c r="AF31" s="122" t="s">
        <v>159</v>
      </c>
      <c r="AG31" s="607"/>
      <c r="AH31" s="104" t="s">
        <v>160</v>
      </c>
      <c r="AJ31" s="610" t="s">
        <v>161</v>
      </c>
      <c r="AU31" s="608"/>
      <c r="AW31" s="608"/>
      <c r="AY31" s="608"/>
      <c r="BA31" s="608"/>
      <c r="BC31" s="609"/>
    </row>
    <row r="32" spans="2:56" ht="15">
      <c r="B32" s="105">
        <v>7</v>
      </c>
      <c r="C32" s="119" t="s">
        <v>162</v>
      </c>
      <c r="J32" s="122">
        <v>27.29</v>
      </c>
      <c r="K32" s="122">
        <v>5.49</v>
      </c>
      <c r="L32" s="104"/>
      <c r="M32" s="122"/>
      <c r="O32" s="123"/>
      <c r="P32" s="121"/>
      <c r="Q32" s="121"/>
      <c r="R32" s="117"/>
      <c r="S32" s="117"/>
      <c r="T32" s="117"/>
      <c r="U32" s="122"/>
      <c r="V32" s="122"/>
      <c r="W32" s="104"/>
      <c r="X32" s="122">
        <f t="shared" si="5"/>
        <v>32.78</v>
      </c>
      <c r="Y32" s="607"/>
      <c r="Z32" s="122">
        <v>32.659999999999997</v>
      </c>
      <c r="AA32" s="607"/>
      <c r="AB32" s="122">
        <v>32.58</v>
      </c>
      <c r="AC32" s="607"/>
      <c r="AD32" s="122">
        <v>30.8</v>
      </c>
      <c r="AE32" s="607"/>
      <c r="AF32" s="122" t="s">
        <v>163</v>
      </c>
      <c r="AG32" s="607"/>
      <c r="AH32" s="104" t="s">
        <v>164</v>
      </c>
      <c r="AJ32" s="104" t="s">
        <v>165</v>
      </c>
      <c r="AL32" s="601" t="s">
        <v>166</v>
      </c>
      <c r="AN32" s="601" t="s">
        <v>167</v>
      </c>
      <c r="AP32" s="601">
        <v>26.74</v>
      </c>
      <c r="AR32" s="601">
        <v>26.8</v>
      </c>
      <c r="AT32" s="601">
        <v>26.73</v>
      </c>
      <c r="AU32" s="608"/>
      <c r="AV32" s="601">
        <v>26.84</v>
      </c>
      <c r="AW32" s="608"/>
      <c r="AX32" s="601">
        <v>26.7</v>
      </c>
      <c r="AY32" s="608"/>
      <c r="AZ32" s="601">
        <v>26.81</v>
      </c>
      <c r="BA32" s="608"/>
      <c r="BC32" s="609"/>
    </row>
    <row r="33" spans="2:56">
      <c r="B33" s="105">
        <v>8</v>
      </c>
      <c r="C33" s="119" t="s">
        <v>168</v>
      </c>
      <c r="J33" s="122">
        <v>28.26</v>
      </c>
      <c r="K33" s="122">
        <v>1.1200000000000001</v>
      </c>
      <c r="L33" s="104"/>
      <c r="M33" s="122"/>
      <c r="O33" s="123"/>
      <c r="P33" s="121"/>
      <c r="Q33" s="121"/>
      <c r="R33" s="117"/>
      <c r="S33" s="117"/>
      <c r="T33" s="117"/>
      <c r="U33" s="122"/>
      <c r="V33" s="122"/>
      <c r="W33" s="104"/>
      <c r="X33" s="122">
        <f t="shared" si="5"/>
        <v>29.380000000000003</v>
      </c>
      <c r="Y33" s="607"/>
      <c r="Z33" s="122">
        <v>28.16</v>
      </c>
      <c r="AA33" s="607"/>
      <c r="AB33" s="122">
        <v>28.09</v>
      </c>
      <c r="AC33" s="607"/>
      <c r="AD33" s="122">
        <v>30.29</v>
      </c>
      <c r="AE33" s="607"/>
      <c r="AF33" s="122" t="s">
        <v>159</v>
      </c>
      <c r="AG33" s="607"/>
      <c r="AH33" s="104" t="s">
        <v>169</v>
      </c>
      <c r="AJ33" s="104" t="s">
        <v>170</v>
      </c>
      <c r="AL33" s="601" t="s">
        <v>171</v>
      </c>
      <c r="AN33" s="601" t="s">
        <v>172</v>
      </c>
      <c r="AP33" s="601">
        <v>27.86</v>
      </c>
      <c r="AR33" s="601">
        <v>27.96</v>
      </c>
      <c r="AT33" s="601">
        <v>28.01</v>
      </c>
      <c r="AU33" s="608"/>
      <c r="AV33" s="601">
        <v>28.36</v>
      </c>
      <c r="AW33" s="608"/>
      <c r="AX33" s="601">
        <v>27.91</v>
      </c>
      <c r="AZ33" s="601">
        <v>28.03</v>
      </c>
    </row>
    <row r="34" spans="2:56">
      <c r="B34" s="105">
        <v>9</v>
      </c>
      <c r="C34" s="119" t="s">
        <v>173</v>
      </c>
      <c r="J34" s="122">
        <v>36.06</v>
      </c>
      <c r="K34" s="122">
        <v>0.01</v>
      </c>
      <c r="L34" s="104"/>
      <c r="M34" s="122"/>
      <c r="O34" s="123"/>
      <c r="P34" s="121"/>
      <c r="Q34" s="121"/>
      <c r="R34" s="117"/>
      <c r="S34" s="117"/>
      <c r="T34" s="117"/>
      <c r="U34" s="122"/>
      <c r="V34" s="122"/>
      <c r="W34" s="104"/>
      <c r="X34" s="122">
        <f t="shared" si="5"/>
        <v>36.07</v>
      </c>
      <c r="Y34" s="607"/>
      <c r="Z34" s="122">
        <v>32.049999999999997</v>
      </c>
      <c r="AA34" s="607"/>
      <c r="AB34" s="122">
        <v>36.29</v>
      </c>
      <c r="AC34" s="607"/>
      <c r="AD34" s="122">
        <v>32.700000000000003</v>
      </c>
      <c r="AE34" s="607"/>
      <c r="AF34" s="122" t="s">
        <v>174</v>
      </c>
      <c r="AG34" s="607"/>
      <c r="AH34" s="104" t="s">
        <v>175</v>
      </c>
      <c r="AJ34" s="104" t="s">
        <v>176</v>
      </c>
      <c r="AL34" s="601" t="s">
        <v>177</v>
      </c>
      <c r="AN34" s="601" t="s">
        <v>178</v>
      </c>
      <c r="AP34" s="601">
        <v>31.35</v>
      </c>
      <c r="AR34" s="601">
        <v>31.67</v>
      </c>
      <c r="AT34" s="601">
        <v>32.409999999999997</v>
      </c>
      <c r="AU34" s="608"/>
      <c r="AV34" s="601">
        <v>32.270000000000003</v>
      </c>
      <c r="AW34" s="608"/>
      <c r="AX34" s="601">
        <v>31.89</v>
      </c>
      <c r="AZ34" s="601">
        <v>33.04</v>
      </c>
    </row>
    <row r="35" spans="2:56">
      <c r="B35" s="105"/>
      <c r="C35" s="119" t="s">
        <v>179</v>
      </c>
      <c r="J35" s="122"/>
      <c r="K35" s="122"/>
      <c r="L35" s="104"/>
      <c r="M35" s="122"/>
      <c r="O35" s="123"/>
      <c r="P35" s="121"/>
      <c r="Q35" s="121"/>
      <c r="R35" s="117"/>
      <c r="S35" s="117"/>
      <c r="T35" s="117"/>
      <c r="U35" s="122"/>
      <c r="V35" s="122"/>
      <c r="W35" s="104"/>
      <c r="X35" s="122"/>
      <c r="Y35" s="607"/>
      <c r="Z35" s="122"/>
      <c r="AA35" s="607"/>
      <c r="AB35" s="122">
        <v>35.340000000000003</v>
      </c>
      <c r="AC35" s="601">
        <v>0.22</v>
      </c>
      <c r="AD35" s="122">
        <v>35.090000000000003</v>
      </c>
      <c r="AE35" s="601">
        <v>0.23</v>
      </c>
      <c r="AF35" s="122" t="s">
        <v>180</v>
      </c>
      <c r="AG35" s="601">
        <v>0.26</v>
      </c>
      <c r="AH35" s="104" t="s">
        <v>181</v>
      </c>
      <c r="AJ35" s="104" t="s">
        <v>182</v>
      </c>
      <c r="AL35" s="601" t="s">
        <v>183</v>
      </c>
      <c r="AN35" s="601" t="s">
        <v>184</v>
      </c>
      <c r="AP35" s="601">
        <v>31.95</v>
      </c>
      <c r="AR35" s="601">
        <v>32.08</v>
      </c>
      <c r="AT35" s="601">
        <v>32.369999999999997</v>
      </c>
      <c r="AU35" s="608"/>
      <c r="AV35" s="601">
        <v>32.08</v>
      </c>
      <c r="AW35" s="608"/>
      <c r="AX35" s="601">
        <v>31.92</v>
      </c>
      <c r="AZ35" s="601">
        <v>31.85</v>
      </c>
    </row>
    <row r="36" spans="2:56">
      <c r="B36" s="105"/>
      <c r="C36" s="119" t="s">
        <v>185</v>
      </c>
      <c r="J36" s="122"/>
      <c r="K36" s="122"/>
      <c r="L36" s="104"/>
      <c r="M36" s="122"/>
      <c r="O36" s="123"/>
      <c r="P36" s="121"/>
      <c r="Q36" s="121"/>
      <c r="R36" s="117"/>
      <c r="S36" s="117"/>
      <c r="T36" s="117"/>
      <c r="U36" s="122"/>
      <c r="V36" s="122"/>
      <c r="W36" s="104"/>
      <c r="X36" s="122"/>
      <c r="Y36" s="607"/>
      <c r="Z36" s="122"/>
      <c r="AA36" s="607"/>
      <c r="AB36" s="122"/>
      <c r="AC36" s="601">
        <v>0.6</v>
      </c>
      <c r="AD36" s="122">
        <v>32.700000000000003</v>
      </c>
      <c r="AE36" s="601">
        <v>0.4</v>
      </c>
      <c r="AF36" s="122" t="s">
        <v>174</v>
      </c>
      <c r="AG36" s="601">
        <v>0.39</v>
      </c>
      <c r="AH36" s="104" t="s">
        <v>175</v>
      </c>
      <c r="AJ36" s="104" t="s">
        <v>176</v>
      </c>
      <c r="AL36" s="601" t="s">
        <v>176</v>
      </c>
      <c r="AN36" s="601" t="s">
        <v>186</v>
      </c>
      <c r="AP36" s="601">
        <v>32.79</v>
      </c>
      <c r="AR36" s="601">
        <v>30.56</v>
      </c>
      <c r="AT36" s="601">
        <v>34.31</v>
      </c>
      <c r="AU36" s="608"/>
      <c r="AV36" s="601">
        <v>32.840000000000003</v>
      </c>
      <c r="AW36" s="608"/>
      <c r="AX36" s="601">
        <v>32.68</v>
      </c>
      <c r="AZ36" s="601">
        <v>32.840000000000003</v>
      </c>
    </row>
    <row r="37" spans="2:56">
      <c r="B37" s="105"/>
      <c r="C37" s="119" t="s">
        <v>187</v>
      </c>
      <c r="J37" s="122"/>
      <c r="K37" s="122"/>
      <c r="L37" s="104"/>
      <c r="M37" s="122"/>
      <c r="O37" s="123"/>
      <c r="P37" s="121"/>
      <c r="Q37" s="121"/>
      <c r="R37" s="117"/>
      <c r="S37" s="117"/>
      <c r="T37" s="117"/>
      <c r="U37" s="122"/>
      <c r="V37" s="122"/>
      <c r="W37" s="104"/>
      <c r="X37" s="122"/>
      <c r="Y37" s="607"/>
      <c r="Z37" s="122"/>
      <c r="AA37" s="607"/>
      <c r="AB37" s="122"/>
      <c r="AC37" s="601">
        <v>0.47</v>
      </c>
      <c r="AD37" s="122">
        <v>39.85</v>
      </c>
      <c r="AE37" s="601">
        <v>0.41</v>
      </c>
      <c r="AF37" s="122" t="s">
        <v>188</v>
      </c>
      <c r="AG37" s="601">
        <v>0.47</v>
      </c>
      <c r="AH37" s="104" t="s">
        <v>189</v>
      </c>
      <c r="AJ37" s="104" t="s">
        <v>190</v>
      </c>
      <c r="AL37" s="601" t="s">
        <v>191</v>
      </c>
      <c r="AN37" s="601" t="s">
        <v>192</v>
      </c>
      <c r="AP37" s="601">
        <v>33.83</v>
      </c>
      <c r="AR37" s="601">
        <v>33.93</v>
      </c>
      <c r="AT37" s="601">
        <v>34.14</v>
      </c>
      <c r="AU37" s="608"/>
      <c r="AV37" s="601">
        <v>34.18</v>
      </c>
      <c r="AW37" s="608"/>
      <c r="AX37" s="601">
        <v>33.9</v>
      </c>
      <c r="AZ37" s="601">
        <v>33.79</v>
      </c>
    </row>
    <row r="38" spans="2:56">
      <c r="B38" s="105">
        <v>10</v>
      </c>
      <c r="C38" s="119" t="s">
        <v>193</v>
      </c>
      <c r="J38" s="122">
        <v>10</v>
      </c>
      <c r="K38" s="122">
        <v>0</v>
      </c>
      <c r="L38" s="104"/>
      <c r="M38" s="122"/>
      <c r="O38" s="123"/>
      <c r="P38" s="121"/>
      <c r="Q38" s="121"/>
      <c r="R38" s="117"/>
      <c r="S38" s="117"/>
      <c r="T38" s="117"/>
      <c r="U38" s="122"/>
      <c r="V38" s="122"/>
      <c r="W38" s="104"/>
      <c r="X38" s="122">
        <f>J38+K38</f>
        <v>10</v>
      </c>
      <c r="Y38" s="607"/>
      <c r="Z38" s="122">
        <v>10</v>
      </c>
      <c r="AA38" s="607"/>
      <c r="AB38" s="122">
        <v>10</v>
      </c>
      <c r="AC38" s="601"/>
      <c r="AD38" s="122">
        <v>10</v>
      </c>
      <c r="AF38" s="122">
        <v>10</v>
      </c>
      <c r="AH38" s="104">
        <v>10</v>
      </c>
      <c r="AJ38" s="104">
        <v>10</v>
      </c>
      <c r="AL38" s="601">
        <v>10</v>
      </c>
      <c r="AN38" s="601">
        <v>10</v>
      </c>
      <c r="AP38" s="601">
        <v>10</v>
      </c>
      <c r="AR38" s="601">
        <v>10</v>
      </c>
      <c r="AT38" s="601">
        <v>10</v>
      </c>
      <c r="AU38" s="608"/>
      <c r="AV38" s="601">
        <v>10</v>
      </c>
      <c r="AW38" s="608"/>
      <c r="AX38" s="601">
        <v>10</v>
      </c>
      <c r="AZ38" s="601">
        <v>10</v>
      </c>
    </row>
    <row r="39" spans="2:56">
      <c r="B39" s="105">
        <v>11</v>
      </c>
      <c r="C39" s="119" t="s">
        <v>194</v>
      </c>
      <c r="J39" s="122">
        <v>35.21</v>
      </c>
      <c r="K39" s="122">
        <v>4.5</v>
      </c>
      <c r="L39" s="104"/>
      <c r="M39" s="122"/>
      <c r="O39" s="123"/>
      <c r="P39" s="121"/>
      <c r="Q39" s="121"/>
      <c r="R39" s="117"/>
      <c r="S39" s="117"/>
      <c r="T39" s="117"/>
      <c r="U39" s="122"/>
      <c r="V39" s="122"/>
      <c r="W39" s="104"/>
      <c r="X39" s="122">
        <f>J39+K39</f>
        <v>39.71</v>
      </c>
      <c r="Y39" s="607"/>
      <c r="Z39" s="122">
        <v>37.21</v>
      </c>
      <c r="AA39" s="607"/>
      <c r="AB39" s="122">
        <v>37.590000000000003</v>
      </c>
      <c r="AC39" s="601"/>
      <c r="AD39" s="122">
        <v>35.44</v>
      </c>
      <c r="AF39" s="122" t="s">
        <v>195</v>
      </c>
      <c r="AH39" s="104" t="s">
        <v>196</v>
      </c>
      <c r="AJ39" s="104" t="s">
        <v>197</v>
      </c>
      <c r="AL39" s="601" t="s">
        <v>198</v>
      </c>
      <c r="AN39" s="601" t="s">
        <v>199</v>
      </c>
      <c r="AP39" s="601">
        <v>30.94</v>
      </c>
      <c r="AR39" s="601">
        <v>30.38</v>
      </c>
      <c r="AT39" s="601">
        <v>30.92</v>
      </c>
      <c r="AU39" s="608"/>
      <c r="AV39" s="601">
        <v>31.18</v>
      </c>
      <c r="AW39" s="608"/>
      <c r="AX39" s="601">
        <v>30.95</v>
      </c>
      <c r="AZ39" s="601">
        <v>30.98</v>
      </c>
    </row>
    <row r="40" spans="2:56">
      <c r="B40" s="105">
        <v>12</v>
      </c>
      <c r="C40" s="119" t="s">
        <v>200</v>
      </c>
      <c r="J40" s="122"/>
      <c r="K40" s="122"/>
      <c r="L40" s="104"/>
      <c r="M40" s="122"/>
      <c r="O40" s="123"/>
      <c r="P40" s="121"/>
      <c r="Q40" s="121"/>
      <c r="R40" s="117"/>
      <c r="S40" s="117"/>
      <c r="T40" s="117"/>
      <c r="U40" s="122"/>
      <c r="V40" s="122"/>
      <c r="W40" s="104"/>
      <c r="X40" s="122"/>
      <c r="Y40" s="607"/>
      <c r="Z40" s="122"/>
      <c r="AA40" s="607"/>
      <c r="AB40" s="122"/>
      <c r="AC40" s="601"/>
      <c r="AD40" s="122"/>
      <c r="AF40" s="122"/>
      <c r="AU40" s="608"/>
      <c r="AW40" s="608"/>
    </row>
    <row r="41" spans="2:56">
      <c r="B41" s="105"/>
      <c r="C41" s="119" t="s">
        <v>201</v>
      </c>
      <c r="J41" s="122">
        <v>26.09</v>
      </c>
      <c r="K41" s="122">
        <v>0.8</v>
      </c>
      <c r="L41" s="104"/>
      <c r="M41" s="122"/>
      <c r="O41" s="123"/>
      <c r="P41" s="121"/>
      <c r="Q41" s="121"/>
      <c r="R41" s="117"/>
      <c r="S41" s="117"/>
      <c r="T41" s="117"/>
      <c r="U41" s="122"/>
      <c r="V41" s="122"/>
      <c r="W41" s="104"/>
      <c r="X41" s="122">
        <f>J41+K41</f>
        <v>26.89</v>
      </c>
      <c r="Y41" s="607"/>
      <c r="Z41" s="122">
        <v>26.42</v>
      </c>
      <c r="AA41" s="607"/>
      <c r="AB41" s="122">
        <v>26.02</v>
      </c>
      <c r="AC41" s="601"/>
      <c r="AD41" s="122">
        <v>25.37</v>
      </c>
      <c r="AF41" s="122" t="s">
        <v>202</v>
      </c>
      <c r="AH41" s="104" t="s">
        <v>203</v>
      </c>
      <c r="AJ41" s="104" t="s">
        <v>204</v>
      </c>
      <c r="AL41" s="601" t="s">
        <v>205</v>
      </c>
      <c r="AN41" s="601" t="s">
        <v>206</v>
      </c>
      <c r="AP41" s="601">
        <v>23.98</v>
      </c>
      <c r="AR41" s="601">
        <v>24.26</v>
      </c>
      <c r="AT41" s="601">
        <v>24.01</v>
      </c>
      <c r="AU41" s="608"/>
      <c r="AV41" s="601">
        <v>23.57</v>
      </c>
      <c r="AW41" s="608"/>
      <c r="AX41" s="601">
        <v>23.48</v>
      </c>
      <c r="AZ41" s="601">
        <v>23.98</v>
      </c>
      <c r="BD41" s="601" t="s">
        <v>207</v>
      </c>
    </row>
    <row r="42" spans="2:56">
      <c r="B42" s="105"/>
      <c r="C42" s="119" t="s">
        <v>208</v>
      </c>
      <c r="J42" s="122">
        <v>29.2</v>
      </c>
      <c r="K42" s="122">
        <v>2.1</v>
      </c>
      <c r="L42" s="104"/>
      <c r="M42" s="122"/>
      <c r="O42" s="123"/>
      <c r="P42" s="121"/>
      <c r="Q42" s="121"/>
      <c r="R42" s="117"/>
      <c r="S42" s="117"/>
      <c r="T42" s="117"/>
      <c r="U42" s="122"/>
      <c r="V42" s="122"/>
      <c r="W42" s="104"/>
      <c r="X42" s="122">
        <f>J42+K42</f>
        <v>31.3</v>
      </c>
      <c r="Y42" s="607"/>
      <c r="Z42" s="122">
        <v>30.72</v>
      </c>
      <c r="AA42" s="607"/>
      <c r="AB42" s="122">
        <v>30.87</v>
      </c>
      <c r="AC42" s="601"/>
      <c r="AD42" s="122">
        <v>30.21</v>
      </c>
      <c r="AF42" s="122" t="s">
        <v>209</v>
      </c>
      <c r="AH42" s="104" t="s">
        <v>210</v>
      </c>
      <c r="AJ42" s="104" t="s">
        <v>211</v>
      </c>
      <c r="AL42" s="601" t="s">
        <v>124</v>
      </c>
      <c r="AN42" s="601" t="s">
        <v>212</v>
      </c>
      <c r="AP42" s="601">
        <v>29.15</v>
      </c>
      <c r="AR42" s="601">
        <v>29.27</v>
      </c>
      <c r="AT42" s="601">
        <v>29.34</v>
      </c>
      <c r="AU42" s="608"/>
      <c r="AV42" s="601">
        <v>29.6</v>
      </c>
      <c r="AW42" s="608"/>
      <c r="AX42" s="601">
        <v>29.62</v>
      </c>
      <c r="AZ42" s="601">
        <v>30.68</v>
      </c>
    </row>
    <row r="43" spans="2:56">
      <c r="B43" s="105">
        <v>13</v>
      </c>
      <c r="C43" s="119" t="s">
        <v>213</v>
      </c>
      <c r="J43" s="122">
        <v>35.299999999999997</v>
      </c>
      <c r="K43" s="122">
        <v>0</v>
      </c>
      <c r="L43" s="104"/>
      <c r="M43" s="122"/>
      <c r="O43" s="123"/>
      <c r="P43" s="121"/>
      <c r="Q43" s="121"/>
      <c r="R43" s="117"/>
      <c r="S43" s="117"/>
      <c r="T43" s="117"/>
      <c r="U43" s="122"/>
      <c r="V43" s="122"/>
      <c r="W43" s="104"/>
      <c r="X43" s="122">
        <f>J43+K43</f>
        <v>35.299999999999997</v>
      </c>
      <c r="Y43" s="607">
        <v>0.90400000000000003</v>
      </c>
      <c r="Z43" s="122">
        <v>33.950000000000003</v>
      </c>
      <c r="AA43" s="601">
        <v>0.9</v>
      </c>
      <c r="AB43" s="122">
        <v>33.5</v>
      </c>
      <c r="AC43" s="601">
        <v>0.84</v>
      </c>
      <c r="AD43" s="122">
        <v>33.46</v>
      </c>
      <c r="AE43" s="601">
        <v>0.88</v>
      </c>
      <c r="AF43" s="122" t="s">
        <v>214</v>
      </c>
      <c r="AG43" s="601">
        <v>0.89</v>
      </c>
      <c r="AH43" s="104" t="s">
        <v>215</v>
      </c>
      <c r="AI43" s="601" t="s">
        <v>216</v>
      </c>
      <c r="AJ43" s="104" t="s">
        <v>217</v>
      </c>
      <c r="AK43" s="601" t="s">
        <v>216</v>
      </c>
      <c r="AL43" s="124" t="s">
        <v>218</v>
      </c>
      <c r="AM43" s="601">
        <v>100</v>
      </c>
      <c r="AN43" s="124" t="s">
        <v>219</v>
      </c>
      <c r="AO43" s="601">
        <v>100</v>
      </c>
      <c r="AP43" s="601">
        <v>27</v>
      </c>
      <c r="AR43" s="601">
        <v>25.62</v>
      </c>
      <c r="AS43" s="601">
        <v>100</v>
      </c>
      <c r="AT43" s="601">
        <v>27.18</v>
      </c>
      <c r="AU43" s="608"/>
      <c r="AV43" s="601">
        <v>26.96</v>
      </c>
      <c r="AW43" s="608"/>
      <c r="AX43" s="601">
        <v>25.29</v>
      </c>
      <c r="AZ43" s="601">
        <v>27.84</v>
      </c>
    </row>
    <row r="44" spans="2:56">
      <c r="B44" s="105">
        <v>14</v>
      </c>
      <c r="C44" s="119" t="s">
        <v>220</v>
      </c>
      <c r="J44" s="122">
        <v>40.06</v>
      </c>
      <c r="K44" s="122">
        <v>4.04</v>
      </c>
      <c r="L44" s="104"/>
      <c r="M44" s="122"/>
      <c r="O44" s="123"/>
      <c r="P44" s="121"/>
      <c r="Q44" s="121"/>
      <c r="R44" s="117"/>
      <c r="S44" s="117"/>
      <c r="T44" s="117"/>
      <c r="U44" s="122"/>
      <c r="V44" s="122"/>
      <c r="W44" s="104"/>
      <c r="X44" s="122">
        <f>J44+K44</f>
        <v>44.1</v>
      </c>
      <c r="Y44" s="607"/>
      <c r="Z44" s="122">
        <v>39.31</v>
      </c>
      <c r="AA44" s="607"/>
      <c r="AB44" s="122">
        <v>35.4</v>
      </c>
      <c r="AC44" s="607"/>
      <c r="AD44" s="122">
        <v>37.479999999999997</v>
      </c>
      <c r="AE44" s="607"/>
      <c r="AF44" s="122" t="s">
        <v>221</v>
      </c>
      <c r="AG44" s="607"/>
      <c r="AH44" s="104" t="s">
        <v>222</v>
      </c>
      <c r="AJ44" s="104" t="s">
        <v>223</v>
      </c>
      <c r="AL44" s="601" t="s">
        <v>224</v>
      </c>
      <c r="AN44" s="601" t="s">
        <v>191</v>
      </c>
      <c r="AP44" s="601">
        <v>33.700000000000003</v>
      </c>
      <c r="AR44" s="601">
        <v>33.840000000000003</v>
      </c>
      <c r="AT44" s="601">
        <v>34.51</v>
      </c>
      <c r="AU44" s="608"/>
      <c r="AV44" s="601">
        <v>34.369999999999997</v>
      </c>
      <c r="AW44" s="608"/>
      <c r="AX44" s="601">
        <v>34.58</v>
      </c>
      <c r="AZ44" s="601">
        <v>34.229999999999997</v>
      </c>
    </row>
    <row r="45" spans="2:56">
      <c r="B45" s="105">
        <v>15</v>
      </c>
      <c r="C45" s="119" t="s">
        <v>225</v>
      </c>
      <c r="J45" s="122"/>
      <c r="K45" s="122"/>
      <c r="L45" s="104"/>
      <c r="M45" s="122"/>
      <c r="O45" s="123"/>
      <c r="P45" s="121"/>
      <c r="Q45" s="121"/>
      <c r="R45" s="117"/>
      <c r="S45" s="117"/>
      <c r="T45" s="117"/>
      <c r="U45" s="122"/>
      <c r="V45" s="122"/>
      <c r="W45" s="104"/>
      <c r="X45" s="122"/>
      <c r="Y45" s="607"/>
      <c r="Z45" s="122"/>
      <c r="AA45" s="607"/>
      <c r="AB45" s="122">
        <v>5.7</v>
      </c>
      <c r="AC45" s="607"/>
      <c r="AD45" s="122">
        <v>3.18</v>
      </c>
      <c r="AE45" s="607"/>
      <c r="AF45" s="611">
        <v>5.17</v>
      </c>
      <c r="AG45" s="607"/>
      <c r="AH45" s="104" t="s">
        <v>226</v>
      </c>
      <c r="AJ45" s="104" t="s">
        <v>227</v>
      </c>
      <c r="AL45" s="601" t="s">
        <v>228</v>
      </c>
      <c r="AN45" s="601" t="s">
        <v>229</v>
      </c>
      <c r="AU45" s="608"/>
      <c r="AW45" s="608"/>
    </row>
    <row r="46" spans="2:56">
      <c r="B46" s="105">
        <v>16</v>
      </c>
      <c r="C46" s="119" t="s">
        <v>230</v>
      </c>
      <c r="J46" s="122"/>
      <c r="K46" s="122"/>
      <c r="L46" s="104"/>
      <c r="M46" s="122"/>
      <c r="O46" s="123"/>
      <c r="P46" s="121"/>
      <c r="Q46" s="121"/>
      <c r="R46" s="117"/>
      <c r="S46" s="117"/>
      <c r="T46" s="117"/>
      <c r="U46" s="122"/>
      <c r="V46" s="122"/>
      <c r="W46" s="104"/>
      <c r="X46" s="122">
        <v>26.73</v>
      </c>
      <c r="Y46" s="607"/>
      <c r="Z46" s="122">
        <v>26.04</v>
      </c>
      <c r="AA46" s="607"/>
      <c r="AB46" s="122">
        <v>25.8</v>
      </c>
      <c r="AC46" s="607"/>
      <c r="AD46" s="122">
        <v>24.97</v>
      </c>
      <c r="AE46" s="607"/>
      <c r="AF46" s="122" t="s">
        <v>202</v>
      </c>
      <c r="AG46" s="607"/>
      <c r="AH46" s="104" t="s">
        <v>203</v>
      </c>
      <c r="AJ46" s="104" t="s">
        <v>204</v>
      </c>
      <c r="AL46" s="601" t="s">
        <v>205</v>
      </c>
      <c r="AN46" s="601" t="s">
        <v>206</v>
      </c>
      <c r="AP46" s="601">
        <v>23.98</v>
      </c>
      <c r="AR46" s="601">
        <v>24.26</v>
      </c>
      <c r="AT46" s="601">
        <v>24.01</v>
      </c>
      <c r="AU46" s="608"/>
      <c r="AV46" s="601">
        <v>23.57</v>
      </c>
      <c r="AW46" s="608"/>
      <c r="AX46" s="601">
        <v>23.48</v>
      </c>
      <c r="AZ46" s="601">
        <v>23.98</v>
      </c>
    </row>
    <row r="47" spans="2:56">
      <c r="B47" s="105">
        <v>17</v>
      </c>
      <c r="C47" s="119" t="s">
        <v>231</v>
      </c>
      <c r="J47" s="122"/>
      <c r="K47" s="122"/>
      <c r="L47" s="104"/>
      <c r="M47" s="122"/>
      <c r="O47" s="123"/>
      <c r="P47" s="121"/>
      <c r="Q47" s="121"/>
      <c r="R47" s="117"/>
      <c r="S47" s="117"/>
      <c r="T47" s="117"/>
      <c r="U47" s="122"/>
      <c r="V47" s="122"/>
      <c r="W47" s="104"/>
      <c r="X47" s="122">
        <v>43.54</v>
      </c>
      <c r="Y47" s="607"/>
      <c r="Z47" s="122">
        <v>42.07</v>
      </c>
      <c r="AA47" s="607"/>
      <c r="AB47" s="122">
        <v>41.21</v>
      </c>
      <c r="AC47" s="607"/>
      <c r="AD47" s="122">
        <v>39.85</v>
      </c>
      <c r="AE47" s="607"/>
      <c r="AF47" s="122" t="s">
        <v>188</v>
      </c>
      <c r="AG47" s="607"/>
      <c r="AH47" s="104" t="s">
        <v>189</v>
      </c>
      <c r="AJ47" s="104" t="s">
        <v>190</v>
      </c>
      <c r="AL47" s="601" t="s">
        <v>191</v>
      </c>
      <c r="AN47" s="601" t="s">
        <v>192</v>
      </c>
      <c r="AP47" s="601">
        <v>33.83</v>
      </c>
      <c r="AR47" s="601">
        <v>33.93</v>
      </c>
      <c r="AT47" s="601">
        <v>34.15</v>
      </c>
      <c r="AU47" s="608"/>
      <c r="AV47" s="601">
        <v>34.18</v>
      </c>
      <c r="AW47" s="608"/>
      <c r="AX47" s="601">
        <v>33.9</v>
      </c>
      <c r="AZ47" s="601">
        <v>33.79</v>
      </c>
    </row>
    <row r="48" spans="2:56">
      <c r="B48" s="107"/>
      <c r="C48" s="125"/>
      <c r="D48" s="111"/>
      <c r="E48" s="140"/>
      <c r="F48" s="126"/>
      <c r="G48" s="126"/>
      <c r="H48" s="127"/>
      <c r="I48" s="126"/>
      <c r="J48" s="111"/>
      <c r="K48" s="107"/>
      <c r="L48" s="111"/>
      <c r="M48" s="111"/>
      <c r="N48" s="111"/>
      <c r="O48" s="111"/>
      <c r="P48" s="111"/>
      <c r="Q48" s="111"/>
      <c r="R48" s="128"/>
      <c r="S48" s="128"/>
      <c r="T48" s="128"/>
      <c r="U48" s="128"/>
      <c r="V48" s="128"/>
      <c r="W48" s="128"/>
      <c r="X48" s="127"/>
      <c r="Y48" s="127"/>
      <c r="Z48" s="127"/>
      <c r="AA48" s="127"/>
      <c r="AB48" s="127"/>
      <c r="AC48" s="127"/>
      <c r="AD48" s="127"/>
      <c r="AE48" s="129"/>
      <c r="AF48" s="127"/>
      <c r="AG48" s="129"/>
      <c r="AH48" s="108"/>
      <c r="AI48" s="129"/>
      <c r="AJ48" s="108"/>
      <c r="AK48" s="129"/>
      <c r="AL48" s="129"/>
      <c r="AM48" s="129"/>
      <c r="AN48" s="129"/>
      <c r="AO48" s="129"/>
      <c r="AP48" s="129"/>
      <c r="AQ48" s="129"/>
      <c r="AR48" s="129"/>
      <c r="AS48" s="129"/>
      <c r="AT48" s="129"/>
      <c r="AU48" s="129"/>
      <c r="AV48" s="129"/>
      <c r="AW48" s="129"/>
      <c r="AX48" s="129"/>
      <c r="AY48" s="129"/>
      <c r="AZ48" s="129"/>
      <c r="BA48" s="129"/>
      <c r="BB48" s="129"/>
      <c r="BC48" s="129"/>
    </row>
    <row r="49" spans="2:43">
      <c r="B49" s="105"/>
      <c r="C49" s="119"/>
      <c r="F49" s="122"/>
      <c r="G49" s="122"/>
      <c r="H49" s="104"/>
      <c r="I49" s="122"/>
      <c r="K49" s="105"/>
      <c r="O49" s="121"/>
      <c r="P49" s="121"/>
      <c r="Q49" s="121"/>
      <c r="R49" s="117"/>
      <c r="S49" s="117"/>
      <c r="T49" s="117"/>
      <c r="U49" s="117"/>
      <c r="V49" s="117"/>
      <c r="W49" s="117"/>
      <c r="X49" s="120"/>
      <c r="Y49" s="120"/>
      <c r="AA49" s="120"/>
      <c r="AB49" s="120"/>
      <c r="AC49" s="120"/>
      <c r="AE49" s="110"/>
      <c r="AG49" s="110"/>
    </row>
    <row r="50" spans="2:43">
      <c r="B50" s="119" t="s">
        <v>232</v>
      </c>
      <c r="C50" s="119"/>
      <c r="F50" s="122"/>
      <c r="G50" s="122"/>
      <c r="H50" s="104"/>
      <c r="I50" s="122"/>
      <c r="K50" s="105"/>
      <c r="O50" s="121"/>
      <c r="P50" s="121"/>
      <c r="Q50" s="121"/>
      <c r="R50" s="117"/>
      <c r="S50" s="117"/>
      <c r="T50" s="117"/>
      <c r="U50" s="117"/>
      <c r="V50" s="117"/>
      <c r="W50" s="117"/>
      <c r="X50" s="120"/>
      <c r="Y50" s="120"/>
      <c r="AA50" s="120"/>
      <c r="AB50" s="120"/>
      <c r="AC50" s="120"/>
      <c r="AE50" s="110"/>
      <c r="AG50" s="110"/>
    </row>
    <row r="51" spans="2:43" hidden="1">
      <c r="B51" s="105"/>
      <c r="C51" s="119"/>
      <c r="F51" s="122"/>
      <c r="G51" s="122"/>
      <c r="H51" s="104"/>
      <c r="I51" s="122"/>
      <c r="K51" s="105"/>
      <c r="O51" s="121"/>
      <c r="P51" s="121"/>
      <c r="Q51" s="121"/>
      <c r="R51" s="117"/>
      <c r="S51" s="117"/>
      <c r="T51" s="117"/>
      <c r="U51" s="117"/>
      <c r="V51" s="117"/>
      <c r="W51" s="117"/>
      <c r="X51" s="120"/>
      <c r="Y51" s="120"/>
      <c r="AA51" s="120"/>
      <c r="AB51" s="120"/>
      <c r="AC51" s="120"/>
      <c r="AE51" s="110"/>
      <c r="AG51" s="110"/>
    </row>
    <row r="52" spans="2:43" hidden="1">
      <c r="B52" s="105"/>
      <c r="C52" s="119"/>
      <c r="F52" s="122"/>
      <c r="G52" s="122"/>
      <c r="H52" s="104"/>
      <c r="I52" s="122"/>
      <c r="K52" s="105"/>
      <c r="O52" s="121"/>
      <c r="P52" s="121"/>
      <c r="Q52" s="121"/>
      <c r="R52" s="117"/>
      <c r="S52" s="117"/>
      <c r="T52" s="117"/>
      <c r="U52" s="117"/>
      <c r="V52" s="117"/>
      <c r="W52" s="117"/>
      <c r="X52" s="120"/>
      <c r="Y52" s="120"/>
      <c r="AA52" s="120"/>
      <c r="AB52" s="120"/>
      <c r="AC52" s="120"/>
      <c r="AE52" s="110"/>
      <c r="AG52" s="110"/>
    </row>
    <row r="53" spans="2:43" hidden="1">
      <c r="B53" s="105"/>
      <c r="C53" s="119"/>
      <c r="F53" s="122"/>
      <c r="G53" s="122"/>
      <c r="H53" s="104"/>
      <c r="I53" s="122"/>
      <c r="K53" s="105"/>
      <c r="O53" s="121"/>
      <c r="P53" s="121"/>
      <c r="Q53" s="121"/>
      <c r="R53" s="117"/>
      <c r="S53" s="117"/>
      <c r="T53" s="117"/>
      <c r="U53" s="117"/>
      <c r="V53" s="117"/>
      <c r="W53" s="117"/>
      <c r="X53" s="120"/>
      <c r="Y53" s="120"/>
      <c r="AA53" s="120"/>
      <c r="AB53" s="120"/>
      <c r="AC53" s="120"/>
      <c r="AE53" s="110"/>
      <c r="AG53" s="110"/>
    </row>
    <row r="54" spans="2:43" hidden="1">
      <c r="B54" s="105"/>
      <c r="C54" s="119"/>
      <c r="F54" s="122"/>
      <c r="G54" s="122"/>
      <c r="H54" s="104"/>
      <c r="I54" s="122"/>
      <c r="K54" s="105"/>
      <c r="O54" s="121"/>
      <c r="P54" s="121"/>
      <c r="Q54" s="121"/>
      <c r="R54" s="117"/>
      <c r="S54" s="117"/>
      <c r="T54" s="117"/>
      <c r="U54" s="117"/>
      <c r="V54" s="117"/>
      <c r="W54" s="117"/>
      <c r="X54" s="120"/>
      <c r="Y54" s="120"/>
      <c r="AA54" s="120"/>
      <c r="AB54" s="120"/>
      <c r="AC54" s="120"/>
      <c r="AE54" s="110"/>
      <c r="AG54" s="110"/>
    </row>
    <row r="55" spans="2:43" hidden="1"/>
    <row r="56" spans="2:43" hidden="1"/>
    <row r="57" spans="2:43" hidden="1"/>
    <row r="58" spans="2:43" hidden="1"/>
    <row r="60" spans="2:43" s="43" customFormat="1" outlineLevel="1">
      <c r="B60" s="138" t="s">
        <v>26</v>
      </c>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67"/>
      <c r="AF60" s="139"/>
      <c r="AG60" s="67"/>
      <c r="AH60" s="47"/>
      <c r="AJ60" s="47"/>
    </row>
    <row r="61" spans="2:43" s="43" customFormat="1" outlineLevel="1">
      <c r="B61" s="50" t="s">
        <v>233</v>
      </c>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67"/>
      <c r="AF61" s="47"/>
      <c r="AG61" s="67"/>
      <c r="AH61" s="47"/>
      <c r="AJ61" s="47"/>
    </row>
    <row r="62" spans="2:43" s="43" customFormat="1" outlineLevel="1">
      <c r="B62" s="51"/>
      <c r="C62" s="51"/>
      <c r="D62" s="51"/>
      <c r="E62" s="51"/>
      <c r="F62" s="51"/>
      <c r="G62" s="51"/>
      <c r="H62" s="51"/>
      <c r="I62" s="51"/>
      <c r="J62" s="51"/>
      <c r="K62" s="51"/>
      <c r="L62" s="51"/>
      <c r="M62" s="51"/>
      <c r="N62" s="51"/>
      <c r="O62" s="52"/>
      <c r="P62" s="53"/>
      <c r="Q62" s="53"/>
      <c r="R62" s="53"/>
      <c r="S62" s="53"/>
      <c r="T62" s="53"/>
      <c r="U62" s="53"/>
      <c r="V62" s="53"/>
      <c r="W62" s="53"/>
      <c r="X62" s="54"/>
      <c r="Y62" s="31"/>
      <c r="Z62" s="31"/>
      <c r="AA62" s="31"/>
      <c r="AB62" s="31"/>
      <c r="AC62" s="31"/>
      <c r="AD62" s="31"/>
      <c r="AE62" s="67"/>
      <c r="AF62" s="31"/>
      <c r="AG62" s="67"/>
      <c r="AH62" s="47"/>
      <c r="AJ62" s="47"/>
    </row>
    <row r="63" spans="2:43" s="43" customFormat="1" outlineLevel="1">
      <c r="B63" s="135" t="s">
        <v>1664</v>
      </c>
      <c r="D63" s="135"/>
      <c r="O63" s="44"/>
      <c r="P63" s="45"/>
      <c r="Q63" s="46"/>
      <c r="R63" s="45"/>
      <c r="S63" s="45"/>
      <c r="T63" s="45"/>
      <c r="U63" s="45"/>
      <c r="V63" s="45"/>
      <c r="W63" s="45"/>
      <c r="X63" s="161">
        <v>2001</v>
      </c>
      <c r="Y63" s="162"/>
      <c r="Z63" s="145">
        <v>2003</v>
      </c>
      <c r="AA63" s="162"/>
      <c r="AB63" s="145">
        <v>2005</v>
      </c>
      <c r="AC63" s="162"/>
      <c r="AD63" s="145">
        <v>2007</v>
      </c>
      <c r="AE63" s="67"/>
      <c r="AF63" s="145">
        <v>2009</v>
      </c>
      <c r="AG63" s="145">
        <v>2010</v>
      </c>
      <c r="AH63" s="145">
        <v>2011</v>
      </c>
      <c r="AI63" s="145">
        <v>2012</v>
      </c>
      <c r="AJ63" s="145">
        <v>2013</v>
      </c>
      <c r="AK63" s="145">
        <v>2014</v>
      </c>
      <c r="AL63" s="145">
        <v>2015</v>
      </c>
      <c r="AM63" s="145">
        <v>2016</v>
      </c>
      <c r="AN63" s="145">
        <v>2017</v>
      </c>
      <c r="AO63" s="145">
        <v>2018</v>
      </c>
      <c r="AP63" s="145">
        <v>2019</v>
      </c>
      <c r="AQ63" s="145">
        <v>2020</v>
      </c>
    </row>
    <row r="64" spans="2:43" s="43" customFormat="1" outlineLevel="1">
      <c r="B64" s="135" t="s">
        <v>1665</v>
      </c>
      <c r="D64" s="135"/>
      <c r="O64" s="44"/>
      <c r="P64" s="45"/>
      <c r="Q64" s="46"/>
      <c r="R64" s="45"/>
      <c r="S64" s="45"/>
      <c r="T64" s="45"/>
      <c r="U64" s="45"/>
      <c r="V64" s="45"/>
      <c r="W64" s="45"/>
      <c r="X64" s="148"/>
      <c r="Y64" s="163"/>
      <c r="Z64" s="148"/>
      <c r="AA64" s="163"/>
      <c r="AB64" s="163"/>
      <c r="AC64" s="163"/>
      <c r="AD64" s="148"/>
      <c r="AE64" s="67"/>
      <c r="AF64" s="148"/>
      <c r="AG64" s="148"/>
      <c r="AH64" s="148"/>
      <c r="AJ64" s="47"/>
    </row>
    <row r="65" spans="2:43" s="43" customFormat="1" outlineLevel="1">
      <c r="B65" s="147" t="s">
        <v>28</v>
      </c>
      <c r="C65" s="135" t="s">
        <v>29</v>
      </c>
      <c r="D65" s="135"/>
      <c r="O65" s="44"/>
      <c r="P65" s="45"/>
      <c r="Q65" s="46"/>
      <c r="R65" s="45"/>
      <c r="S65" s="45"/>
      <c r="T65" s="45"/>
      <c r="U65" s="45"/>
      <c r="V65" s="45"/>
      <c r="W65" s="45"/>
      <c r="X65" s="149">
        <v>640632.57999999996</v>
      </c>
      <c r="Y65" s="149">
        <v>661923.51</v>
      </c>
      <c r="Z65" s="149">
        <v>678795.09199999995</v>
      </c>
      <c r="AA65" s="149">
        <v>718748.94099999999</v>
      </c>
      <c r="AB65" s="149">
        <v>757947.69200000004</v>
      </c>
      <c r="AC65" s="149">
        <v>797472.30700000003</v>
      </c>
      <c r="AD65" s="149">
        <v>825725.22699999996</v>
      </c>
      <c r="AE65" s="149">
        <v>853746.38199999998</v>
      </c>
      <c r="AF65" s="149">
        <v>834887.01</v>
      </c>
      <c r="AG65" s="149">
        <v>862222.07299999997</v>
      </c>
      <c r="AH65" s="149">
        <v>884899.28200000001</v>
      </c>
      <c r="AI65" s="149">
        <v>910399.478</v>
      </c>
      <c r="AJ65" s="149">
        <v>920344.13399999996</v>
      </c>
      <c r="AK65" s="149">
        <v>934336.473</v>
      </c>
      <c r="AL65" s="149">
        <v>959357.26199999999</v>
      </c>
      <c r="AM65" s="149">
        <v>983776.49600000004</v>
      </c>
      <c r="AN65" s="149">
        <v>1016645.105</v>
      </c>
      <c r="AO65" s="149">
        <v>1058624.835</v>
      </c>
      <c r="AP65" s="149">
        <v>1079899.361</v>
      </c>
      <c r="AQ65" s="149">
        <v>1070712.5</v>
      </c>
    </row>
    <row r="66" spans="2:43" s="43" customFormat="1" ht="5.0999999999999996" customHeight="1" outlineLevel="1">
      <c r="B66" s="135"/>
      <c r="C66" s="135"/>
      <c r="D66" s="135"/>
      <c r="O66" s="44"/>
      <c r="P66" s="45"/>
      <c r="Q66" s="46"/>
      <c r="R66" s="45"/>
      <c r="S66" s="45"/>
      <c r="T66" s="45"/>
      <c r="U66" s="45"/>
      <c r="V66" s="45"/>
      <c r="W66" s="45"/>
      <c r="X66" s="149"/>
      <c r="Y66" s="149"/>
      <c r="Z66" s="149"/>
      <c r="AA66" s="149"/>
      <c r="AB66" s="149"/>
      <c r="AC66" s="149"/>
      <c r="AD66" s="149"/>
      <c r="AE66" s="149"/>
      <c r="AF66" s="149"/>
      <c r="AG66" s="149"/>
      <c r="AH66" s="149"/>
      <c r="AI66" s="149"/>
      <c r="AJ66" s="149"/>
      <c r="AK66" s="149"/>
      <c r="AL66" s="149"/>
      <c r="AM66" s="149"/>
      <c r="AN66" s="149"/>
      <c r="AO66" s="149"/>
      <c r="AP66" s="149"/>
      <c r="AQ66" s="149"/>
    </row>
    <row r="67" spans="2:43" s="43" customFormat="1" outlineLevel="1">
      <c r="B67" s="147" t="s">
        <v>30</v>
      </c>
      <c r="C67" s="135" t="s">
        <v>31</v>
      </c>
      <c r="D67" s="135"/>
      <c r="O67" s="44"/>
      <c r="P67" s="45"/>
      <c r="Q67" s="46"/>
      <c r="R67" s="45"/>
      <c r="S67" s="45"/>
      <c r="T67" s="45"/>
      <c r="U67" s="45"/>
      <c r="V67" s="45"/>
      <c r="W67" s="45"/>
      <c r="X67" s="149">
        <v>758247.12199999997</v>
      </c>
      <c r="Y67" s="149">
        <v>786503.576</v>
      </c>
      <c r="Z67" s="149">
        <v>804508.21600000001</v>
      </c>
      <c r="AA67" s="149">
        <v>852004.68299999996</v>
      </c>
      <c r="AB67" s="149">
        <v>898274.02</v>
      </c>
      <c r="AC67" s="149">
        <v>945779.80200000014</v>
      </c>
      <c r="AD67" s="149">
        <v>982142.75600000005</v>
      </c>
      <c r="AE67" s="149">
        <v>1024952.3640000001</v>
      </c>
      <c r="AF67" s="149">
        <v>1014422.514</v>
      </c>
      <c r="AG67" s="149">
        <v>1044611.22</v>
      </c>
      <c r="AH67" s="149">
        <v>1065310.7749999999</v>
      </c>
      <c r="AI67" s="149">
        <v>1097395.1570000001</v>
      </c>
      <c r="AJ67" s="149">
        <v>1105386.6499999999</v>
      </c>
      <c r="AK67" s="149">
        <v>1123566.784</v>
      </c>
      <c r="AL67" s="149">
        <v>1152471.889</v>
      </c>
      <c r="AM67" s="149">
        <v>1180674.9169999999</v>
      </c>
      <c r="AN67" s="149">
        <v>1219381.324</v>
      </c>
      <c r="AO67" s="149">
        <v>1265175.273</v>
      </c>
      <c r="AP67" s="149">
        <v>1289061.6410000001</v>
      </c>
      <c r="AQ67" s="149">
        <v>1287587.4300000002</v>
      </c>
    </row>
    <row r="68" spans="2:43" s="43" customFormat="1" ht="5.0999999999999996" customHeight="1" outlineLevel="1">
      <c r="B68" s="135"/>
      <c r="C68" s="135"/>
      <c r="D68" s="135"/>
      <c r="O68" s="44"/>
      <c r="P68" s="45"/>
      <c r="Q68" s="46"/>
      <c r="R68" s="45"/>
      <c r="S68" s="45"/>
      <c r="T68" s="45"/>
      <c r="U68" s="45"/>
      <c r="V68" s="45"/>
      <c r="W68" s="45"/>
      <c r="X68" s="148"/>
      <c r="Y68" s="148"/>
      <c r="Z68" s="148"/>
      <c r="AA68" s="148"/>
      <c r="AB68" s="148"/>
      <c r="AC68" s="148"/>
      <c r="AD68" s="148"/>
      <c r="AE68" s="148"/>
      <c r="AF68" s="148"/>
      <c r="AG68" s="148"/>
      <c r="AH68" s="148"/>
      <c r="AI68" s="148"/>
      <c r="AJ68" s="148"/>
      <c r="AK68" s="148"/>
      <c r="AL68" s="148"/>
      <c r="AM68" s="148"/>
      <c r="AN68" s="148"/>
      <c r="AO68" s="148"/>
      <c r="AP68" s="148"/>
      <c r="AQ68" s="148"/>
    </row>
    <row r="69" spans="2:43" s="43" customFormat="1" outlineLevel="1">
      <c r="B69" s="147" t="s">
        <v>32</v>
      </c>
      <c r="C69" s="135" t="s">
        <v>33</v>
      </c>
      <c r="D69" s="135"/>
      <c r="O69" s="44"/>
      <c r="P69" s="45"/>
      <c r="Q69" s="46"/>
      <c r="R69" s="45"/>
      <c r="S69" s="45"/>
      <c r="T69" s="45"/>
      <c r="U69" s="45"/>
      <c r="V69" s="45"/>
      <c r="W69" s="45"/>
      <c r="X69" s="149">
        <f>SUM(X71:X72)</f>
        <v>195913.5</v>
      </c>
      <c r="Y69" s="149">
        <f t="shared" ref="Y69:AQ69" si="6">SUM(Y71:Y72)</f>
        <v>203489.8</v>
      </c>
      <c r="Z69" s="149">
        <f t="shared" si="6"/>
        <v>204462.59999999998</v>
      </c>
      <c r="AA69" s="149">
        <f t="shared" si="6"/>
        <v>216867.1</v>
      </c>
      <c r="AB69" s="149">
        <f t="shared" si="6"/>
        <v>232614.09999999998</v>
      </c>
      <c r="AC69" s="149">
        <f t="shared" si="6"/>
        <v>245788.2</v>
      </c>
      <c r="AD69" s="149">
        <f t="shared" si="6"/>
        <v>256526.4</v>
      </c>
      <c r="AE69" s="149">
        <f t="shared" si="6"/>
        <v>247818.09999999998</v>
      </c>
      <c r="AF69" s="149">
        <f t="shared" si="6"/>
        <v>234648.39999999997</v>
      </c>
      <c r="AG69" s="149">
        <f t="shared" si="6"/>
        <v>243634.7</v>
      </c>
      <c r="AH69" s="149">
        <f t="shared" si="6"/>
        <v>249686.49999999997</v>
      </c>
      <c r="AI69" s="149">
        <f t="shared" si="6"/>
        <v>258442.40000000002</v>
      </c>
      <c r="AJ69" s="149">
        <f t="shared" si="6"/>
        <v>256961.80000000002</v>
      </c>
      <c r="AK69" s="149">
        <f t="shared" si="6"/>
        <v>258825.40000000002</v>
      </c>
      <c r="AL69" s="149">
        <f t="shared" si="6"/>
        <v>265470.69999999995</v>
      </c>
      <c r="AM69" s="149">
        <f t="shared" si="6"/>
        <v>277968</v>
      </c>
      <c r="AN69" s="149">
        <f t="shared" si="6"/>
        <v>285924.5</v>
      </c>
      <c r="AO69" s="149">
        <f t="shared" si="6"/>
        <v>295437.89999999997</v>
      </c>
      <c r="AP69" s="149">
        <f t="shared" si="6"/>
        <v>293415.60000000003</v>
      </c>
      <c r="AQ69" s="149">
        <f t="shared" si="6"/>
        <v>301077.5</v>
      </c>
    </row>
    <row r="70" spans="2:43" s="43" customFormat="1" ht="5.0999999999999996" customHeight="1" outlineLevel="1">
      <c r="B70" s="135"/>
      <c r="C70" s="135"/>
      <c r="D70" s="135"/>
      <c r="O70" s="44"/>
      <c r="P70" s="45"/>
      <c r="Q70" s="46"/>
      <c r="R70" s="45"/>
      <c r="S70" s="45"/>
      <c r="T70" s="45"/>
      <c r="U70" s="45"/>
      <c r="V70" s="45"/>
      <c r="W70" s="45"/>
      <c r="X70" s="148"/>
      <c r="Y70" s="148"/>
      <c r="Z70" s="148"/>
      <c r="AA70" s="148"/>
      <c r="AB70" s="148"/>
      <c r="AC70" s="148"/>
      <c r="AD70" s="148"/>
      <c r="AE70" s="148"/>
      <c r="AF70" s="148"/>
      <c r="AG70" s="148"/>
      <c r="AH70" s="148"/>
      <c r="AI70" s="148"/>
      <c r="AJ70" s="148"/>
      <c r="AK70" s="148"/>
      <c r="AL70" s="148"/>
      <c r="AM70" s="148"/>
      <c r="AN70" s="148"/>
      <c r="AO70" s="148"/>
      <c r="AP70" s="148"/>
      <c r="AQ70" s="148"/>
    </row>
    <row r="71" spans="2:43" s="43" customFormat="1" outlineLevel="1">
      <c r="B71" s="135"/>
      <c r="C71" s="135" t="s">
        <v>34</v>
      </c>
      <c r="D71" s="135"/>
      <c r="O71" s="44"/>
      <c r="P71" s="45"/>
      <c r="Q71" s="46"/>
      <c r="R71" s="45"/>
      <c r="S71" s="45"/>
      <c r="T71" s="45"/>
      <c r="U71" s="45"/>
      <c r="V71" s="45"/>
      <c r="W71" s="45"/>
      <c r="X71" s="149">
        <v>125487.7</v>
      </c>
      <c r="Y71" s="149">
        <v>129338.09999999999</v>
      </c>
      <c r="Z71" s="149">
        <v>132101.5</v>
      </c>
      <c r="AA71" s="149">
        <v>140147</v>
      </c>
      <c r="AB71" s="149">
        <v>153804.69999999998</v>
      </c>
      <c r="AC71" s="149">
        <v>166110.9</v>
      </c>
      <c r="AD71" s="149">
        <v>173665.5</v>
      </c>
      <c r="AE71" s="149">
        <v>172650.5</v>
      </c>
      <c r="AF71" s="149">
        <v>165921.29999999999</v>
      </c>
      <c r="AG71" s="149">
        <v>169602.4</v>
      </c>
      <c r="AH71" s="149">
        <v>174294.09999999998</v>
      </c>
      <c r="AI71" s="149">
        <v>179646.7</v>
      </c>
      <c r="AJ71" s="149">
        <v>175067.80000000002</v>
      </c>
      <c r="AK71" s="149">
        <v>178984.6</v>
      </c>
      <c r="AL71" s="149">
        <v>183577.9</v>
      </c>
      <c r="AM71" s="149">
        <v>194984.19999999998</v>
      </c>
      <c r="AN71" s="149">
        <v>204442.2</v>
      </c>
      <c r="AO71" s="149">
        <v>214417.69999999998</v>
      </c>
      <c r="AP71" s="149">
        <v>216657.90000000002</v>
      </c>
      <c r="AQ71" s="149">
        <v>225595.5</v>
      </c>
    </row>
    <row r="72" spans="2:43" s="43" customFormat="1" outlineLevel="1">
      <c r="B72" s="135"/>
      <c r="C72" s="135" t="s">
        <v>35</v>
      </c>
      <c r="D72" s="135"/>
      <c r="O72" s="44"/>
      <c r="P72" s="45"/>
      <c r="Q72" s="46"/>
      <c r="R72" s="45"/>
      <c r="S72" s="45"/>
      <c r="T72" s="45"/>
      <c r="U72" s="45"/>
      <c r="V72" s="45"/>
      <c r="W72" s="45"/>
      <c r="X72" s="149">
        <v>70425.799999999988</v>
      </c>
      <c r="Y72" s="149">
        <v>74151.700000000012</v>
      </c>
      <c r="Z72" s="149">
        <v>72361.099999999991</v>
      </c>
      <c r="AA72" s="149">
        <v>76720.100000000006</v>
      </c>
      <c r="AB72" s="149">
        <v>78809.399999999994</v>
      </c>
      <c r="AC72" s="149">
        <v>79677.3</v>
      </c>
      <c r="AD72" s="149">
        <v>82860.899999999994</v>
      </c>
      <c r="AE72" s="149">
        <v>75167.599999999991</v>
      </c>
      <c r="AF72" s="149">
        <v>68727.099999999991</v>
      </c>
      <c r="AG72" s="149">
        <v>74032.3</v>
      </c>
      <c r="AH72" s="149">
        <v>75392.399999999994</v>
      </c>
      <c r="AI72" s="149">
        <v>78795.7</v>
      </c>
      <c r="AJ72" s="149">
        <v>81894</v>
      </c>
      <c r="AK72" s="149">
        <v>79840.800000000003</v>
      </c>
      <c r="AL72" s="149">
        <v>81892.799999999988</v>
      </c>
      <c r="AM72" s="149">
        <v>82983.8</v>
      </c>
      <c r="AN72" s="149">
        <v>81482.299999999988</v>
      </c>
      <c r="AO72" s="149">
        <v>81020.2</v>
      </c>
      <c r="AP72" s="149">
        <v>76757.7</v>
      </c>
      <c r="AQ72" s="149">
        <v>75482</v>
      </c>
    </row>
    <row r="73" spans="2:43" s="43" customFormat="1" ht="5.0999999999999996" customHeight="1" outlineLevel="1">
      <c r="B73" s="135"/>
      <c r="C73" s="135"/>
      <c r="D73" s="135"/>
      <c r="O73" s="44"/>
      <c r="P73" s="45"/>
      <c r="Q73" s="46"/>
      <c r="R73" s="45"/>
      <c r="S73" s="45"/>
      <c r="T73" s="45"/>
      <c r="U73" s="45"/>
      <c r="V73" s="45"/>
      <c r="W73" s="45"/>
      <c r="X73" s="149"/>
      <c r="Y73" s="149"/>
      <c r="Z73" s="149"/>
      <c r="AA73" s="149"/>
      <c r="AB73" s="149"/>
      <c r="AC73" s="149"/>
      <c r="AD73" s="149"/>
      <c r="AE73" s="149"/>
      <c r="AF73" s="149"/>
      <c r="AG73" s="149"/>
      <c r="AH73" s="149"/>
      <c r="AI73" s="149"/>
      <c r="AJ73" s="149"/>
      <c r="AK73" s="149"/>
      <c r="AL73" s="149"/>
      <c r="AM73" s="149"/>
      <c r="AN73" s="149"/>
      <c r="AO73" s="149"/>
      <c r="AP73" s="149"/>
      <c r="AQ73" s="149"/>
    </row>
    <row r="74" spans="2:43" s="43" customFormat="1" outlineLevel="1">
      <c r="B74" s="147" t="s">
        <v>36</v>
      </c>
      <c r="C74" s="135" t="s">
        <v>37</v>
      </c>
      <c r="D74" s="135"/>
      <c r="O74" s="44"/>
      <c r="P74" s="45"/>
      <c r="Q74" s="46"/>
      <c r="R74" s="45"/>
      <c r="S74" s="45"/>
      <c r="T74" s="45"/>
      <c r="U74" s="45"/>
      <c r="V74" s="45"/>
      <c r="W74" s="45"/>
      <c r="X74" s="149">
        <v>202959.9</v>
      </c>
      <c r="Y74" s="149">
        <v>210967.4</v>
      </c>
      <c r="Z74" s="149">
        <v>212325.3</v>
      </c>
      <c r="AA74" s="149">
        <v>225667.1</v>
      </c>
      <c r="AB74" s="149">
        <v>242176.3</v>
      </c>
      <c r="AC74" s="149">
        <v>255337.4</v>
      </c>
      <c r="AD74" s="149">
        <v>266351.80000000005</v>
      </c>
      <c r="AE74" s="149">
        <v>257471.79999999996</v>
      </c>
      <c r="AF74" s="149">
        <v>243082.9</v>
      </c>
      <c r="AG74" s="149">
        <v>252322.6</v>
      </c>
      <c r="AH74" s="149">
        <v>258315.3</v>
      </c>
      <c r="AI74" s="149">
        <v>266037.59999999998</v>
      </c>
      <c r="AJ74" s="149">
        <v>264183.40000000002</v>
      </c>
      <c r="AK74" s="149">
        <v>266194.3</v>
      </c>
      <c r="AL74" s="149">
        <v>273208</v>
      </c>
      <c r="AM74" s="149">
        <v>285688.60000000003</v>
      </c>
      <c r="AN74" s="149">
        <v>293724.2</v>
      </c>
      <c r="AO74" s="149">
        <v>303562.8</v>
      </c>
      <c r="AP74" s="149">
        <v>301879.09999999998</v>
      </c>
      <c r="AQ74" s="149">
        <v>308832.7</v>
      </c>
    </row>
    <row r="75" spans="2:43" s="43" customFormat="1" ht="5.0999999999999996" customHeight="1" outlineLevel="1">
      <c r="B75" s="135"/>
      <c r="C75" s="135"/>
      <c r="D75" s="135"/>
      <c r="O75" s="44"/>
      <c r="P75" s="45"/>
      <c r="Q75" s="46"/>
      <c r="R75" s="45"/>
      <c r="S75" s="45"/>
      <c r="T75" s="45"/>
      <c r="U75" s="45"/>
      <c r="V75" s="45"/>
      <c r="W75" s="45"/>
      <c r="X75" s="149"/>
      <c r="Y75" s="149"/>
      <c r="Z75" s="149"/>
      <c r="AA75" s="149"/>
      <c r="AB75" s="149"/>
      <c r="AC75" s="149"/>
      <c r="AD75" s="149"/>
      <c r="AE75" s="149"/>
      <c r="AF75" s="149"/>
      <c r="AG75" s="149"/>
      <c r="AH75" s="149"/>
      <c r="AI75" s="149"/>
      <c r="AJ75" s="149"/>
      <c r="AK75" s="149"/>
      <c r="AL75" s="149"/>
      <c r="AM75" s="149"/>
      <c r="AN75" s="149"/>
      <c r="AO75" s="149"/>
      <c r="AP75" s="149"/>
      <c r="AQ75" s="149"/>
    </row>
    <row r="76" spans="2:43" s="43" customFormat="1" outlineLevel="1">
      <c r="B76" s="147" t="s">
        <v>38</v>
      </c>
      <c r="C76" s="135" t="s">
        <v>39</v>
      </c>
      <c r="D76" s="135"/>
      <c r="O76" s="44"/>
      <c r="P76" s="45"/>
      <c r="Q76" s="46"/>
      <c r="R76" s="45"/>
      <c r="S76" s="45"/>
      <c r="T76" s="45"/>
      <c r="U76" s="45"/>
      <c r="V76" s="45"/>
      <c r="W76" s="45"/>
      <c r="X76" s="149">
        <v>214553.69999999998</v>
      </c>
      <c r="Y76" s="149">
        <v>223060.4</v>
      </c>
      <c r="Z76" s="149">
        <v>224506.6</v>
      </c>
      <c r="AA76" s="149">
        <v>238291.9</v>
      </c>
      <c r="AB76" s="149">
        <v>255240.80000000002</v>
      </c>
      <c r="AC76" s="149">
        <v>269614.3</v>
      </c>
      <c r="AD76" s="149">
        <v>285075.7</v>
      </c>
      <c r="AE76" s="149">
        <v>276533.90000000002</v>
      </c>
      <c r="AF76" s="149">
        <v>261997.2</v>
      </c>
      <c r="AG76" s="149">
        <v>271944.3</v>
      </c>
      <c r="AH76" s="149">
        <v>278766</v>
      </c>
      <c r="AI76" s="149">
        <v>286849.60000000003</v>
      </c>
      <c r="AJ76" s="149">
        <v>286732.7</v>
      </c>
      <c r="AK76" s="149">
        <v>288762.40000000002</v>
      </c>
      <c r="AL76" s="149">
        <v>296496.89999999997</v>
      </c>
      <c r="AM76" s="149">
        <v>309667.5</v>
      </c>
      <c r="AN76" s="149">
        <v>318106.60000000003</v>
      </c>
      <c r="AO76" s="149">
        <v>328684</v>
      </c>
      <c r="AP76" s="149">
        <v>327347.20000000001</v>
      </c>
      <c r="AQ76" s="149">
        <v>333281.2</v>
      </c>
    </row>
    <row r="77" spans="2:43" s="43" customFormat="1" outlineLevel="1">
      <c r="B77" s="147"/>
      <c r="C77" s="135"/>
      <c r="D77" s="135"/>
      <c r="O77" s="44"/>
      <c r="P77" s="45"/>
      <c r="Q77" s="46"/>
      <c r="R77" s="45"/>
      <c r="S77" s="45"/>
      <c r="T77" s="45"/>
      <c r="U77" s="45"/>
      <c r="V77" s="45"/>
      <c r="W77" s="45"/>
      <c r="X77" s="149"/>
      <c r="Y77" s="148"/>
      <c r="Z77" s="149"/>
      <c r="AA77" s="148"/>
      <c r="AB77" s="149"/>
      <c r="AC77" s="148"/>
      <c r="AD77" s="146"/>
      <c r="AE77" s="67"/>
      <c r="AF77" s="146"/>
      <c r="AG77" s="146"/>
      <c r="AH77" s="146"/>
      <c r="AJ77" s="47"/>
      <c r="AK77" s="47"/>
      <c r="AL77" s="47"/>
      <c r="AM77" s="47"/>
      <c r="AN77" s="47"/>
      <c r="AO77" s="47"/>
      <c r="AP77" s="47"/>
      <c r="AQ77" s="47"/>
    </row>
    <row r="78" spans="2:43" s="43" customFormat="1" outlineLevel="1">
      <c r="B78" s="135" t="s">
        <v>40</v>
      </c>
      <c r="D78" s="135"/>
      <c r="O78" s="44"/>
      <c r="P78" s="45"/>
      <c r="Q78" s="46"/>
      <c r="R78" s="45"/>
      <c r="S78" s="45"/>
      <c r="T78" s="45"/>
      <c r="U78" s="45"/>
      <c r="V78" s="45"/>
      <c r="W78" s="45"/>
      <c r="X78" s="149"/>
      <c r="Y78" s="148"/>
      <c r="Z78" s="149"/>
      <c r="AA78" s="148"/>
      <c r="AB78" s="149"/>
      <c r="AC78" s="148"/>
      <c r="AD78" s="146"/>
      <c r="AE78" s="67"/>
      <c r="AF78" s="146"/>
      <c r="AG78" s="146"/>
      <c r="AH78" s="146"/>
      <c r="AJ78" s="47"/>
      <c r="AK78" s="47"/>
      <c r="AL78" s="47"/>
      <c r="AM78" s="47"/>
      <c r="AN78" s="47"/>
      <c r="AO78" s="47"/>
      <c r="AP78" s="47"/>
      <c r="AQ78" s="47"/>
    </row>
    <row r="79" spans="2:43" s="43" customFormat="1" ht="6" customHeight="1" outlineLevel="1">
      <c r="B79" s="135"/>
      <c r="C79" s="135"/>
      <c r="D79" s="135"/>
      <c r="O79" s="44"/>
      <c r="P79" s="45"/>
      <c r="Q79" s="46"/>
      <c r="R79" s="45"/>
      <c r="S79" s="45"/>
      <c r="T79" s="45"/>
      <c r="U79" s="45"/>
      <c r="V79" s="45"/>
      <c r="W79" s="45"/>
      <c r="X79" s="149"/>
      <c r="Y79" s="148"/>
      <c r="Z79" s="149"/>
      <c r="AA79" s="148"/>
      <c r="AB79" s="149"/>
      <c r="AC79" s="148"/>
      <c r="AD79" s="146"/>
      <c r="AE79" s="67"/>
      <c r="AF79" s="146"/>
      <c r="AG79" s="146"/>
      <c r="AH79" s="146"/>
      <c r="AJ79" s="47"/>
      <c r="AK79" s="47"/>
      <c r="AL79" s="47"/>
      <c r="AM79" s="47"/>
      <c r="AN79" s="47"/>
      <c r="AO79" s="47"/>
      <c r="AP79" s="47"/>
      <c r="AQ79" s="47"/>
    </row>
    <row r="80" spans="2:43" s="43" customFormat="1" outlineLevel="1">
      <c r="B80" s="150" t="s">
        <v>41</v>
      </c>
      <c r="C80" s="151" t="s">
        <v>42</v>
      </c>
      <c r="D80" s="151"/>
      <c r="O80" s="44"/>
      <c r="P80" s="45"/>
      <c r="Q80" s="46"/>
      <c r="R80" s="45"/>
      <c r="S80" s="45"/>
      <c r="T80" s="45"/>
      <c r="U80" s="45"/>
      <c r="V80" s="45"/>
      <c r="W80" s="45"/>
      <c r="X80" s="152">
        <f>X69/X67</f>
        <v>0.25837684617021206</v>
      </c>
      <c r="Y80" s="152">
        <f t="shared" ref="Y80:AQ80" si="7">Y69/Y67</f>
        <v>0.25872711353063194</v>
      </c>
      <c r="Z80" s="152">
        <f t="shared" si="7"/>
        <v>0.25414606828577119</v>
      </c>
      <c r="AA80" s="152">
        <f t="shared" si="7"/>
        <v>0.25453745070553796</v>
      </c>
      <c r="AB80" s="152">
        <f t="shared" si="7"/>
        <v>0.25895672681260445</v>
      </c>
      <c r="AC80" s="152">
        <f t="shared" si="7"/>
        <v>0.25987888457782898</v>
      </c>
      <c r="AD80" s="164">
        <f t="shared" si="7"/>
        <v>0.26119054326151336</v>
      </c>
      <c r="AE80" s="612">
        <f t="shared" si="7"/>
        <v>0.24178499284870175</v>
      </c>
      <c r="AF80" s="164">
        <f t="shared" si="7"/>
        <v>0.2313122951843318</v>
      </c>
      <c r="AG80" s="164">
        <f t="shared" si="7"/>
        <v>0.2332300240849414</v>
      </c>
      <c r="AH80" s="164">
        <f t="shared" si="7"/>
        <v>0.23437902428049692</v>
      </c>
      <c r="AI80" s="164">
        <f t="shared" si="7"/>
        <v>0.23550532217265835</v>
      </c>
      <c r="AJ80" s="164">
        <f t="shared" si="7"/>
        <v>0.23246327427601921</v>
      </c>
      <c r="AK80" s="164">
        <f t="shared" si="7"/>
        <v>0.23036049453024773</v>
      </c>
      <c r="AL80" s="164">
        <f t="shared" si="7"/>
        <v>0.23034895907990338</v>
      </c>
      <c r="AM80" s="164">
        <f t="shared" si="7"/>
        <v>0.23543144348852127</v>
      </c>
      <c r="AN80" s="164">
        <f t="shared" si="7"/>
        <v>0.23448325341089118</v>
      </c>
      <c r="AO80" s="164">
        <f t="shared" si="7"/>
        <v>0.23351539213966283</v>
      </c>
      <c r="AP80" s="164">
        <f t="shared" si="7"/>
        <v>0.22761952622558879</v>
      </c>
      <c r="AQ80" s="164">
        <f t="shared" si="7"/>
        <v>0.23383072324649826</v>
      </c>
    </row>
    <row r="81" spans="2:43" s="43" customFormat="1" ht="5.0999999999999996" customHeight="1" outlineLevel="1">
      <c r="B81" s="135"/>
      <c r="C81" s="135"/>
      <c r="D81" s="135"/>
      <c r="O81" s="44"/>
      <c r="P81" s="45"/>
      <c r="Q81" s="46"/>
      <c r="R81" s="45"/>
      <c r="S81" s="45"/>
      <c r="T81" s="45"/>
      <c r="U81" s="45"/>
      <c r="V81" s="45"/>
      <c r="W81" s="45"/>
      <c r="X81" s="149"/>
      <c r="Y81" s="153"/>
      <c r="Z81" s="153"/>
      <c r="AA81" s="153"/>
      <c r="AB81" s="153"/>
      <c r="AC81" s="153"/>
      <c r="AD81" s="160"/>
      <c r="AE81" s="613"/>
      <c r="AF81" s="160"/>
      <c r="AG81" s="146"/>
      <c r="AH81" s="146"/>
      <c r="AI81" s="146"/>
      <c r="AJ81" s="146"/>
      <c r="AK81" s="146"/>
      <c r="AL81" s="146"/>
      <c r="AM81" s="146"/>
      <c r="AN81" s="146"/>
      <c r="AO81" s="146"/>
      <c r="AP81" s="146"/>
      <c r="AQ81" s="146"/>
    </row>
    <row r="82" spans="2:43" s="43" customFormat="1" outlineLevel="1">
      <c r="B82" s="147" t="s">
        <v>43</v>
      </c>
      <c r="C82" s="135" t="s">
        <v>44</v>
      </c>
      <c r="D82" s="135"/>
      <c r="O82" s="44"/>
      <c r="P82" s="45"/>
      <c r="Q82" s="46"/>
      <c r="R82" s="45"/>
      <c r="S82" s="45"/>
      <c r="T82" s="45"/>
      <c r="U82" s="45"/>
      <c r="V82" s="45"/>
      <c r="W82" s="45"/>
      <c r="X82" s="153">
        <f>X76/X67</f>
        <v>0.28296012444343965</v>
      </c>
      <c r="Y82" s="153">
        <f t="shared" ref="Y82:AQ82" si="8">Y76/Y67</f>
        <v>0.28361015360469255</v>
      </c>
      <c r="Z82" s="153">
        <f t="shared" si="8"/>
        <v>0.27906066779061955</v>
      </c>
      <c r="AA82" s="153">
        <f t="shared" si="8"/>
        <v>0.27968379136244725</v>
      </c>
      <c r="AB82" s="153">
        <f t="shared" si="8"/>
        <v>0.28414581109670745</v>
      </c>
      <c r="AC82" s="153">
        <f t="shared" si="8"/>
        <v>0.28507090067884527</v>
      </c>
      <c r="AD82" s="160">
        <f t="shared" si="8"/>
        <v>0.29025892443684631</v>
      </c>
      <c r="AE82" s="613">
        <f t="shared" si="8"/>
        <v>0.26980170953583948</v>
      </c>
      <c r="AF82" s="160">
        <f t="shared" si="8"/>
        <v>0.25827226464731246</v>
      </c>
      <c r="AG82" s="160">
        <f t="shared" si="8"/>
        <v>0.26033063286454072</v>
      </c>
      <c r="AH82" s="160">
        <f t="shared" si="8"/>
        <v>0.2616757537254798</v>
      </c>
      <c r="AI82" s="160">
        <f t="shared" si="8"/>
        <v>0.26139134856779761</v>
      </c>
      <c r="AJ82" s="160">
        <f t="shared" si="8"/>
        <v>0.25939584126513565</v>
      </c>
      <c r="AK82" s="160">
        <f t="shared" si="8"/>
        <v>0.25700510562619128</v>
      </c>
      <c r="AL82" s="160">
        <f t="shared" si="8"/>
        <v>0.25727039664045115</v>
      </c>
      <c r="AM82" s="160">
        <f t="shared" si="8"/>
        <v>0.26228007010332721</v>
      </c>
      <c r="AN82" s="160">
        <f t="shared" si="8"/>
        <v>0.26087540766697853</v>
      </c>
      <c r="AO82" s="160">
        <f t="shared" si="8"/>
        <v>0.25979325316769764</v>
      </c>
      <c r="AP82" s="160">
        <f t="shared" si="8"/>
        <v>0.25394223952398254</v>
      </c>
      <c r="AQ82" s="160">
        <f t="shared" si="8"/>
        <v>0.25884160736176182</v>
      </c>
    </row>
    <row r="83" spans="2:43" s="43" customFormat="1" ht="5.0999999999999996" customHeight="1" outlineLevel="1">
      <c r="B83" s="135"/>
      <c r="C83" s="135"/>
      <c r="D83" s="135"/>
      <c r="O83" s="44"/>
      <c r="P83" s="45"/>
      <c r="Q83" s="46"/>
      <c r="R83" s="45"/>
      <c r="S83" s="45"/>
      <c r="T83" s="45"/>
      <c r="U83" s="45"/>
      <c r="V83" s="45"/>
      <c r="W83" s="45"/>
      <c r="X83" s="149"/>
      <c r="Y83" s="153"/>
      <c r="Z83" s="153"/>
      <c r="AA83" s="153"/>
      <c r="AB83" s="153"/>
      <c r="AC83" s="153"/>
      <c r="AD83" s="160"/>
      <c r="AE83" s="613"/>
      <c r="AF83" s="160"/>
      <c r="AG83" s="146"/>
      <c r="AH83" s="146"/>
      <c r="AI83" s="146"/>
      <c r="AJ83" s="146"/>
      <c r="AK83" s="146"/>
      <c r="AL83" s="146"/>
      <c r="AM83" s="146"/>
      <c r="AN83" s="146"/>
      <c r="AO83" s="146"/>
      <c r="AP83" s="146"/>
      <c r="AQ83" s="146"/>
    </row>
    <row r="84" spans="2:43" s="43" customFormat="1" outlineLevel="1">
      <c r="B84" s="147" t="s">
        <v>45</v>
      </c>
      <c r="C84" s="135" t="s">
        <v>46</v>
      </c>
      <c r="D84" s="135"/>
      <c r="O84" s="44"/>
      <c r="P84" s="45"/>
      <c r="Q84" s="46"/>
      <c r="R84" s="45"/>
      <c r="S84" s="45"/>
      <c r="T84" s="45"/>
      <c r="U84" s="45"/>
      <c r="V84" s="45"/>
      <c r="W84" s="45"/>
      <c r="X84" s="153">
        <f>X76/X65</f>
        <v>0.33490912997275285</v>
      </c>
      <c r="Y84" s="153">
        <f t="shared" ref="Y84:AQ84" si="9">Y76/Y65</f>
        <v>0.33698818161028904</v>
      </c>
      <c r="Z84" s="153">
        <f t="shared" si="9"/>
        <v>0.33074281568317532</v>
      </c>
      <c r="AA84" s="153">
        <f t="shared" si="9"/>
        <v>0.33153704500553832</v>
      </c>
      <c r="AB84" s="153">
        <f t="shared" si="9"/>
        <v>0.33675252618883889</v>
      </c>
      <c r="AC84" s="153">
        <f t="shared" si="9"/>
        <v>0.3380860973270135</v>
      </c>
      <c r="AD84" s="160">
        <f t="shared" si="9"/>
        <v>0.34524281283706015</v>
      </c>
      <c r="AE84" s="613">
        <f t="shared" si="9"/>
        <v>0.32390637996284949</v>
      </c>
      <c r="AF84" s="160">
        <f t="shared" si="9"/>
        <v>0.31381156595070275</v>
      </c>
      <c r="AG84" s="160">
        <f t="shared" si="9"/>
        <v>0.31539937159553555</v>
      </c>
      <c r="AH84" s="160">
        <f t="shared" si="9"/>
        <v>0.31502568221091631</v>
      </c>
      <c r="AI84" s="160">
        <f t="shared" si="9"/>
        <v>0.31508102424461193</v>
      </c>
      <c r="AJ84" s="160">
        <f t="shared" si="9"/>
        <v>0.31154944048353117</v>
      </c>
      <c r="AK84" s="160">
        <f t="shared" si="9"/>
        <v>0.30905611452032017</v>
      </c>
      <c r="AL84" s="160">
        <f t="shared" si="9"/>
        <v>0.30905785753045145</v>
      </c>
      <c r="AM84" s="160">
        <f t="shared" si="9"/>
        <v>0.3147742411605654</v>
      </c>
      <c r="AN84" s="160">
        <f t="shared" si="9"/>
        <v>0.31289837371518159</v>
      </c>
      <c r="AO84" s="160">
        <f t="shared" si="9"/>
        <v>0.31048204154401876</v>
      </c>
      <c r="AP84" s="160">
        <f t="shared" si="9"/>
        <v>0.30312750597136429</v>
      </c>
      <c r="AQ84" s="160">
        <f t="shared" si="9"/>
        <v>0.31127048577465943</v>
      </c>
    </row>
    <row r="85" spans="2:43" s="43" customFormat="1" ht="5.0999999999999996" customHeight="1" outlineLevel="1">
      <c r="B85" s="140"/>
      <c r="C85" s="140"/>
      <c r="D85" s="140"/>
      <c r="E85" s="51"/>
      <c r="F85" s="51"/>
      <c r="G85" s="51"/>
      <c r="H85" s="51"/>
      <c r="I85" s="51"/>
      <c r="J85" s="51"/>
      <c r="K85" s="51"/>
      <c r="L85" s="51"/>
      <c r="M85" s="51"/>
      <c r="N85" s="51"/>
      <c r="O85" s="52"/>
      <c r="P85" s="53"/>
      <c r="Q85" s="53"/>
      <c r="R85" s="53"/>
      <c r="S85" s="53"/>
      <c r="T85" s="53"/>
      <c r="U85" s="53"/>
      <c r="V85" s="53"/>
      <c r="W85" s="53"/>
      <c r="X85" s="161"/>
      <c r="Y85" s="161"/>
      <c r="Z85" s="161"/>
      <c r="AA85" s="161"/>
      <c r="AB85" s="161"/>
      <c r="AC85" s="161"/>
      <c r="AD85" s="161"/>
      <c r="AE85" s="161"/>
      <c r="AF85" s="161"/>
      <c r="AG85" s="161"/>
      <c r="AH85" s="161"/>
      <c r="AI85" s="161"/>
      <c r="AJ85" s="161"/>
      <c r="AK85" s="161"/>
      <c r="AL85" s="161"/>
      <c r="AM85" s="161"/>
      <c r="AN85" s="161"/>
      <c r="AO85" s="161"/>
      <c r="AP85" s="161"/>
      <c r="AQ85" s="161"/>
    </row>
    <row r="86" spans="2:43" s="43" customFormat="1" ht="6" customHeight="1" outlineLevel="1">
      <c r="B86" s="135"/>
      <c r="C86" s="135"/>
      <c r="D86" s="135"/>
      <c r="O86" s="44"/>
      <c r="P86" s="45"/>
      <c r="Q86" s="46"/>
      <c r="R86" s="45"/>
      <c r="S86" s="45"/>
      <c r="T86" s="45"/>
      <c r="U86" s="45"/>
      <c r="V86" s="45"/>
      <c r="W86" s="45"/>
      <c r="X86" s="148"/>
      <c r="Y86" s="148"/>
      <c r="Z86" s="148"/>
      <c r="AA86" s="148"/>
      <c r="AB86" s="148"/>
      <c r="AC86" s="148"/>
      <c r="AD86" s="148"/>
      <c r="AE86" s="67"/>
      <c r="AF86" s="148"/>
      <c r="AG86" s="67"/>
      <c r="AH86" s="47"/>
      <c r="AJ86" s="47"/>
      <c r="AK86" s="47"/>
      <c r="AL86" s="47"/>
      <c r="AM86" s="47"/>
      <c r="AN86" s="47"/>
    </row>
    <row r="87" spans="2:43" s="43" customFormat="1" ht="30" customHeight="1" outlineLevel="1">
      <c r="B87" s="602" t="s">
        <v>47</v>
      </c>
      <c r="C87" s="603"/>
      <c r="D87" s="603"/>
      <c r="E87" s="603"/>
      <c r="F87" s="603"/>
      <c r="G87" s="603"/>
      <c r="H87" s="603"/>
      <c r="I87" s="603"/>
      <c r="J87" s="603"/>
      <c r="K87" s="603"/>
      <c r="L87" s="603"/>
      <c r="M87" s="603"/>
      <c r="N87" s="603"/>
      <c r="O87" s="603"/>
      <c r="P87" s="603"/>
      <c r="Q87" s="603"/>
      <c r="R87" s="603"/>
      <c r="S87" s="603"/>
      <c r="T87" s="603"/>
      <c r="U87" s="603"/>
      <c r="V87" s="603"/>
      <c r="W87" s="603"/>
      <c r="X87" s="603"/>
      <c r="Y87" s="603"/>
      <c r="Z87" s="603"/>
      <c r="AA87" s="603"/>
      <c r="AB87" s="603"/>
      <c r="AC87" s="603"/>
      <c r="AD87" s="603"/>
      <c r="AE87" s="603"/>
      <c r="AF87" s="603"/>
      <c r="AG87" s="67"/>
      <c r="AH87" s="47" t="s">
        <v>234</v>
      </c>
      <c r="AJ87" s="47"/>
    </row>
    <row r="88" spans="2:43">
      <c r="B88" s="105"/>
      <c r="C88" s="119"/>
      <c r="F88" s="122"/>
      <c r="G88" s="122"/>
      <c r="H88" s="104"/>
      <c r="I88" s="122"/>
      <c r="K88" s="105"/>
      <c r="O88" s="121"/>
      <c r="P88" s="121"/>
      <c r="Q88" s="121"/>
      <c r="R88" s="117"/>
      <c r="S88" s="117"/>
      <c r="T88" s="117"/>
      <c r="U88" s="117"/>
      <c r="V88" s="117"/>
      <c r="W88" s="117"/>
      <c r="X88" s="120"/>
      <c r="Y88" s="120"/>
      <c r="AA88" s="120"/>
      <c r="AB88" s="120"/>
      <c r="AC88" s="120"/>
      <c r="AE88" s="110"/>
      <c r="AG88" s="110"/>
    </row>
    <row r="89" spans="2:43">
      <c r="B89" s="105"/>
      <c r="C89" s="119"/>
      <c r="F89" s="122"/>
      <c r="G89" s="122"/>
      <c r="H89" s="104"/>
      <c r="I89" s="122"/>
      <c r="K89" s="105"/>
      <c r="O89" s="121"/>
      <c r="P89" s="121"/>
      <c r="Q89" s="121"/>
      <c r="R89" s="117"/>
      <c r="S89" s="117"/>
      <c r="T89" s="117"/>
      <c r="U89" s="117"/>
      <c r="V89" s="117"/>
      <c r="W89" s="117"/>
      <c r="X89" s="120"/>
      <c r="Y89" s="120"/>
      <c r="AA89" s="120"/>
      <c r="AB89" s="120"/>
      <c r="AC89" s="120"/>
      <c r="AE89" s="110"/>
      <c r="AG89" s="110"/>
    </row>
    <row r="90" spans="2:43">
      <c r="B90" s="138" t="s">
        <v>235</v>
      </c>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10"/>
      <c r="AF90" s="139"/>
      <c r="AG90" s="110"/>
    </row>
    <row r="91" spans="2:43">
      <c r="B91" s="140"/>
      <c r="C91" s="141"/>
      <c r="D91" s="141"/>
      <c r="E91" s="141"/>
      <c r="F91" s="141"/>
      <c r="G91" s="141"/>
      <c r="H91" s="141"/>
      <c r="I91" s="141"/>
      <c r="J91" s="141"/>
      <c r="K91" s="141"/>
      <c r="L91" s="141"/>
      <c r="M91" s="141"/>
      <c r="N91" s="141"/>
      <c r="O91" s="142"/>
      <c r="P91" s="142"/>
      <c r="Q91" s="142"/>
      <c r="R91" s="142"/>
      <c r="S91" s="142"/>
      <c r="T91" s="142"/>
      <c r="U91" s="142"/>
      <c r="V91" s="142"/>
      <c r="W91" s="142"/>
      <c r="X91" s="157"/>
      <c r="Y91" s="157"/>
      <c r="Z91" s="157"/>
      <c r="AA91" s="157"/>
      <c r="AB91" s="157"/>
      <c r="AC91" s="157"/>
      <c r="AD91" s="154"/>
      <c r="AE91" s="110"/>
      <c r="AF91" s="154"/>
      <c r="AG91" s="110"/>
      <c r="AI91" s="121"/>
    </row>
    <row r="92" spans="2:43">
      <c r="P92" s="105"/>
      <c r="Q92" s="105"/>
      <c r="R92" s="105"/>
      <c r="S92" s="105"/>
      <c r="T92" s="105"/>
      <c r="U92" s="105"/>
      <c r="V92" s="105"/>
      <c r="W92" s="105"/>
      <c r="X92" s="143">
        <v>2001</v>
      </c>
      <c r="Y92" s="144"/>
      <c r="Z92" s="143">
        <v>2003</v>
      </c>
      <c r="AA92" s="144"/>
      <c r="AB92" s="143">
        <v>2005</v>
      </c>
      <c r="AC92" s="144"/>
      <c r="AD92" s="159">
        <v>2007</v>
      </c>
      <c r="AE92" s="130"/>
      <c r="AF92" s="159">
        <v>2009</v>
      </c>
      <c r="AG92" s="145">
        <v>2010</v>
      </c>
      <c r="AH92" s="145">
        <v>2011</v>
      </c>
      <c r="AI92" s="159">
        <v>2012</v>
      </c>
      <c r="AJ92" s="145">
        <v>2013</v>
      </c>
      <c r="AK92" s="145">
        <v>2014</v>
      </c>
      <c r="AL92" s="145">
        <v>2015</v>
      </c>
      <c r="AM92" s="145">
        <v>2016</v>
      </c>
      <c r="AN92" s="145">
        <v>2017</v>
      </c>
      <c r="AO92" s="145">
        <v>2018</v>
      </c>
      <c r="AP92" s="145">
        <v>2019</v>
      </c>
      <c r="AQ92" s="145">
        <v>2020</v>
      </c>
    </row>
    <row r="93" spans="2:43">
      <c r="P93" s="105"/>
      <c r="Q93" s="105"/>
      <c r="R93" s="105"/>
      <c r="S93" s="105"/>
      <c r="T93" s="105"/>
      <c r="U93" s="105"/>
      <c r="V93" s="105"/>
      <c r="W93" s="105"/>
      <c r="X93" s="106"/>
      <c r="Y93" s="106"/>
      <c r="Z93" s="106"/>
      <c r="AA93" s="106"/>
      <c r="AB93" s="106"/>
      <c r="AC93" s="106"/>
      <c r="AD93" s="106"/>
      <c r="AE93" s="110"/>
      <c r="AF93" s="106"/>
      <c r="AG93" s="110"/>
      <c r="AI93" s="121"/>
      <c r="AJ93" s="120"/>
    </row>
    <row r="94" spans="2:43">
      <c r="B94" s="68" t="s">
        <v>49</v>
      </c>
      <c r="P94" s="107">
        <f t="shared" ref="P94:V94" si="10">SUM(P100:P102)</f>
        <v>673</v>
      </c>
      <c r="Q94" s="107">
        <f t="shared" si="10"/>
        <v>618</v>
      </c>
      <c r="R94" s="107">
        <f t="shared" si="10"/>
        <v>517</v>
      </c>
      <c r="S94" s="107">
        <f t="shared" si="10"/>
        <v>474</v>
      </c>
      <c r="T94" s="107">
        <f t="shared" si="10"/>
        <v>442</v>
      </c>
      <c r="U94" s="107">
        <f t="shared" si="10"/>
        <v>0</v>
      </c>
      <c r="V94" s="107">
        <f t="shared" si="10"/>
        <v>172</v>
      </c>
      <c r="W94" s="116"/>
      <c r="X94" s="108">
        <f>SUM(X100:X102)</f>
        <v>182</v>
      </c>
      <c r="Y94" s="109"/>
      <c r="Z94" s="108">
        <f>SUM(Z100:Z102)</f>
        <v>189</v>
      </c>
      <c r="AA94" s="109"/>
      <c r="AB94" s="108">
        <f>SUM(AB100:AB102)</f>
        <v>201</v>
      </c>
      <c r="AC94" s="108"/>
      <c r="AD94" s="108">
        <f>SUM(AD100:AD102)</f>
        <v>0</v>
      </c>
      <c r="AE94" s="108"/>
      <c r="AF94" s="108">
        <f t="shared" ref="AF94:AP94" si="11">SUM(AF100:AF102)</f>
        <v>0</v>
      </c>
      <c r="AG94" s="108">
        <f t="shared" si="11"/>
        <v>0</v>
      </c>
      <c r="AH94" s="108">
        <f t="shared" si="11"/>
        <v>0</v>
      </c>
      <c r="AI94" s="108">
        <f t="shared" si="11"/>
        <v>0</v>
      </c>
      <c r="AJ94" s="108">
        <f t="shared" si="11"/>
        <v>0</v>
      </c>
      <c r="AK94" s="108">
        <f t="shared" si="11"/>
        <v>0</v>
      </c>
      <c r="AL94" s="108">
        <f t="shared" si="11"/>
        <v>0</v>
      </c>
      <c r="AM94" s="108">
        <f t="shared" si="11"/>
        <v>0</v>
      </c>
      <c r="AN94" s="108">
        <f t="shared" si="11"/>
        <v>0</v>
      </c>
      <c r="AO94" s="108">
        <f t="shared" si="11"/>
        <v>0</v>
      </c>
      <c r="AP94" s="108">
        <f t="shared" si="11"/>
        <v>0</v>
      </c>
      <c r="AQ94" s="108"/>
    </row>
    <row r="95" spans="2:43">
      <c r="B95" s="68"/>
      <c r="P95" s="116"/>
      <c r="Q95" s="116"/>
      <c r="R95" s="116"/>
      <c r="S95" s="116"/>
      <c r="T95" s="116"/>
      <c r="U95" s="116"/>
      <c r="V95" s="116"/>
      <c r="W95" s="116"/>
      <c r="X95" s="109"/>
      <c r="Y95" s="109"/>
      <c r="Z95" s="109"/>
      <c r="AA95" s="109"/>
      <c r="AB95" s="109"/>
      <c r="AC95" s="109"/>
      <c r="AD95" s="109"/>
      <c r="AE95" s="115"/>
      <c r="AF95" s="109"/>
      <c r="AG95" s="115"/>
      <c r="AI95" s="104"/>
      <c r="AK95" s="104"/>
      <c r="AL95" s="104"/>
      <c r="AM95" s="104"/>
      <c r="AN95" s="104"/>
      <c r="AO95" s="104"/>
      <c r="AP95" s="104"/>
      <c r="AQ95" s="104"/>
    </row>
    <row r="96" spans="2:43">
      <c r="B96" s="68"/>
      <c r="P96" s="116"/>
      <c r="Q96" s="116"/>
      <c r="R96" s="116"/>
      <c r="S96" s="116"/>
      <c r="T96" s="116"/>
      <c r="U96" s="116"/>
      <c r="V96" s="116"/>
      <c r="W96" s="116"/>
      <c r="X96" s="109"/>
      <c r="Y96" s="109"/>
      <c r="Z96" s="109"/>
      <c r="AA96" s="109"/>
      <c r="AB96" s="109"/>
      <c r="AC96" s="109"/>
      <c r="AD96" s="109"/>
      <c r="AE96" s="115"/>
      <c r="AF96" s="109"/>
      <c r="AG96" s="115"/>
      <c r="AI96" s="104"/>
      <c r="AK96" s="104"/>
      <c r="AL96" s="104"/>
      <c r="AM96" s="104"/>
      <c r="AN96" s="104"/>
      <c r="AO96" s="104"/>
      <c r="AP96" s="104"/>
      <c r="AQ96" s="104"/>
    </row>
    <row r="97" spans="2:47">
      <c r="B97" s="68"/>
      <c r="P97" s="116"/>
      <c r="Q97" s="116"/>
      <c r="R97" s="116"/>
      <c r="S97" s="116"/>
      <c r="T97" s="116"/>
      <c r="U97" s="116"/>
      <c r="V97" s="116"/>
      <c r="W97" s="116"/>
      <c r="X97" s="109"/>
      <c r="Y97" s="109"/>
      <c r="Z97" s="109"/>
      <c r="AA97" s="109"/>
      <c r="AB97" s="109"/>
      <c r="AC97" s="109"/>
      <c r="AD97" s="109"/>
      <c r="AE97" s="115"/>
      <c r="AF97" s="109"/>
      <c r="AG97" s="115"/>
      <c r="AI97" s="104"/>
      <c r="AK97" s="104"/>
      <c r="AL97" s="104"/>
      <c r="AM97" s="104"/>
      <c r="AN97" s="104"/>
      <c r="AO97" s="104"/>
      <c r="AP97" s="104"/>
      <c r="AQ97" s="104"/>
    </row>
    <row r="98" spans="2:47">
      <c r="B98" s="68"/>
      <c r="C98" s="131" t="s">
        <v>50</v>
      </c>
      <c r="P98" s="116"/>
      <c r="Q98" s="116"/>
      <c r="R98" s="116"/>
      <c r="S98" s="116"/>
      <c r="T98" s="116"/>
      <c r="U98" s="116"/>
      <c r="V98" s="116"/>
      <c r="W98" s="116"/>
      <c r="X98" s="109"/>
      <c r="Y98" s="109"/>
      <c r="Z98" s="109"/>
      <c r="AA98" s="109"/>
      <c r="AB98" s="109"/>
      <c r="AC98" s="109"/>
      <c r="AD98" s="109"/>
      <c r="AE98" s="115"/>
      <c r="AF98" s="109"/>
      <c r="AG98" s="115"/>
      <c r="AI98" s="104"/>
      <c r="AK98" s="104"/>
      <c r="AL98" s="104"/>
      <c r="AM98" s="104"/>
      <c r="AN98" s="104"/>
      <c r="AO98" s="104"/>
      <c r="AP98" s="104"/>
      <c r="AQ98" s="104"/>
    </row>
    <row r="99" spans="2:47">
      <c r="B99" s="68"/>
      <c r="C99" s="131" t="s">
        <v>56</v>
      </c>
      <c r="P99" s="116"/>
      <c r="Q99" s="116"/>
      <c r="R99" s="116"/>
      <c r="S99" s="116"/>
      <c r="T99" s="116"/>
      <c r="U99" s="116"/>
      <c r="V99" s="116"/>
      <c r="W99" s="116"/>
      <c r="X99" s="109"/>
      <c r="Y99" s="109"/>
      <c r="Z99" s="109"/>
      <c r="AA99" s="109"/>
      <c r="AB99" s="109"/>
      <c r="AC99" s="109"/>
      <c r="AD99" s="109"/>
      <c r="AE99" s="115"/>
      <c r="AF99" s="109"/>
      <c r="AG99" s="115"/>
      <c r="AI99" s="104"/>
      <c r="AK99" s="104"/>
      <c r="AL99" s="104"/>
      <c r="AM99" s="104"/>
      <c r="AN99" s="104"/>
      <c r="AO99" s="104"/>
      <c r="AP99" s="104"/>
      <c r="AQ99" s="104"/>
    </row>
    <row r="100" spans="2:47">
      <c r="C100" s="601" t="s">
        <v>236</v>
      </c>
      <c r="P100" s="105">
        <v>144</v>
      </c>
      <c r="Q100" s="105">
        <v>134</v>
      </c>
      <c r="R100" s="105">
        <v>133</v>
      </c>
      <c r="S100" s="105">
        <v>137</v>
      </c>
      <c r="T100" s="105">
        <v>132</v>
      </c>
      <c r="U100" s="105">
        <v>0</v>
      </c>
      <c r="V100" s="132">
        <v>128</v>
      </c>
      <c r="W100" s="105"/>
      <c r="X100" s="106">
        <v>135</v>
      </c>
      <c r="Y100" s="106"/>
      <c r="Z100" s="106">
        <v>140</v>
      </c>
      <c r="AA100" s="106"/>
      <c r="AB100" s="106">
        <v>147</v>
      </c>
      <c r="AC100" s="106"/>
      <c r="AD100" s="106" t="s">
        <v>237</v>
      </c>
      <c r="AE100" s="110"/>
      <c r="AF100" s="106" t="s">
        <v>237</v>
      </c>
      <c r="AG100" s="106" t="s">
        <v>237</v>
      </c>
      <c r="AH100" s="106" t="s">
        <v>237</v>
      </c>
      <c r="AI100" s="106" t="s">
        <v>237</v>
      </c>
      <c r="AJ100" s="106" t="s">
        <v>237</v>
      </c>
      <c r="AK100" s="106" t="s">
        <v>237</v>
      </c>
      <c r="AL100" s="106" t="s">
        <v>237</v>
      </c>
      <c r="AM100" s="106" t="s">
        <v>237</v>
      </c>
      <c r="AN100" s="106" t="s">
        <v>237</v>
      </c>
      <c r="AO100" s="106" t="s">
        <v>237</v>
      </c>
      <c r="AP100" s="106" t="s">
        <v>237</v>
      </c>
      <c r="AQ100" s="106"/>
    </row>
    <row r="101" spans="2:47">
      <c r="C101" s="601" t="s">
        <v>238</v>
      </c>
      <c r="P101" s="105">
        <v>300</v>
      </c>
      <c r="Q101" s="105">
        <v>250</v>
      </c>
      <c r="R101" s="105">
        <v>140</v>
      </c>
      <c r="S101" s="105">
        <v>80</v>
      </c>
      <c r="T101" s="105">
        <v>39</v>
      </c>
      <c r="U101" s="105">
        <v>0</v>
      </c>
      <c r="V101" s="132">
        <v>0</v>
      </c>
      <c r="W101" s="105"/>
      <c r="X101" s="133">
        <v>0</v>
      </c>
      <c r="Y101" s="133"/>
      <c r="Z101" s="133">
        <v>0</v>
      </c>
      <c r="AA101" s="133"/>
      <c r="AB101" s="133"/>
      <c r="AC101" s="133"/>
      <c r="AD101" s="133"/>
      <c r="AE101" s="134"/>
      <c r="AF101" s="133"/>
      <c r="AG101" s="133"/>
      <c r="AH101" s="133"/>
      <c r="AI101" s="133"/>
      <c r="AJ101" s="133"/>
      <c r="AK101" s="133"/>
      <c r="AL101" s="133"/>
      <c r="AM101" s="133"/>
      <c r="AN101" s="133"/>
      <c r="AO101" s="133"/>
      <c r="AP101" s="133"/>
      <c r="AQ101" s="133"/>
    </row>
    <row r="102" spans="2:47">
      <c r="C102" s="601" t="s">
        <v>239</v>
      </c>
      <c r="P102" s="105">
        <v>229</v>
      </c>
      <c r="Q102" s="105">
        <v>234</v>
      </c>
      <c r="R102" s="105">
        <v>244</v>
      </c>
      <c r="S102" s="105">
        <v>257</v>
      </c>
      <c r="T102" s="105">
        <v>271</v>
      </c>
      <c r="U102" s="105">
        <v>0</v>
      </c>
      <c r="V102" s="132">
        <v>44</v>
      </c>
      <c r="W102" s="105"/>
      <c r="X102" s="106">
        <v>47</v>
      </c>
      <c r="Y102" s="106"/>
      <c r="Z102" s="106">
        <v>49</v>
      </c>
      <c r="AA102" s="106"/>
      <c r="AB102" s="106">
        <v>54</v>
      </c>
      <c r="AC102" s="106"/>
      <c r="AD102" s="106" t="s">
        <v>237</v>
      </c>
      <c r="AE102" s="110"/>
      <c r="AF102" s="106" t="s">
        <v>237</v>
      </c>
      <c r="AG102" s="106" t="s">
        <v>237</v>
      </c>
      <c r="AH102" s="106" t="s">
        <v>237</v>
      </c>
      <c r="AI102" s="106" t="s">
        <v>237</v>
      </c>
      <c r="AJ102" s="106" t="s">
        <v>237</v>
      </c>
      <c r="AK102" s="106" t="s">
        <v>237</v>
      </c>
      <c r="AL102" s="106" t="s">
        <v>237</v>
      </c>
      <c r="AM102" s="106" t="s">
        <v>237</v>
      </c>
      <c r="AN102" s="106" t="s">
        <v>237</v>
      </c>
      <c r="AO102" s="106" t="s">
        <v>237</v>
      </c>
      <c r="AP102" s="106" t="s">
        <v>237</v>
      </c>
      <c r="AQ102" s="106"/>
    </row>
    <row r="103" spans="2:47">
      <c r="P103" s="105"/>
      <c r="Q103" s="105"/>
      <c r="R103" s="105"/>
      <c r="S103" s="105"/>
      <c r="T103" s="105"/>
      <c r="U103" s="105"/>
      <c r="V103" s="105"/>
      <c r="W103" s="105"/>
      <c r="X103" s="106"/>
      <c r="Y103" s="106"/>
      <c r="Z103" s="106"/>
      <c r="AA103" s="106"/>
      <c r="AB103" s="106"/>
      <c r="AC103" s="106"/>
      <c r="AD103" s="106"/>
      <c r="AE103" s="110"/>
      <c r="AF103" s="106"/>
      <c r="AG103" s="106"/>
      <c r="AH103" s="106"/>
      <c r="AI103" s="106"/>
      <c r="AJ103" s="106"/>
      <c r="AK103" s="106"/>
      <c r="AL103" s="106"/>
      <c r="AM103" s="106"/>
      <c r="AN103" s="106"/>
      <c r="AO103" s="106"/>
      <c r="AP103" s="106"/>
      <c r="AQ103" s="106"/>
    </row>
    <row r="104" spans="2:47">
      <c r="B104" s="68" t="s">
        <v>78</v>
      </c>
      <c r="P104" s="105"/>
      <c r="Q104" s="105"/>
      <c r="R104" s="105"/>
      <c r="S104" s="105"/>
      <c r="T104" s="105"/>
      <c r="U104" s="105"/>
      <c r="V104" s="105"/>
      <c r="W104" s="105"/>
      <c r="X104" s="106">
        <v>0</v>
      </c>
      <c r="Y104" s="106"/>
      <c r="Z104" s="106">
        <v>0</v>
      </c>
      <c r="AA104" s="106"/>
      <c r="AB104" s="106">
        <v>0</v>
      </c>
      <c r="AC104" s="106"/>
      <c r="AD104" s="106">
        <v>0</v>
      </c>
      <c r="AE104" s="110"/>
      <c r="AF104" s="106">
        <v>0</v>
      </c>
      <c r="AG104" s="106">
        <v>0</v>
      </c>
      <c r="AH104" s="106">
        <v>0</v>
      </c>
      <c r="AI104" s="106">
        <v>0</v>
      </c>
      <c r="AJ104" s="106">
        <v>0</v>
      </c>
      <c r="AK104" s="106">
        <v>0</v>
      </c>
      <c r="AL104" s="106">
        <v>0</v>
      </c>
      <c r="AM104" s="106">
        <v>0</v>
      </c>
      <c r="AN104" s="106">
        <v>0</v>
      </c>
      <c r="AO104" s="106">
        <v>0</v>
      </c>
      <c r="AP104" s="106">
        <v>0</v>
      </c>
      <c r="AQ104" s="106"/>
    </row>
    <row r="105" spans="2:47">
      <c r="P105" s="105"/>
      <c r="Q105" s="105"/>
      <c r="R105" s="105"/>
      <c r="S105" s="105"/>
      <c r="T105" s="105"/>
      <c r="U105" s="105"/>
      <c r="V105" s="105"/>
      <c r="W105" s="105"/>
      <c r="X105" s="106"/>
      <c r="Y105" s="106"/>
      <c r="Z105" s="106"/>
      <c r="AA105" s="106"/>
      <c r="AB105" s="106"/>
      <c r="AC105" s="106"/>
      <c r="AD105" s="106"/>
      <c r="AE105" s="110"/>
      <c r="AF105" s="106"/>
      <c r="AG105" s="106"/>
      <c r="AH105" s="106"/>
      <c r="AI105" s="106"/>
      <c r="AJ105" s="106"/>
      <c r="AK105" s="106"/>
      <c r="AL105" s="106"/>
      <c r="AM105" s="106"/>
      <c r="AN105" s="106"/>
      <c r="AO105" s="106"/>
      <c r="AP105" s="106"/>
      <c r="AQ105" s="106"/>
    </row>
    <row r="106" spans="2:47" ht="13.5">
      <c r="B106" s="156" t="s">
        <v>240</v>
      </c>
      <c r="P106" s="105"/>
      <c r="Q106" s="105"/>
      <c r="R106" s="105"/>
      <c r="S106" s="105"/>
      <c r="T106" s="105"/>
      <c r="U106" s="105"/>
      <c r="V106" s="105"/>
      <c r="W106" s="105"/>
      <c r="X106" s="106"/>
      <c r="Y106" s="106"/>
      <c r="Z106" s="106"/>
      <c r="AA106" s="106"/>
      <c r="AB106" s="106"/>
      <c r="AC106" s="106"/>
      <c r="AD106" s="106"/>
      <c r="AE106" s="110"/>
      <c r="AF106" s="106"/>
      <c r="AG106" s="106"/>
      <c r="AH106" s="106"/>
      <c r="AI106" s="106"/>
      <c r="AJ106" s="106"/>
      <c r="AK106" s="106"/>
      <c r="AL106" s="106"/>
      <c r="AM106" s="106"/>
      <c r="AN106" s="106"/>
      <c r="AO106" s="106"/>
      <c r="AP106" s="106"/>
      <c r="AQ106" s="106"/>
    </row>
    <row r="107" spans="2:47">
      <c r="B107" s="151" t="s">
        <v>91</v>
      </c>
      <c r="P107" s="105"/>
      <c r="Q107" s="105"/>
      <c r="R107" s="105"/>
      <c r="S107" s="105"/>
      <c r="T107" s="105"/>
      <c r="U107" s="105"/>
      <c r="V107" s="105"/>
      <c r="W107" s="105"/>
      <c r="X107" s="106">
        <v>0</v>
      </c>
      <c r="Y107" s="106"/>
      <c r="Z107" s="106">
        <v>0</v>
      </c>
      <c r="AA107" s="106"/>
      <c r="AB107" s="106">
        <v>0</v>
      </c>
      <c r="AC107" s="106"/>
      <c r="AD107" s="106">
        <v>0</v>
      </c>
      <c r="AE107" s="110"/>
      <c r="AF107" s="106">
        <v>0</v>
      </c>
      <c r="AG107" s="106">
        <v>0</v>
      </c>
      <c r="AH107" s="106">
        <v>0</v>
      </c>
      <c r="AI107" s="106">
        <v>0</v>
      </c>
      <c r="AJ107" s="106">
        <v>0</v>
      </c>
      <c r="AK107" s="106">
        <v>0</v>
      </c>
      <c r="AL107" s="106">
        <v>0</v>
      </c>
      <c r="AM107" s="106">
        <v>0</v>
      </c>
      <c r="AN107" s="106">
        <v>0</v>
      </c>
      <c r="AO107" s="106">
        <v>0</v>
      </c>
      <c r="AP107" s="106">
        <v>0</v>
      </c>
      <c r="AQ107" s="106"/>
      <c r="AR107" s="109"/>
      <c r="AS107" s="109"/>
      <c r="AT107" s="109"/>
      <c r="AU107" s="109"/>
    </row>
    <row r="108" spans="2:47">
      <c r="B108" s="111"/>
      <c r="C108" s="111"/>
      <c r="D108" s="111"/>
      <c r="E108" s="140"/>
      <c r="F108" s="111"/>
      <c r="G108" s="111"/>
      <c r="H108" s="111"/>
      <c r="I108" s="111"/>
      <c r="J108" s="111"/>
      <c r="K108" s="111"/>
      <c r="L108" s="111"/>
      <c r="M108" s="111"/>
      <c r="N108" s="111"/>
      <c r="O108" s="111"/>
      <c r="P108" s="128"/>
      <c r="Q108" s="128"/>
      <c r="R108" s="128"/>
      <c r="S108" s="128"/>
      <c r="T108" s="128"/>
      <c r="U108" s="128"/>
      <c r="V108" s="128"/>
      <c r="W108" s="128"/>
      <c r="X108" s="127"/>
      <c r="Y108" s="127"/>
      <c r="Z108" s="127"/>
      <c r="AA108" s="127"/>
      <c r="AB108" s="127"/>
      <c r="AC108" s="127"/>
      <c r="AD108" s="127"/>
      <c r="AE108" s="111"/>
      <c r="AF108" s="127"/>
      <c r="AG108" s="111"/>
      <c r="AH108" s="127"/>
      <c r="AI108" s="127"/>
      <c r="AJ108" s="127"/>
      <c r="AK108" s="127"/>
      <c r="AL108" s="127"/>
      <c r="AM108" s="127"/>
      <c r="AN108" s="127"/>
      <c r="AO108" s="127"/>
      <c r="AP108" s="127"/>
      <c r="AQ108" s="127"/>
      <c r="AR108" s="121"/>
      <c r="AS108" s="121"/>
      <c r="AT108" s="121"/>
      <c r="AU108" s="121"/>
    </row>
    <row r="109" spans="2:47">
      <c r="B109" s="151"/>
      <c r="P109" s="105"/>
      <c r="Q109" s="105"/>
      <c r="R109" s="105"/>
      <c r="S109" s="105"/>
      <c r="T109" s="105"/>
      <c r="U109" s="105"/>
      <c r="V109" s="105"/>
      <c r="W109" s="105"/>
      <c r="X109" s="106"/>
      <c r="Y109" s="106"/>
      <c r="Z109" s="106"/>
      <c r="AA109" s="106"/>
      <c r="AB109" s="106"/>
      <c r="AC109" s="106"/>
      <c r="AD109" s="106"/>
      <c r="AE109" s="110"/>
      <c r="AF109" s="106"/>
      <c r="AG109" s="110"/>
      <c r="AI109" s="121"/>
      <c r="AJ109" s="120"/>
      <c r="AK109" s="121"/>
      <c r="AL109" s="121"/>
      <c r="AM109" s="121"/>
      <c r="AN109" s="121"/>
      <c r="AO109" s="121"/>
      <c r="AP109" s="121"/>
      <c r="AQ109" s="121"/>
      <c r="AR109" s="121"/>
      <c r="AS109" s="121"/>
      <c r="AT109" s="121"/>
      <c r="AU109" s="121"/>
    </row>
    <row r="110" spans="2:47">
      <c r="B110" s="601" t="s">
        <v>241</v>
      </c>
      <c r="AI110" s="121"/>
      <c r="AJ110" s="120"/>
      <c r="AK110" s="121"/>
      <c r="AL110" s="121"/>
      <c r="AM110" s="121"/>
      <c r="AN110" s="121"/>
    </row>
    <row r="111" spans="2:47">
      <c r="AI111" s="121"/>
      <c r="AJ111" s="120"/>
    </row>
    <row r="112" spans="2:47">
      <c r="AI112" s="121"/>
      <c r="AJ112" s="120"/>
    </row>
    <row r="113" spans="35:36">
      <c r="AI113" s="121"/>
      <c r="AJ113" s="120"/>
    </row>
    <row r="114" spans="35:36">
      <c r="AI114" s="121"/>
      <c r="AJ114" s="120"/>
    </row>
    <row r="115" spans="35:36">
      <c r="AI115" s="121"/>
      <c r="AJ115" s="120"/>
    </row>
    <row r="116" spans="35:36">
      <c r="AI116" s="121"/>
      <c r="AJ116" s="120"/>
    </row>
    <row r="117" spans="35:36">
      <c r="AI117" s="121"/>
      <c r="AJ117" s="120"/>
    </row>
    <row r="118" spans="35:36">
      <c r="AI118" s="121"/>
      <c r="AJ118" s="120"/>
    </row>
    <row r="119" spans="35:36">
      <c r="AI119" s="121"/>
      <c r="AJ119" s="120"/>
    </row>
    <row r="120" spans="35:36">
      <c r="AI120" s="121"/>
      <c r="AJ120" s="120"/>
    </row>
    <row r="121" spans="35:36">
      <c r="AI121" s="121"/>
      <c r="AJ121" s="120"/>
    </row>
  </sheetData>
  <mergeCells count="1">
    <mergeCell ref="B15:BB16"/>
  </mergeCells>
  <printOptions horizontalCentered="1"/>
  <pageMargins left="0.74803149606299213" right="0.74803149606299213" top="0.98425196850393704" bottom="0.98425196850393704" header="0.51181102362204722" footer="0.51181102362204722"/>
  <pageSetup paperSize="9" scale="37" orientation="landscape" r:id="rId1"/>
  <headerFooter alignWithMargins="0">
    <oddFooter>&amp;R&amp;"Arial,Regular"&amp;10OECD Social Expenditure database (www.oecd.org/social/expenditure.htm) // Base de données des dépenses sociales de l'OCDE (www.oecd.org/fr/social/depenses.htm) - Version &amp;D</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617"/>
  <sheetViews>
    <sheetView topLeftCell="B15" zoomScale="90" zoomScaleNormal="90" workbookViewId="0">
      <selection activeCell="B15" sqref="A1:XFD1048576"/>
    </sheetView>
  </sheetViews>
  <sheetFormatPr defaultColWidth="8.77734375" defaultRowHeight="12.75" outlineLevelRow="1"/>
  <cols>
    <col min="1" max="1" width="5.5546875" style="1275" hidden="1" customWidth="1"/>
    <col min="2" max="2" width="3.6640625" style="319" customWidth="1"/>
    <col min="3" max="3" width="59.21875" style="319" customWidth="1"/>
    <col min="4" max="4" width="3.6640625" style="318" hidden="1" customWidth="1"/>
    <col min="5" max="6" width="3.6640625" style="319" hidden="1" customWidth="1"/>
    <col min="7" max="21" width="1.77734375" style="319" hidden="1" customWidth="1"/>
    <col min="22" max="22" width="7.6640625" style="328" hidden="1" customWidth="1"/>
    <col min="23" max="23" width="4.77734375" style="328" customWidth="1"/>
    <col min="24" max="24" width="8" style="328" customWidth="1"/>
    <col min="25" max="25" width="2.44140625" style="328" customWidth="1"/>
    <col min="26" max="26" width="8" style="328" customWidth="1"/>
    <col min="27" max="27" width="2.6640625" style="328" customWidth="1"/>
    <col min="28" max="28" width="8" style="1244" customWidth="1"/>
    <col min="29" max="29" width="3.77734375" style="1244" customWidth="1"/>
    <col min="30" max="30" width="8" style="1244" customWidth="1"/>
    <col min="31" max="31" width="3.5546875" style="1244" customWidth="1"/>
    <col min="32" max="32" width="7.44140625" style="1244" customWidth="1"/>
    <col min="33" max="43" width="7.44140625" style="319" customWidth="1"/>
    <col min="44" max="52" width="7.77734375" style="319" customWidth="1"/>
    <col min="53" max="57" width="8.77734375" style="319"/>
    <col min="58" max="58" width="7.77734375" style="319" customWidth="1"/>
    <col min="59" max="60" width="7.77734375" style="328" customWidth="1"/>
    <col min="61" max="62" width="8.77734375" style="319"/>
    <col min="63" max="64" width="8.77734375" style="328"/>
    <col min="65" max="66" width="8.77734375" style="319"/>
    <col min="67" max="68" width="8.77734375" style="331"/>
    <col min="69" max="16384" width="8.77734375" style="319"/>
  </cols>
  <sheetData>
    <row r="1" spans="1:68" ht="12.75" hidden="1" customHeight="1" outlineLevel="1">
      <c r="A1" s="315"/>
      <c r="B1" s="316" t="s">
        <v>488</v>
      </c>
      <c r="C1" s="317"/>
      <c r="V1" s="320"/>
      <c r="W1" s="320"/>
      <c r="X1" s="320"/>
      <c r="Y1" s="320"/>
      <c r="Z1" s="320"/>
      <c r="AA1" s="320"/>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2"/>
      <c r="AZ1" s="322"/>
      <c r="BF1" s="321"/>
      <c r="BG1" s="323"/>
      <c r="BH1" s="323"/>
      <c r="BJ1" s="324"/>
      <c r="BK1" s="325"/>
      <c r="BL1" s="325"/>
      <c r="BN1" s="324"/>
      <c r="BO1" s="326"/>
      <c r="BP1" s="326"/>
    </row>
    <row r="2" spans="1:68" ht="12.75" hidden="1" customHeight="1" outlineLevel="1">
      <c r="A2" s="327"/>
      <c r="C2" s="317"/>
      <c r="AB2" s="329"/>
      <c r="AC2" s="329"/>
      <c r="AD2" s="329"/>
      <c r="AE2" s="329"/>
      <c r="AF2" s="329"/>
      <c r="AG2" s="330"/>
      <c r="AH2" s="330"/>
      <c r="AI2" s="330"/>
      <c r="AJ2" s="330"/>
      <c r="AK2" s="330"/>
      <c r="AL2" s="330"/>
      <c r="AM2" s="330"/>
      <c r="AN2" s="330"/>
      <c r="AO2" s="330"/>
      <c r="AP2" s="330"/>
      <c r="AQ2" s="330"/>
      <c r="AR2" s="330"/>
      <c r="AS2" s="330"/>
      <c r="AT2" s="330"/>
      <c r="AU2" s="330"/>
      <c r="AV2" s="330"/>
      <c r="AW2" s="330"/>
      <c r="AX2" s="330"/>
      <c r="AY2" s="330"/>
      <c r="AZ2" s="330"/>
      <c r="BF2" s="330"/>
      <c r="BG2" s="323"/>
      <c r="BH2" s="323"/>
      <c r="BJ2" s="331"/>
      <c r="BK2" s="323"/>
      <c r="BL2" s="323"/>
      <c r="BO2" s="323"/>
      <c r="BP2" s="323"/>
    </row>
    <row r="3" spans="1:68" ht="12.75" hidden="1" customHeight="1" outlineLevel="1">
      <c r="A3" s="1238"/>
      <c r="B3" s="1239"/>
      <c r="C3" s="1239"/>
      <c r="AB3" s="448"/>
      <c r="AC3" s="448"/>
      <c r="AD3" s="448"/>
      <c r="AE3" s="448"/>
      <c r="AF3" s="448"/>
      <c r="AG3" s="449"/>
      <c r="AH3" s="449"/>
      <c r="AI3" s="449"/>
      <c r="AJ3" s="449"/>
      <c r="AK3" s="449"/>
      <c r="AL3" s="449"/>
      <c r="AM3" s="449"/>
      <c r="AN3" s="449"/>
      <c r="AO3" s="449"/>
      <c r="AP3" s="449"/>
      <c r="AQ3" s="449"/>
      <c r="AR3" s="449"/>
      <c r="AS3" s="449"/>
      <c r="AT3" s="449"/>
      <c r="AU3" s="449"/>
      <c r="AV3" s="449"/>
      <c r="AW3" s="449"/>
      <c r="AX3" s="449"/>
      <c r="AY3" s="449"/>
      <c r="AZ3" s="449"/>
      <c r="BF3" s="449"/>
      <c r="BG3" s="450"/>
      <c r="BH3" s="450"/>
      <c r="BJ3" s="1240"/>
      <c r="BK3" s="450"/>
      <c r="BL3" s="450"/>
      <c r="BO3" s="450"/>
      <c r="BP3" s="450"/>
    </row>
    <row r="4" spans="1:68" ht="12.75" hidden="1" customHeight="1" outlineLevel="1">
      <c r="A4" s="1241"/>
      <c r="B4" s="630" t="s">
        <v>255</v>
      </c>
      <c r="C4" s="630"/>
      <c r="D4" s="631"/>
      <c r="E4" s="1242"/>
      <c r="F4" s="1242"/>
      <c r="G4" s="1242"/>
      <c r="H4" s="1242"/>
      <c r="I4" s="1242"/>
      <c r="J4" s="1242"/>
      <c r="K4" s="1242"/>
      <c r="L4" s="1242"/>
      <c r="M4" s="1242"/>
      <c r="N4" s="1242"/>
      <c r="O4" s="1242"/>
      <c r="P4" s="1242"/>
      <c r="Q4" s="1242"/>
      <c r="R4" s="1242"/>
      <c r="S4" s="1242"/>
      <c r="T4" s="1242"/>
      <c r="U4" s="1242"/>
      <c r="V4" s="1243">
        <v>1999</v>
      </c>
      <c r="W4" s="1243"/>
      <c r="X4" s="577">
        <v>2001</v>
      </c>
      <c r="Y4" s="1243"/>
      <c r="Z4" s="577">
        <v>2003</v>
      </c>
      <c r="AA4" s="1243"/>
      <c r="AB4" s="577">
        <v>2005</v>
      </c>
      <c r="AD4" s="577">
        <v>2007</v>
      </c>
      <c r="AF4" s="577">
        <v>2009</v>
      </c>
      <c r="AG4" s="577">
        <v>2010</v>
      </c>
      <c r="AH4" s="577">
        <v>2011</v>
      </c>
      <c r="AI4" s="577">
        <v>2012</v>
      </c>
      <c r="AJ4" s="577">
        <v>2013</v>
      </c>
      <c r="AK4" s="577">
        <v>2014</v>
      </c>
      <c r="AL4" s="577">
        <v>2015</v>
      </c>
      <c r="AM4" s="577">
        <v>2016</v>
      </c>
      <c r="AN4" s="577">
        <v>2017</v>
      </c>
      <c r="AO4" s="577">
        <v>2018</v>
      </c>
      <c r="AP4" s="577">
        <v>2019</v>
      </c>
      <c r="AQ4" s="577">
        <v>2020</v>
      </c>
      <c r="AR4" s="449"/>
      <c r="AS4" s="449"/>
      <c r="AT4" s="449"/>
      <c r="AU4" s="449"/>
      <c r="AV4" s="449"/>
      <c r="AW4" s="449"/>
      <c r="AX4" s="449"/>
      <c r="AY4" s="449"/>
      <c r="AZ4" s="449"/>
      <c r="BF4" s="449"/>
      <c r="BG4" s="450"/>
      <c r="BH4" s="450"/>
      <c r="BJ4" s="1240"/>
    </row>
    <row r="5" spans="1:68" ht="12.75" hidden="1" customHeight="1" outlineLevel="1">
      <c r="A5" s="1241"/>
      <c r="B5" s="1245"/>
      <c r="E5" s="1246"/>
      <c r="F5" s="1246"/>
      <c r="G5" s="1246"/>
      <c r="H5" s="1246"/>
      <c r="I5" s="1246"/>
      <c r="J5" s="1246"/>
      <c r="K5" s="1246"/>
      <c r="L5" s="1246"/>
      <c r="M5" s="1246"/>
      <c r="N5" s="1246"/>
      <c r="O5" s="1246"/>
      <c r="P5" s="1246"/>
      <c r="Q5" s="1246"/>
      <c r="R5" s="1246"/>
      <c r="S5" s="1246"/>
      <c r="T5" s="1246"/>
      <c r="U5" s="1246"/>
      <c r="X5" s="448"/>
      <c r="Z5" s="448"/>
      <c r="AB5" s="448"/>
      <c r="AD5" s="448"/>
      <c r="AF5" s="448"/>
      <c r="AG5" s="449"/>
      <c r="AH5" s="449"/>
      <c r="AI5" s="449"/>
      <c r="AJ5" s="449"/>
      <c r="AK5" s="449"/>
      <c r="AL5" s="449"/>
      <c r="AM5" s="449"/>
      <c r="AN5" s="449"/>
      <c r="AO5" s="449"/>
      <c r="AP5" s="449"/>
      <c r="AQ5" s="449"/>
      <c r="AR5" s="449"/>
      <c r="AS5" s="449"/>
      <c r="AT5" s="449"/>
      <c r="AU5" s="449"/>
      <c r="AV5" s="449"/>
      <c r="AW5" s="449"/>
      <c r="AX5" s="449"/>
      <c r="AY5" s="449"/>
      <c r="AZ5" s="449"/>
      <c r="BF5" s="449"/>
      <c r="BG5" s="450"/>
      <c r="BH5" s="450"/>
      <c r="BJ5" s="1240"/>
    </row>
    <row r="6" spans="1:68" ht="12.75" hidden="1" customHeight="1" outlineLevel="1">
      <c r="A6" s="312" t="s">
        <v>2</v>
      </c>
      <c r="B6" s="312" t="s">
        <v>3</v>
      </c>
      <c r="C6" s="317"/>
      <c r="D6" s="319"/>
      <c r="X6" s="448">
        <f>X94</f>
        <v>0</v>
      </c>
      <c r="Z6" s="448">
        <f>Z94</f>
        <v>643.90000000000009</v>
      </c>
      <c r="AB6" s="448">
        <f>AB94</f>
        <v>893.40000000000009</v>
      </c>
      <c r="AD6" s="448">
        <f>AD94</f>
        <v>2728.1</v>
      </c>
      <c r="AF6" s="448">
        <f t="shared" ref="AF6:AO6" si="0">AF94</f>
        <v>2848.3</v>
      </c>
      <c r="AG6" s="448">
        <f t="shared" si="0"/>
        <v>1688.8</v>
      </c>
      <c r="AH6" s="448">
        <f t="shared" si="0"/>
        <v>1666.5</v>
      </c>
      <c r="AI6" s="448">
        <f t="shared" si="0"/>
        <v>1694.2</v>
      </c>
      <c r="AJ6" s="448">
        <f t="shared" si="0"/>
        <v>1683.3</v>
      </c>
      <c r="AK6" s="448">
        <f t="shared" si="0"/>
        <v>1682.1999999999998</v>
      </c>
      <c r="AL6" s="448">
        <f t="shared" si="0"/>
        <v>2618.9999999999995</v>
      </c>
      <c r="AM6" s="448">
        <f t="shared" si="0"/>
        <v>2820.6</v>
      </c>
      <c r="AN6" s="448">
        <f t="shared" si="0"/>
        <v>2976.4000000000005</v>
      </c>
      <c r="AO6" s="448">
        <f t="shared" si="0"/>
        <v>4315.8807657241596</v>
      </c>
      <c r="AP6" s="448">
        <f t="shared" ref="AP6:AQ6" si="1">AP94</f>
        <v>4832.9843507697269</v>
      </c>
      <c r="AQ6" s="448">
        <f t="shared" si="1"/>
        <v>4925.1957041052383</v>
      </c>
      <c r="AR6" s="449"/>
      <c r="AS6" s="449"/>
      <c r="AT6" s="449"/>
      <c r="AU6" s="449"/>
      <c r="AV6" s="449"/>
      <c r="AW6" s="449"/>
      <c r="AX6" s="449"/>
      <c r="AY6" s="449"/>
      <c r="AZ6" s="449"/>
      <c r="BF6" s="1247"/>
      <c r="BH6" s="450"/>
      <c r="BJ6" s="1240"/>
    </row>
    <row r="7" spans="1:68" ht="12.75" hidden="1" customHeight="1" outlineLevel="1">
      <c r="A7" s="312" t="s">
        <v>4</v>
      </c>
      <c r="B7" s="312" t="s">
        <v>5</v>
      </c>
      <c r="C7" s="317"/>
      <c r="D7" s="319"/>
      <c r="X7" s="448">
        <f>X114</f>
        <v>0</v>
      </c>
      <c r="Z7" s="448">
        <f>Z114</f>
        <v>0</v>
      </c>
      <c r="AB7" s="448">
        <f>AB114</f>
        <v>0</v>
      </c>
      <c r="AD7" s="448">
        <f>AD114</f>
        <v>0</v>
      </c>
      <c r="AF7" s="448">
        <f t="shared" ref="AF7:AO7" si="2">AF114</f>
        <v>0</v>
      </c>
      <c r="AG7" s="448">
        <f t="shared" si="2"/>
        <v>0</v>
      </c>
      <c r="AH7" s="448">
        <f t="shared" si="2"/>
        <v>0</v>
      </c>
      <c r="AI7" s="448">
        <f t="shared" si="2"/>
        <v>0</v>
      </c>
      <c r="AJ7" s="448">
        <f t="shared" si="2"/>
        <v>0</v>
      </c>
      <c r="AK7" s="448">
        <f t="shared" si="2"/>
        <v>0</v>
      </c>
      <c r="AL7" s="448">
        <f t="shared" si="2"/>
        <v>0</v>
      </c>
      <c r="AM7" s="448">
        <f t="shared" si="2"/>
        <v>0</v>
      </c>
      <c r="AN7" s="448">
        <f t="shared" si="2"/>
        <v>0</v>
      </c>
      <c r="AO7" s="448">
        <f t="shared" si="2"/>
        <v>0</v>
      </c>
      <c r="AP7" s="448">
        <f t="shared" ref="AP7:AQ7" si="3">AP114</f>
        <v>0</v>
      </c>
      <c r="AQ7" s="448">
        <f t="shared" si="3"/>
        <v>0</v>
      </c>
      <c r="AR7" s="449"/>
      <c r="AS7" s="449"/>
      <c r="AT7" s="449"/>
      <c r="AU7" s="449"/>
      <c r="AV7" s="449"/>
      <c r="AW7" s="449"/>
      <c r="AX7" s="449"/>
      <c r="AY7" s="449"/>
      <c r="AZ7" s="449"/>
      <c r="BF7" s="1247"/>
      <c r="BH7" s="450"/>
      <c r="BJ7" s="1240"/>
    </row>
    <row r="8" spans="1:68" ht="12.75" hidden="1" customHeight="1" outlineLevel="1">
      <c r="A8" s="312" t="s">
        <v>6</v>
      </c>
      <c r="B8" s="312"/>
      <c r="C8" s="317"/>
      <c r="D8" s="319"/>
      <c r="X8" s="448"/>
      <c r="Z8" s="448"/>
      <c r="AB8" s="448"/>
      <c r="AD8" s="448"/>
      <c r="AF8" s="448"/>
      <c r="AG8" s="448"/>
      <c r="AH8" s="448"/>
      <c r="AI8" s="448"/>
      <c r="AJ8" s="448"/>
      <c r="AK8" s="448"/>
      <c r="AL8" s="448"/>
      <c r="AM8" s="448"/>
      <c r="AN8" s="448"/>
      <c r="AO8" s="448"/>
      <c r="AP8" s="448"/>
      <c r="AQ8" s="448"/>
      <c r="AR8" s="449"/>
      <c r="AS8" s="449"/>
      <c r="AT8" s="449"/>
      <c r="AU8" s="449"/>
      <c r="AV8" s="449"/>
      <c r="AW8" s="449"/>
      <c r="AX8" s="449"/>
      <c r="AY8" s="449"/>
      <c r="AZ8" s="449"/>
      <c r="BF8" s="1247"/>
      <c r="BH8" s="450"/>
      <c r="BJ8" s="1240"/>
    </row>
    <row r="9" spans="1:68" ht="12.75" hidden="1" customHeight="1" outlineLevel="1">
      <c r="A9" s="1241"/>
      <c r="B9" s="1239"/>
      <c r="E9" s="1248"/>
      <c r="F9" s="1248"/>
      <c r="G9" s="1248"/>
      <c r="H9" s="1248"/>
      <c r="I9" s="1248"/>
      <c r="J9" s="1248"/>
      <c r="K9" s="1248"/>
      <c r="L9" s="1248"/>
      <c r="M9" s="1248"/>
      <c r="N9" s="1248"/>
      <c r="O9" s="1248"/>
      <c r="P9" s="1248"/>
      <c r="Q9" s="1248"/>
      <c r="R9" s="1248"/>
      <c r="S9" s="1248"/>
      <c r="T9" s="1248"/>
      <c r="U9" s="1248"/>
      <c r="V9" s="1249"/>
      <c r="W9" s="1249"/>
      <c r="X9" s="448"/>
      <c r="Y9" s="1249"/>
      <c r="Z9" s="448"/>
      <c r="AB9" s="448"/>
      <c r="AD9" s="448"/>
      <c r="AF9" s="448"/>
      <c r="AG9" s="448"/>
      <c r="AH9" s="448"/>
      <c r="AI9" s="448"/>
      <c r="AJ9" s="448"/>
      <c r="AK9" s="448"/>
      <c r="AL9" s="448"/>
      <c r="AM9" s="448"/>
      <c r="AN9" s="448"/>
      <c r="AO9" s="448"/>
      <c r="AP9" s="448"/>
      <c r="AQ9" s="448"/>
      <c r="AR9" s="449"/>
      <c r="AS9" s="449"/>
      <c r="AT9" s="449"/>
      <c r="AU9" s="449"/>
      <c r="AV9" s="449"/>
      <c r="AW9" s="449"/>
      <c r="AX9" s="449"/>
      <c r="AY9" s="449"/>
      <c r="AZ9" s="449"/>
      <c r="BF9" s="449"/>
      <c r="BG9" s="450"/>
      <c r="BH9" s="450"/>
      <c r="BJ9" s="1240"/>
    </row>
    <row r="10" spans="1:68" ht="12.75" hidden="1" customHeight="1" outlineLevel="1">
      <c r="A10" s="1241"/>
      <c r="B10" s="165" t="s">
        <v>110</v>
      </c>
      <c r="E10" s="1248"/>
      <c r="F10" s="1248"/>
      <c r="G10" s="1248"/>
      <c r="H10" s="1248"/>
      <c r="I10" s="1248"/>
      <c r="J10" s="1248"/>
      <c r="K10" s="1248"/>
      <c r="L10" s="1248"/>
      <c r="M10" s="1248"/>
      <c r="N10" s="1248"/>
      <c r="O10" s="1248"/>
      <c r="P10" s="1248"/>
      <c r="Q10" s="1248"/>
      <c r="R10" s="1248"/>
      <c r="S10" s="1248"/>
      <c r="T10" s="1248"/>
      <c r="U10" s="1248"/>
      <c r="V10" s="1249"/>
      <c r="W10" s="1249"/>
      <c r="X10" s="448">
        <f>X119</f>
        <v>0</v>
      </c>
      <c r="Y10" s="1249"/>
      <c r="Z10" s="448">
        <f>Z119</f>
        <v>0</v>
      </c>
      <c r="AB10" s="448">
        <f>AB119</f>
        <v>0</v>
      </c>
      <c r="AD10" s="448">
        <f>AD119</f>
        <v>0</v>
      </c>
      <c r="AF10" s="448">
        <f t="shared" ref="AF10:AO10" si="4">AF119</f>
        <v>0</v>
      </c>
      <c r="AG10" s="448">
        <f t="shared" si="4"/>
        <v>0</v>
      </c>
      <c r="AH10" s="448">
        <f t="shared" si="4"/>
        <v>0</v>
      </c>
      <c r="AI10" s="448">
        <f t="shared" si="4"/>
        <v>0</v>
      </c>
      <c r="AJ10" s="448">
        <f t="shared" si="4"/>
        <v>0</v>
      </c>
      <c r="AK10" s="448">
        <f t="shared" si="4"/>
        <v>0</v>
      </c>
      <c r="AL10" s="448">
        <f t="shared" si="4"/>
        <v>0</v>
      </c>
      <c r="AM10" s="448">
        <f t="shared" si="4"/>
        <v>0</v>
      </c>
      <c r="AN10" s="448">
        <f t="shared" si="4"/>
        <v>0</v>
      </c>
      <c r="AO10" s="448">
        <f t="shared" si="4"/>
        <v>0</v>
      </c>
      <c r="AP10" s="448">
        <f t="shared" ref="AP10:AQ10" si="5">AP119</f>
        <v>0</v>
      </c>
      <c r="AQ10" s="448">
        <f t="shared" si="5"/>
        <v>0</v>
      </c>
      <c r="AR10" s="449"/>
      <c r="AS10" s="449"/>
      <c r="AT10" s="449"/>
      <c r="AU10" s="449"/>
      <c r="AV10" s="449"/>
      <c r="AW10" s="449"/>
      <c r="AX10" s="449"/>
      <c r="AY10" s="449"/>
      <c r="AZ10" s="449"/>
      <c r="BF10" s="449"/>
      <c r="BG10" s="450"/>
      <c r="BH10" s="450"/>
      <c r="BJ10" s="1240"/>
    </row>
    <row r="11" spans="1:68" ht="12.75" hidden="1" customHeight="1" outlineLevel="1">
      <c r="A11" s="1241"/>
      <c r="B11" s="165"/>
      <c r="E11" s="1248"/>
      <c r="F11" s="1248"/>
      <c r="G11" s="1248"/>
      <c r="H11" s="1248"/>
      <c r="I11" s="1248"/>
      <c r="J11" s="1248"/>
      <c r="K11" s="1248"/>
      <c r="L11" s="1248"/>
      <c r="M11" s="1248"/>
      <c r="N11" s="1248"/>
      <c r="O11" s="1248"/>
      <c r="P11" s="1248"/>
      <c r="Q11" s="1248"/>
      <c r="R11" s="1248"/>
      <c r="S11" s="1248"/>
      <c r="T11" s="1248"/>
      <c r="U11" s="1248"/>
      <c r="V11" s="1249"/>
      <c r="W11" s="1249"/>
      <c r="X11" s="448"/>
      <c r="Y11" s="1249"/>
      <c r="Z11" s="448"/>
      <c r="AB11" s="448"/>
      <c r="AD11" s="448"/>
      <c r="AF11" s="448"/>
      <c r="AG11" s="448"/>
      <c r="AH11" s="448"/>
      <c r="AI11" s="448"/>
      <c r="AJ11" s="448"/>
      <c r="AK11" s="448"/>
      <c r="AL11" s="448"/>
      <c r="AM11" s="448"/>
      <c r="AN11" s="448"/>
      <c r="AO11" s="448"/>
      <c r="AP11" s="448"/>
      <c r="AQ11" s="448"/>
      <c r="AR11" s="449"/>
      <c r="AS11" s="449"/>
      <c r="AT11" s="449"/>
      <c r="AU11" s="449"/>
      <c r="AV11" s="449"/>
      <c r="AW11" s="449"/>
      <c r="AX11" s="449"/>
      <c r="AY11" s="449"/>
      <c r="AZ11" s="449"/>
      <c r="BF11" s="449"/>
      <c r="BG11" s="450"/>
      <c r="BH11" s="450"/>
      <c r="BJ11" s="1240"/>
    </row>
    <row r="12" spans="1:68" ht="12.75" hidden="1" customHeight="1" outlineLevel="1">
      <c r="A12" s="1241"/>
      <c r="B12" s="165" t="s">
        <v>8</v>
      </c>
      <c r="E12" s="1248"/>
      <c r="F12" s="1248"/>
      <c r="G12" s="1248"/>
      <c r="H12" s="1248"/>
      <c r="I12" s="1248"/>
      <c r="J12" s="1248"/>
      <c r="K12" s="1248"/>
      <c r="L12" s="1248"/>
      <c r="M12" s="1248"/>
      <c r="N12" s="1248"/>
      <c r="O12" s="1248"/>
      <c r="P12" s="1248"/>
      <c r="Q12" s="1248"/>
      <c r="R12" s="1248"/>
      <c r="S12" s="1248"/>
      <c r="T12" s="1248"/>
      <c r="U12" s="1248"/>
      <c r="V12" s="1249"/>
      <c r="W12" s="1249"/>
      <c r="X12" s="448">
        <v>0</v>
      </c>
      <c r="Y12" s="1249"/>
      <c r="Z12" s="448">
        <f>Z99+Z100</f>
        <v>643.90000000000009</v>
      </c>
      <c r="AB12" s="448">
        <f>AB99+AB100</f>
        <v>893.40000000000009</v>
      </c>
      <c r="AD12" s="448">
        <f>AD99+AD100+AD102</f>
        <v>2483.1999999999998</v>
      </c>
      <c r="AF12" s="448">
        <f t="shared" ref="AF12:AM12" si="6">AF99+AF100+AF102</f>
        <v>2570.8000000000002</v>
      </c>
      <c r="AG12" s="448">
        <f t="shared" si="6"/>
        <v>1367.5</v>
      </c>
      <c r="AH12" s="448">
        <f t="shared" si="6"/>
        <v>1335.5</v>
      </c>
      <c r="AI12" s="448">
        <f t="shared" si="6"/>
        <v>1362.4</v>
      </c>
      <c r="AJ12" s="448">
        <f t="shared" si="6"/>
        <v>1367</v>
      </c>
      <c r="AK12" s="448">
        <f t="shared" si="6"/>
        <v>1355.3</v>
      </c>
      <c r="AL12" s="448">
        <f t="shared" si="6"/>
        <v>1491.1999999999998</v>
      </c>
      <c r="AM12" s="448">
        <f t="shared" si="6"/>
        <v>1523.3999999999999</v>
      </c>
      <c r="AN12" s="448">
        <f>AN99+AN100+AN102</f>
        <v>1560.8000000000002</v>
      </c>
      <c r="AO12" s="448">
        <f>AO99+AO100+AO102+AO103</f>
        <v>2495.0807657241594</v>
      </c>
      <c r="AP12" s="448">
        <f>AP99+AP100+AP102+AP103</f>
        <v>2498.9843507697278</v>
      </c>
      <c r="AQ12" s="448">
        <f t="shared" ref="AQ12" si="7">AQ99+AQ100+AQ102+AQ103</f>
        <v>2576.1957041052383</v>
      </c>
      <c r="AR12" s="449"/>
      <c r="AS12" s="449"/>
      <c r="AT12" s="449"/>
      <c r="AU12" s="449"/>
      <c r="AV12" s="449"/>
      <c r="AW12" s="449"/>
      <c r="AX12" s="449"/>
      <c r="AY12" s="449"/>
      <c r="AZ12" s="449"/>
      <c r="BF12" s="449"/>
      <c r="BG12" s="450"/>
      <c r="BH12" s="450"/>
      <c r="BJ12" s="1240"/>
    </row>
    <row r="13" spans="1:68" ht="12.75" hidden="1" customHeight="1" outlineLevel="1">
      <c r="A13" s="1241"/>
      <c r="B13" s="165"/>
      <c r="C13" s="319" t="s">
        <v>256</v>
      </c>
      <c r="E13" s="1248"/>
      <c r="F13" s="1248"/>
      <c r="G13" s="1248"/>
      <c r="H13" s="1248"/>
      <c r="I13" s="1248"/>
      <c r="J13" s="1248"/>
      <c r="K13" s="1248"/>
      <c r="L13" s="1248"/>
      <c r="M13" s="1248"/>
      <c r="N13" s="1248"/>
      <c r="O13" s="1248"/>
      <c r="P13" s="1248"/>
      <c r="Q13" s="1248"/>
      <c r="R13" s="1248"/>
      <c r="S13" s="1248"/>
      <c r="T13" s="1248"/>
      <c r="U13" s="1248"/>
      <c r="V13" s="1249"/>
      <c r="W13" s="1249"/>
      <c r="X13" s="448"/>
      <c r="Y13" s="1249"/>
      <c r="Z13" s="448">
        <f>Z99</f>
        <v>60.7</v>
      </c>
      <c r="AB13" s="448">
        <f>AB99</f>
        <v>154.1</v>
      </c>
      <c r="AC13" s="319"/>
      <c r="AD13" s="448">
        <f>AD99</f>
        <v>197.60000000000002</v>
      </c>
      <c r="AE13" s="319"/>
      <c r="AF13" s="448">
        <f t="shared" ref="AF13:AN13" si="8">AF99</f>
        <v>252.60000000000002</v>
      </c>
      <c r="AG13" s="448">
        <f t="shared" si="8"/>
        <v>204.3</v>
      </c>
      <c r="AH13" s="448">
        <f t="shared" si="8"/>
        <v>209.89999999999998</v>
      </c>
      <c r="AI13" s="448">
        <f t="shared" si="8"/>
        <v>271.2</v>
      </c>
      <c r="AJ13" s="448">
        <f t="shared" si="8"/>
        <v>291.90000000000003</v>
      </c>
      <c r="AK13" s="448">
        <f t="shared" si="8"/>
        <v>318.7</v>
      </c>
      <c r="AL13" s="448">
        <f t="shared" si="8"/>
        <v>510.99999999999994</v>
      </c>
      <c r="AM13" s="448">
        <f t="shared" si="8"/>
        <v>550.49999999999989</v>
      </c>
      <c r="AN13" s="448">
        <f t="shared" si="8"/>
        <v>559.60000000000014</v>
      </c>
      <c r="AO13" s="448">
        <f>AO99</f>
        <v>613.70000000000005</v>
      </c>
      <c r="AP13" s="448">
        <f>AP99</f>
        <v>603.19999999999993</v>
      </c>
      <c r="AQ13" s="448">
        <f t="shared" ref="AQ13" si="9">AQ99</f>
        <v>598.70000000000005</v>
      </c>
      <c r="AR13" s="449"/>
      <c r="AS13" s="449"/>
      <c r="AT13" s="449"/>
      <c r="AU13" s="449"/>
      <c r="AV13" s="449"/>
      <c r="AW13" s="449"/>
      <c r="AX13" s="449"/>
      <c r="AY13" s="449"/>
      <c r="AZ13" s="449"/>
      <c r="BF13" s="449"/>
      <c r="BG13" s="450"/>
      <c r="BH13" s="450"/>
      <c r="BJ13" s="1240"/>
    </row>
    <row r="14" spans="1:68" ht="12.75" hidden="1" customHeight="1" outlineLevel="1">
      <c r="A14" s="1241"/>
      <c r="B14" s="165"/>
      <c r="C14" s="319" t="s">
        <v>257</v>
      </c>
      <c r="E14" s="1248"/>
      <c r="F14" s="1248"/>
      <c r="G14" s="1248"/>
      <c r="H14" s="1248"/>
      <c r="I14" s="1248"/>
      <c r="J14" s="1248"/>
      <c r="K14" s="1248"/>
      <c r="L14" s="1248"/>
      <c r="M14" s="1248"/>
      <c r="N14" s="1248"/>
      <c r="O14" s="1248"/>
      <c r="P14" s="1248"/>
      <c r="Q14" s="1248"/>
      <c r="R14" s="1248"/>
      <c r="S14" s="1248"/>
      <c r="T14" s="1248"/>
      <c r="U14" s="1248"/>
      <c r="V14" s="1249"/>
      <c r="W14" s="1249"/>
      <c r="X14" s="448"/>
      <c r="Y14" s="1249"/>
      <c r="Z14" s="448"/>
      <c r="AB14" s="448"/>
      <c r="AC14" s="319"/>
      <c r="AD14" s="448"/>
      <c r="AE14" s="319"/>
      <c r="AF14" s="448"/>
      <c r="AG14" s="449"/>
      <c r="AH14" s="449"/>
      <c r="AI14" s="449"/>
      <c r="AJ14" s="449"/>
      <c r="AK14" s="449"/>
      <c r="AL14" s="449"/>
      <c r="AM14" s="449"/>
      <c r="AN14" s="449"/>
      <c r="AO14" s="449"/>
      <c r="AP14" s="449"/>
      <c r="AQ14" s="449"/>
      <c r="AR14" s="449"/>
      <c r="AS14" s="449"/>
      <c r="AT14" s="449"/>
      <c r="AU14" s="449"/>
      <c r="AV14" s="449"/>
      <c r="AW14" s="449"/>
      <c r="AX14" s="449"/>
      <c r="AY14" s="449"/>
      <c r="AZ14" s="449"/>
      <c r="BF14" s="449"/>
      <c r="BG14" s="450"/>
      <c r="BH14" s="450"/>
      <c r="BJ14" s="1240"/>
    </row>
    <row r="15" spans="1:68" ht="12.75" customHeight="1" collapsed="1">
      <c r="A15" s="1241"/>
      <c r="B15" s="1250" t="s">
        <v>9</v>
      </c>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319"/>
      <c r="AD15" s="1251"/>
      <c r="AE15" s="319"/>
      <c r="AF15" s="1251"/>
      <c r="AG15" s="1251"/>
      <c r="AH15" s="1251"/>
      <c r="AI15" s="1251"/>
      <c r="AJ15" s="1251"/>
      <c r="AK15" s="1251"/>
      <c r="AL15" s="1251"/>
      <c r="AM15" s="1251"/>
      <c r="AN15" s="1251"/>
      <c r="AO15" s="1251"/>
      <c r="AP15" s="1251"/>
      <c r="AQ15" s="1251"/>
      <c r="AR15" s="449"/>
      <c r="AS15" s="449"/>
      <c r="AT15" s="449"/>
      <c r="AU15" s="449"/>
      <c r="AV15" s="449"/>
      <c r="AW15" s="449"/>
      <c r="AX15" s="449"/>
      <c r="AY15" s="449"/>
      <c r="AZ15" s="449"/>
      <c r="BF15" s="449"/>
      <c r="BG15" s="450"/>
      <c r="BH15" s="450"/>
      <c r="BJ15" s="1240"/>
    </row>
    <row r="16" spans="1:68" ht="12" customHeight="1">
      <c r="A16" s="1241"/>
      <c r="B16" s="165"/>
      <c r="C16" s="165"/>
      <c r="D16" s="165"/>
      <c r="E16" s="165"/>
      <c r="F16" s="165"/>
      <c r="G16" s="165"/>
      <c r="H16" s="165"/>
      <c r="I16" s="165"/>
      <c r="J16" s="165"/>
      <c r="K16" s="165"/>
      <c r="L16" s="165"/>
      <c r="M16" s="165"/>
      <c r="N16" s="165"/>
      <c r="O16" s="168"/>
      <c r="P16" s="168"/>
      <c r="Q16" s="168"/>
      <c r="R16" s="168"/>
      <c r="S16" s="168"/>
      <c r="T16" s="168"/>
      <c r="U16" s="168"/>
      <c r="V16" s="168"/>
      <c r="W16" s="168"/>
      <c r="X16" s="169"/>
      <c r="Y16" s="168"/>
      <c r="Z16" s="166"/>
      <c r="AA16" s="168"/>
      <c r="AB16" s="166"/>
      <c r="AC16" s="319"/>
      <c r="AD16" s="166"/>
      <c r="AE16" s="319"/>
      <c r="AF16" s="166"/>
      <c r="AG16" s="449"/>
      <c r="AH16" s="449"/>
      <c r="AI16" s="449"/>
      <c r="AJ16" s="449"/>
      <c r="AK16" s="449"/>
      <c r="AL16" s="449"/>
      <c r="AM16" s="449"/>
      <c r="AN16" s="449"/>
      <c r="AO16" s="449"/>
      <c r="AP16" s="449"/>
      <c r="AQ16" s="449"/>
      <c r="AR16" s="449"/>
      <c r="AS16" s="449"/>
      <c r="AT16" s="449"/>
      <c r="AU16" s="449"/>
      <c r="AV16" s="449"/>
      <c r="AW16" s="449"/>
      <c r="AX16" s="449"/>
      <c r="AY16" s="449"/>
      <c r="AZ16" s="449"/>
      <c r="BF16" s="449"/>
      <c r="BG16" s="450"/>
      <c r="BH16" s="450"/>
      <c r="BJ16" s="1240"/>
    </row>
    <row r="17" spans="1:62" ht="12" customHeight="1">
      <c r="A17" s="1241"/>
      <c r="B17" s="170" t="s">
        <v>488</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319"/>
      <c r="AD17" s="171"/>
      <c r="AE17" s="319"/>
      <c r="AF17" s="171"/>
      <c r="AG17" s="449"/>
      <c r="AH17" s="449"/>
      <c r="AI17" s="449"/>
      <c r="AJ17" s="449"/>
      <c r="AK17" s="449"/>
      <c r="AL17" s="449"/>
      <c r="AM17" s="449"/>
      <c r="AN17" s="449"/>
      <c r="AO17" s="449"/>
      <c r="AP17" s="449"/>
      <c r="AQ17" s="449"/>
      <c r="AR17" s="449"/>
      <c r="AS17" s="449"/>
      <c r="AT17" s="449"/>
      <c r="AU17" s="449"/>
      <c r="AV17" s="449"/>
      <c r="AW17" s="449"/>
      <c r="AX17" s="449"/>
      <c r="AY17" s="449"/>
      <c r="AZ17" s="449"/>
      <c r="BF17" s="449"/>
      <c r="BG17" s="450"/>
      <c r="BH17" s="450"/>
      <c r="BJ17" s="1240"/>
    </row>
    <row r="18" spans="1:62" ht="12" customHeight="1">
      <c r="A18" s="1241"/>
      <c r="B18" s="165"/>
      <c r="C18" s="165"/>
      <c r="D18" s="165"/>
      <c r="E18" s="165"/>
      <c r="F18" s="165"/>
      <c r="G18" s="165"/>
      <c r="H18" s="165"/>
      <c r="I18" s="165"/>
      <c r="J18" s="165"/>
      <c r="K18" s="165"/>
      <c r="L18" s="165"/>
      <c r="M18" s="165"/>
      <c r="N18" s="165"/>
      <c r="O18" s="168"/>
      <c r="P18" s="168"/>
      <c r="Q18" s="168"/>
      <c r="R18" s="168"/>
      <c r="S18" s="168"/>
      <c r="T18" s="168"/>
      <c r="U18" s="168"/>
      <c r="V18" s="168"/>
      <c r="W18" s="168"/>
      <c r="X18" s="169"/>
      <c r="Y18" s="168"/>
      <c r="Z18" s="166"/>
      <c r="AA18" s="168"/>
      <c r="AB18" s="166"/>
      <c r="AC18" s="319"/>
      <c r="AD18" s="166"/>
      <c r="AE18" s="319"/>
      <c r="AF18" s="166"/>
      <c r="AG18" s="449"/>
      <c r="AH18" s="449"/>
      <c r="AI18" s="449"/>
      <c r="AJ18" s="449"/>
      <c r="AK18" s="449"/>
      <c r="AL18" s="449"/>
      <c r="AM18" s="449"/>
      <c r="AN18" s="449"/>
      <c r="AO18" s="449"/>
      <c r="AP18" s="449"/>
      <c r="AQ18" s="449"/>
      <c r="AR18" s="449"/>
      <c r="AS18" s="449"/>
      <c r="AT18" s="449"/>
      <c r="AU18" s="449"/>
      <c r="AV18" s="449"/>
      <c r="AW18" s="449"/>
      <c r="AX18" s="449"/>
      <c r="AY18" s="449"/>
      <c r="AZ18" s="449"/>
      <c r="BF18" s="449"/>
      <c r="BG18" s="450"/>
      <c r="BH18" s="450"/>
      <c r="BJ18" s="1240"/>
    </row>
    <row r="19" spans="1:62" ht="12" customHeight="1">
      <c r="A19" s="1241"/>
      <c r="B19" s="170" t="s">
        <v>259</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319"/>
      <c r="AD19" s="171"/>
      <c r="AE19" s="319"/>
      <c r="AF19" s="171"/>
      <c r="AG19" s="449"/>
      <c r="AH19" s="449"/>
      <c r="AI19" s="449"/>
      <c r="AJ19" s="449"/>
      <c r="AK19" s="449"/>
      <c r="AL19" s="449"/>
      <c r="AM19" s="449"/>
      <c r="AN19" s="449"/>
      <c r="AO19" s="449"/>
      <c r="AP19" s="449"/>
      <c r="AQ19" s="449"/>
      <c r="AR19" s="449"/>
      <c r="AS19" s="449"/>
      <c r="AT19" s="449"/>
      <c r="AU19" s="449"/>
      <c r="AV19" s="449"/>
      <c r="AW19" s="449"/>
      <c r="AX19" s="449"/>
      <c r="AY19" s="449"/>
      <c r="AZ19" s="449"/>
      <c r="BF19" s="449"/>
      <c r="BG19" s="450"/>
      <c r="BH19" s="450"/>
      <c r="BJ19" s="1240"/>
    </row>
    <row r="20" spans="1:62" ht="12" customHeight="1">
      <c r="A20" s="1241"/>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173"/>
      <c r="Z20" s="256"/>
      <c r="AA20" s="173"/>
      <c r="AB20" s="256"/>
      <c r="AC20" s="319"/>
      <c r="AD20" s="169"/>
      <c r="AE20" s="319"/>
      <c r="AF20" s="169"/>
      <c r="AG20" s="449"/>
      <c r="AH20" s="449"/>
      <c r="AI20" s="449"/>
      <c r="AJ20" s="449"/>
      <c r="AK20" s="449"/>
      <c r="AL20" s="449"/>
      <c r="AM20" s="449"/>
      <c r="AN20" s="449"/>
      <c r="AO20" s="449"/>
      <c r="AP20" s="449"/>
      <c r="AQ20" s="449"/>
      <c r="AR20" s="449"/>
      <c r="AS20" s="449"/>
      <c r="AT20" s="449"/>
      <c r="AU20" s="449"/>
      <c r="AV20" s="449"/>
      <c r="AW20" s="449"/>
      <c r="AX20" s="449"/>
      <c r="AY20" s="449"/>
      <c r="AZ20" s="449"/>
      <c r="BF20" s="449"/>
      <c r="BG20" s="450"/>
      <c r="BH20" s="450"/>
      <c r="BJ20" s="1240"/>
    </row>
    <row r="21" spans="1:62" ht="18.75" customHeight="1">
      <c r="A21" s="1241"/>
      <c r="B21" s="165"/>
      <c r="C21" s="165"/>
      <c r="D21" s="165"/>
      <c r="E21" s="165"/>
      <c r="F21" s="165"/>
      <c r="G21" s="165"/>
      <c r="H21" s="165"/>
      <c r="I21" s="165"/>
      <c r="J21" s="165"/>
      <c r="K21" s="165"/>
      <c r="L21" s="165"/>
      <c r="M21" s="165"/>
      <c r="N21" s="165"/>
      <c r="O21" s="168"/>
      <c r="P21" s="168"/>
      <c r="Q21" s="168"/>
      <c r="R21" s="168"/>
      <c r="S21" s="168"/>
      <c r="T21" s="168"/>
      <c r="U21" s="168"/>
      <c r="V21" s="168"/>
      <c r="W21" s="168"/>
      <c r="X21" s="257">
        <v>2001</v>
      </c>
      <c r="Y21" s="168"/>
      <c r="Z21" s="257">
        <v>2003</v>
      </c>
      <c r="AA21" s="168"/>
      <c r="AB21" s="257">
        <v>2005</v>
      </c>
      <c r="AC21" s="319"/>
      <c r="AD21" s="259">
        <v>2007</v>
      </c>
      <c r="AE21" s="319"/>
      <c r="AF21" s="259">
        <v>2009</v>
      </c>
      <c r="AG21" s="259">
        <v>2010</v>
      </c>
      <c r="AH21" s="259">
        <v>2011</v>
      </c>
      <c r="AI21" s="259">
        <v>2012</v>
      </c>
      <c r="AJ21" s="259">
        <v>2013</v>
      </c>
      <c r="AK21" s="259">
        <v>2014</v>
      </c>
      <c r="AL21" s="259">
        <v>2015</v>
      </c>
      <c r="AM21" s="259">
        <v>2016</v>
      </c>
      <c r="AN21" s="259">
        <v>2017</v>
      </c>
      <c r="AO21" s="259">
        <v>2018</v>
      </c>
      <c r="AP21" s="259">
        <v>2019</v>
      </c>
      <c r="AQ21" s="259" t="s">
        <v>1789</v>
      </c>
      <c r="AR21" s="449"/>
      <c r="AS21" s="449"/>
      <c r="AT21" s="449"/>
      <c r="AU21" s="449"/>
      <c r="AV21" s="449"/>
      <c r="AW21" s="449"/>
      <c r="AX21" s="449"/>
      <c r="AY21" s="449"/>
      <c r="AZ21" s="449"/>
      <c r="BF21" s="449"/>
      <c r="BG21" s="450"/>
      <c r="BH21" s="450"/>
      <c r="BJ21" s="1240"/>
    </row>
    <row r="22" spans="1:62" ht="12" customHeight="1">
      <c r="A22" s="1241"/>
      <c r="B22" s="933"/>
      <c r="C22" s="623"/>
      <c r="D22" s="165"/>
      <c r="E22" s="165"/>
      <c r="F22" s="165"/>
      <c r="G22" s="165"/>
      <c r="H22" s="165"/>
      <c r="I22" s="165"/>
      <c r="J22" s="165"/>
      <c r="K22" s="165"/>
      <c r="L22" s="165"/>
      <c r="M22" s="165"/>
      <c r="N22" s="165"/>
      <c r="O22" s="168"/>
      <c r="P22" s="168"/>
      <c r="Q22" s="168"/>
      <c r="R22" s="168"/>
      <c r="S22" s="168"/>
      <c r="T22" s="168"/>
      <c r="U22" s="168"/>
      <c r="V22" s="168"/>
      <c r="W22" s="168"/>
      <c r="X22" s="75"/>
      <c r="Y22" s="168"/>
      <c r="Z22" s="75"/>
      <c r="AA22" s="168"/>
      <c r="AB22" s="75"/>
      <c r="AC22" s="319"/>
      <c r="AD22" s="75"/>
      <c r="AE22" s="319"/>
      <c r="AF22" s="203"/>
      <c r="AG22" s="448"/>
      <c r="AH22" s="448"/>
      <c r="AI22" s="448"/>
      <c r="AJ22" s="448"/>
      <c r="AK22" s="448"/>
      <c r="AL22" s="448"/>
      <c r="AM22" s="449"/>
      <c r="AN22" s="449"/>
      <c r="AO22" s="449"/>
      <c r="AP22" s="449"/>
      <c r="AQ22" s="449"/>
      <c r="AR22" s="449"/>
      <c r="AS22" s="449"/>
      <c r="AT22" s="449"/>
      <c r="AU22" s="449"/>
      <c r="AV22" s="449"/>
      <c r="AW22" s="449"/>
      <c r="AX22" s="449"/>
      <c r="AY22" s="449"/>
      <c r="AZ22" s="449"/>
      <c r="BF22" s="449"/>
      <c r="BG22" s="450"/>
      <c r="BH22" s="450"/>
      <c r="BJ22" s="1240"/>
    </row>
    <row r="23" spans="1:62" ht="13.5" customHeight="1">
      <c r="A23" s="1241"/>
      <c r="B23" s="1252" t="s">
        <v>489</v>
      </c>
      <c r="C23" s="312"/>
      <c r="D23" s="319"/>
      <c r="E23" s="1248"/>
      <c r="F23" s="1248"/>
      <c r="G23" s="1248"/>
      <c r="H23" s="1248"/>
      <c r="I23" s="1248"/>
      <c r="J23" s="1248"/>
      <c r="K23" s="1248"/>
      <c r="L23" s="1248"/>
      <c r="M23" s="1248"/>
      <c r="N23" s="1248"/>
      <c r="O23" s="1248"/>
      <c r="P23" s="1248"/>
      <c r="Q23" s="1248"/>
      <c r="R23" s="1248"/>
      <c r="S23" s="1248"/>
      <c r="T23" s="1248"/>
      <c r="U23" s="1248"/>
      <c r="V23" s="1249"/>
      <c r="W23" s="1249"/>
      <c r="X23" s="1253">
        <f>X25+X26</f>
        <v>7127</v>
      </c>
      <c r="Y23" s="1249"/>
      <c r="Z23" s="1253">
        <f>Z25+Z26</f>
        <v>7805.2</v>
      </c>
      <c r="AB23" s="1253">
        <f>AB25+AB26</f>
        <v>9088.2999999999993</v>
      </c>
      <c r="AC23" s="319"/>
      <c r="AD23" s="1253">
        <f>AD25+AD26</f>
        <v>11785.3</v>
      </c>
      <c r="AE23" s="319"/>
      <c r="AF23" s="1253">
        <f t="shared" ref="AF23:AQ23" si="10">AF25+AF26</f>
        <v>6120.5555694977975</v>
      </c>
      <c r="AG23" s="1253">
        <f t="shared" si="10"/>
        <v>7600.83</v>
      </c>
      <c r="AH23" s="1253">
        <f t="shared" si="10"/>
        <v>8465.52</v>
      </c>
      <c r="AI23" s="1253">
        <f t="shared" si="10"/>
        <v>8762.5300000000007</v>
      </c>
      <c r="AJ23" s="1253">
        <f t="shared" si="10"/>
        <v>9686.4</v>
      </c>
      <c r="AK23" s="1253">
        <f t="shared" si="10"/>
        <v>10146.711239403496</v>
      </c>
      <c r="AL23" s="1253">
        <f t="shared" si="10"/>
        <v>9532.2299150147501</v>
      </c>
      <c r="AM23" s="1253">
        <f t="shared" si="10"/>
        <v>9641.1</v>
      </c>
      <c r="AN23" s="1253">
        <f t="shared" si="10"/>
        <v>10134.1</v>
      </c>
      <c r="AO23" s="1253">
        <f t="shared" si="10"/>
        <v>10636.699999999999</v>
      </c>
      <c r="AP23" s="1253">
        <f t="shared" si="10"/>
        <v>11289.3</v>
      </c>
      <c r="AQ23" s="1253">
        <f t="shared" si="10"/>
        <v>13346</v>
      </c>
      <c r="AR23" s="449"/>
      <c r="AS23" s="449"/>
      <c r="AT23" s="449"/>
      <c r="AU23" s="449"/>
      <c r="AV23" s="449"/>
      <c r="AW23" s="449"/>
      <c r="AX23" s="449"/>
      <c r="AY23" s="449"/>
      <c r="AZ23" s="449"/>
      <c r="BF23" s="449"/>
      <c r="BG23" s="450"/>
      <c r="BH23" s="450"/>
      <c r="BJ23" s="1240"/>
    </row>
    <row r="24" spans="1:62" ht="12" customHeight="1">
      <c r="A24" s="1241"/>
      <c r="B24" s="1252"/>
      <c r="C24" s="312" t="s">
        <v>453</v>
      </c>
      <c r="D24" s="319"/>
      <c r="E24" s="1248"/>
      <c r="F24" s="1248"/>
      <c r="G24" s="1248"/>
      <c r="H24" s="1248"/>
      <c r="I24" s="1248"/>
      <c r="J24" s="1248"/>
      <c r="K24" s="1248"/>
      <c r="L24" s="1248"/>
      <c r="M24" s="1248"/>
      <c r="N24" s="1248"/>
      <c r="O24" s="1248"/>
      <c r="P24" s="1248"/>
      <c r="Q24" s="1248"/>
      <c r="R24" s="1248"/>
      <c r="S24" s="1248"/>
      <c r="T24" s="1248"/>
      <c r="U24" s="1248"/>
      <c r="V24" s="1249"/>
      <c r="W24" s="1249"/>
      <c r="X24" s="1254"/>
      <c r="Y24" s="1249"/>
      <c r="Z24" s="1254"/>
      <c r="AB24" s="1254"/>
      <c r="AC24" s="319"/>
      <c r="AD24" s="1254"/>
      <c r="AE24" s="319"/>
      <c r="AF24" s="1254"/>
      <c r="AG24" s="1255"/>
      <c r="AH24" s="1255"/>
      <c r="AI24" s="1255"/>
      <c r="AJ24" s="1255"/>
      <c r="AK24" s="1255"/>
      <c r="AL24" s="1255"/>
      <c r="AM24" s="1255"/>
      <c r="AN24" s="1255"/>
      <c r="AO24" s="1255"/>
      <c r="AP24" s="1255"/>
      <c r="AQ24" s="1255"/>
      <c r="AR24" s="449"/>
      <c r="AS24" s="449"/>
      <c r="AT24" s="449"/>
      <c r="AU24" s="449"/>
      <c r="AV24" s="449"/>
      <c r="AW24" s="449"/>
      <c r="AX24" s="449"/>
      <c r="AY24" s="449"/>
      <c r="AZ24" s="449"/>
      <c r="BF24" s="449"/>
      <c r="BG24" s="450"/>
      <c r="BH24" s="450"/>
      <c r="BJ24" s="1240"/>
    </row>
    <row r="25" spans="1:62" ht="12" customHeight="1">
      <c r="A25" s="1241"/>
      <c r="B25" s="1252"/>
      <c r="C25" s="312" t="s">
        <v>490</v>
      </c>
      <c r="D25" s="319"/>
      <c r="E25" s="1248"/>
      <c r="F25" s="1248"/>
      <c r="G25" s="1248"/>
      <c r="H25" s="1248"/>
      <c r="I25" s="1248"/>
      <c r="J25" s="1248"/>
      <c r="K25" s="1248"/>
      <c r="L25" s="1248"/>
      <c r="M25" s="1248"/>
      <c r="N25" s="1248"/>
      <c r="O25" s="1248"/>
      <c r="P25" s="1248"/>
      <c r="Q25" s="1248"/>
      <c r="R25" s="1248"/>
      <c r="S25" s="1248"/>
      <c r="T25" s="1248"/>
      <c r="U25" s="1248"/>
      <c r="V25" s="1249"/>
      <c r="W25" s="1249"/>
      <c r="X25" s="1254">
        <v>6424</v>
      </c>
      <c r="Y25" s="1249"/>
      <c r="Z25" s="1254">
        <v>7433</v>
      </c>
      <c r="AB25" s="1254">
        <v>8808</v>
      </c>
      <c r="AC25" s="319"/>
      <c r="AD25" s="1254">
        <v>10666</v>
      </c>
      <c r="AE25" s="319"/>
      <c r="AF25" s="1254">
        <v>4252.5</v>
      </c>
      <c r="AG25" s="1255">
        <v>5977.2</v>
      </c>
      <c r="AH25" s="1255">
        <v>6904.8</v>
      </c>
      <c r="AI25" s="1255">
        <v>7292.6</v>
      </c>
      <c r="AJ25" s="1255">
        <v>8089.9</v>
      </c>
      <c r="AK25" s="1255">
        <v>8623.8142394034967</v>
      </c>
      <c r="AL25" s="1255">
        <v>8128.5849150147505</v>
      </c>
      <c r="AM25" s="1255">
        <v>8744.6</v>
      </c>
      <c r="AN25" s="1255">
        <v>9306.7000000000007</v>
      </c>
      <c r="AO25" s="1255">
        <v>9803.7999999999993</v>
      </c>
      <c r="AP25" s="1255">
        <v>10610.3</v>
      </c>
      <c r="AQ25" s="1255">
        <v>11411</v>
      </c>
      <c r="AR25" s="449"/>
      <c r="AS25" s="449"/>
      <c r="AT25" s="449"/>
      <c r="AU25" s="449"/>
      <c r="AV25" s="449"/>
      <c r="AW25" s="449"/>
      <c r="AX25" s="449"/>
      <c r="AY25" s="449"/>
      <c r="AZ25" s="449"/>
      <c r="BF25" s="449"/>
      <c r="BG25" s="450"/>
      <c r="BH25" s="450"/>
      <c r="BJ25" s="1240"/>
    </row>
    <row r="26" spans="1:62" ht="12" customHeight="1">
      <c r="A26" s="1241"/>
      <c r="B26" s="1252"/>
      <c r="C26" s="312" t="s">
        <v>491</v>
      </c>
      <c r="D26" s="319"/>
      <c r="E26" s="1248"/>
      <c r="F26" s="1248"/>
      <c r="G26" s="1248"/>
      <c r="H26" s="1248"/>
      <c r="I26" s="1248"/>
      <c r="J26" s="1248"/>
      <c r="K26" s="1248"/>
      <c r="L26" s="1248"/>
      <c r="M26" s="1248"/>
      <c r="N26" s="1248"/>
      <c r="O26" s="1248"/>
      <c r="P26" s="1248"/>
      <c r="Q26" s="1248"/>
      <c r="R26" s="1248"/>
      <c r="S26" s="1248"/>
      <c r="T26" s="1248"/>
      <c r="U26" s="1248"/>
      <c r="V26" s="1249"/>
      <c r="W26" s="1249"/>
      <c r="X26" s="1254">
        <v>703</v>
      </c>
      <c r="Y26" s="1249"/>
      <c r="Z26" s="1254">
        <v>372.2</v>
      </c>
      <c r="AB26" s="1254">
        <v>280.3</v>
      </c>
      <c r="AC26" s="319"/>
      <c r="AD26" s="1254">
        <v>1119.3</v>
      </c>
      <c r="AE26" s="319"/>
      <c r="AF26" s="1254">
        <v>1868.0555694977979</v>
      </c>
      <c r="AG26" s="1255">
        <v>1623.63</v>
      </c>
      <c r="AH26" s="1255">
        <v>1560.72</v>
      </c>
      <c r="AI26" s="1255">
        <v>1469.93</v>
      </c>
      <c r="AJ26" s="1255">
        <v>1596.5</v>
      </c>
      <c r="AK26" s="1255">
        <v>1522.8969999999999</v>
      </c>
      <c r="AL26" s="1255">
        <v>1403.645</v>
      </c>
      <c r="AM26" s="1255">
        <v>896.5</v>
      </c>
      <c r="AN26" s="1255">
        <v>827.4</v>
      </c>
      <c r="AO26" s="1255">
        <v>832.9</v>
      </c>
      <c r="AP26" s="1255">
        <v>679</v>
      </c>
      <c r="AQ26" s="1255">
        <v>1935</v>
      </c>
      <c r="AR26" s="449"/>
      <c r="AS26" s="449"/>
      <c r="AT26" s="449"/>
      <c r="AU26" s="449"/>
      <c r="AV26" s="449"/>
      <c r="AW26" s="449"/>
      <c r="AX26" s="449"/>
      <c r="AY26" s="449"/>
      <c r="AZ26" s="449"/>
      <c r="BF26" s="449"/>
      <c r="BG26" s="450"/>
      <c r="BH26" s="450"/>
      <c r="BJ26" s="1240"/>
    </row>
    <row r="27" spans="1:62" ht="12" customHeight="1">
      <c r="A27" s="1241"/>
      <c r="B27" s="1252"/>
      <c r="C27" s="312"/>
      <c r="D27" s="319"/>
      <c r="E27" s="1248"/>
      <c r="F27" s="1248"/>
      <c r="G27" s="1248"/>
      <c r="H27" s="1248"/>
      <c r="I27" s="1248"/>
      <c r="J27" s="1248"/>
      <c r="K27" s="1248"/>
      <c r="L27" s="1248"/>
      <c r="M27" s="1248"/>
      <c r="N27" s="1248"/>
      <c r="O27" s="1248"/>
      <c r="P27" s="1248"/>
      <c r="Q27" s="1248"/>
      <c r="R27" s="1248"/>
      <c r="S27" s="1248"/>
      <c r="T27" s="1248"/>
      <c r="U27" s="1248"/>
      <c r="V27" s="1249"/>
      <c r="W27" s="1249"/>
      <c r="X27" s="1254"/>
      <c r="Y27" s="1249"/>
      <c r="Z27" s="1254"/>
      <c r="AB27" s="1254"/>
      <c r="AC27" s="319"/>
      <c r="AD27" s="1254"/>
      <c r="AE27" s="319"/>
      <c r="AF27" s="1254"/>
      <c r="AG27" s="1255"/>
      <c r="AH27" s="1255"/>
      <c r="AI27" s="1255"/>
      <c r="AJ27" s="1255"/>
      <c r="AK27" s="1255"/>
      <c r="AL27" s="1255"/>
      <c r="AM27" s="1255"/>
      <c r="AN27" s="1255"/>
      <c r="AO27" s="1255"/>
      <c r="AP27" s="1255"/>
      <c r="AQ27" s="1255"/>
      <c r="AR27" s="449"/>
      <c r="AS27" s="449"/>
      <c r="AT27" s="449"/>
      <c r="AU27" s="449"/>
      <c r="AV27" s="449"/>
      <c r="AW27" s="449"/>
      <c r="AX27" s="449"/>
      <c r="AY27" s="449"/>
      <c r="AZ27" s="449"/>
      <c r="BF27" s="449"/>
      <c r="BG27" s="450"/>
      <c r="BH27" s="450"/>
      <c r="BJ27" s="1240"/>
    </row>
    <row r="28" spans="1:62" ht="14.25" customHeight="1">
      <c r="A28" s="1241"/>
      <c r="B28" s="1252" t="s">
        <v>492</v>
      </c>
      <c r="C28" s="312"/>
      <c r="D28" s="319"/>
      <c r="E28" s="1248"/>
      <c r="F28" s="1248"/>
      <c r="G28" s="1248"/>
      <c r="H28" s="1248"/>
      <c r="I28" s="1248"/>
      <c r="J28" s="1248"/>
      <c r="K28" s="1248"/>
      <c r="L28" s="1248"/>
      <c r="M28" s="1248"/>
      <c r="N28" s="1248"/>
      <c r="O28" s="1248"/>
      <c r="P28" s="1248"/>
      <c r="Q28" s="1248"/>
      <c r="R28" s="1248"/>
      <c r="S28" s="1248"/>
      <c r="T28" s="1248"/>
      <c r="U28" s="1248"/>
      <c r="V28" s="1249"/>
      <c r="W28" s="1249"/>
      <c r="X28" s="1256">
        <f>X30</f>
        <v>1321</v>
      </c>
      <c r="Y28" s="1249"/>
      <c r="Z28" s="1256">
        <f>Z30</f>
        <v>1646</v>
      </c>
      <c r="AB28" s="1256">
        <f>AB30</f>
        <v>1739</v>
      </c>
      <c r="AC28" s="319"/>
      <c r="AD28" s="1256">
        <f>AD30</f>
        <v>2114.6999999999998</v>
      </c>
      <c r="AE28" s="319"/>
      <c r="AF28" s="1256">
        <f t="shared" ref="AF28:AN28" si="11">AF30</f>
        <v>734.7</v>
      </c>
      <c r="AG28" s="1256">
        <f t="shared" si="11"/>
        <v>864.1</v>
      </c>
      <c r="AH28" s="1256">
        <f t="shared" si="11"/>
        <v>825.4</v>
      </c>
      <c r="AI28" s="1256">
        <f t="shared" si="11"/>
        <v>847.8</v>
      </c>
      <c r="AJ28" s="1256">
        <f t="shared" si="11"/>
        <v>765.4</v>
      </c>
      <c r="AK28" s="1256">
        <f t="shared" si="11"/>
        <v>736.63637555644107</v>
      </c>
      <c r="AL28" s="1256">
        <f t="shared" si="11"/>
        <v>736.53935206290146</v>
      </c>
      <c r="AM28" s="1256">
        <f t="shared" si="11"/>
        <v>873</v>
      </c>
      <c r="AN28" s="1256">
        <f t="shared" si="11"/>
        <v>886.1</v>
      </c>
      <c r="AO28" s="1256">
        <f>AO30</f>
        <v>973.6</v>
      </c>
      <c r="AP28" s="1256">
        <f t="shared" ref="AP28:AQ28" si="12">AP30</f>
        <v>790.3</v>
      </c>
      <c r="AQ28" s="1256">
        <f t="shared" si="12"/>
        <v>1129.5</v>
      </c>
      <c r="AR28" s="449"/>
      <c r="AS28" s="449"/>
      <c r="AT28" s="449"/>
      <c r="AU28" s="449"/>
      <c r="AV28" s="449"/>
      <c r="AW28" s="449"/>
      <c r="AX28" s="449"/>
      <c r="AY28" s="449"/>
      <c r="AZ28" s="449"/>
      <c r="BF28" s="449"/>
      <c r="BG28" s="450"/>
      <c r="BH28" s="450"/>
      <c r="BJ28" s="1240"/>
    </row>
    <row r="29" spans="1:62" ht="12" customHeight="1">
      <c r="A29" s="1241"/>
      <c r="B29" s="1252"/>
      <c r="C29" s="312" t="s">
        <v>453</v>
      </c>
      <c r="D29" s="319"/>
      <c r="E29" s="1248"/>
      <c r="F29" s="1248"/>
      <c r="G29" s="1248"/>
      <c r="H29" s="1248"/>
      <c r="I29" s="1248"/>
      <c r="J29" s="1248"/>
      <c r="K29" s="1248"/>
      <c r="L29" s="1248"/>
      <c r="M29" s="1248"/>
      <c r="N29" s="1248"/>
      <c r="O29" s="1248"/>
      <c r="P29" s="1248"/>
      <c r="Q29" s="1248"/>
      <c r="R29" s="1248"/>
      <c r="S29" s="1248"/>
      <c r="T29" s="1248"/>
      <c r="U29" s="1248"/>
      <c r="V29" s="1249"/>
      <c r="W29" s="1249"/>
      <c r="X29" s="1254"/>
      <c r="Y29" s="1249"/>
      <c r="Z29" s="1254"/>
      <c r="AB29" s="1254"/>
      <c r="AC29" s="319"/>
      <c r="AD29" s="1254"/>
      <c r="AE29" s="319"/>
      <c r="AF29" s="1254"/>
      <c r="AG29" s="1255"/>
      <c r="AH29" s="1255"/>
      <c r="AI29" s="1255"/>
      <c r="AJ29" s="1255"/>
      <c r="AK29" s="1255"/>
      <c r="AL29" s="1255"/>
      <c r="AM29" s="1255"/>
      <c r="AN29" s="1255"/>
      <c r="AO29" s="1255"/>
      <c r="AP29" s="1255"/>
      <c r="AQ29" s="1255"/>
      <c r="AR29" s="449"/>
      <c r="AS29" s="449"/>
      <c r="AT29" s="449"/>
      <c r="AU29" s="449"/>
      <c r="AV29" s="449"/>
      <c r="AW29" s="449"/>
      <c r="AX29" s="449"/>
      <c r="AY29" s="449"/>
      <c r="AZ29" s="449"/>
      <c r="BF29" s="449"/>
      <c r="BG29" s="450"/>
      <c r="BH29" s="450"/>
      <c r="BJ29" s="1240"/>
    </row>
    <row r="30" spans="1:62" ht="12" customHeight="1">
      <c r="A30" s="1241"/>
      <c r="B30" s="1252"/>
      <c r="C30" s="1257" t="s">
        <v>454</v>
      </c>
      <c r="D30" s="319"/>
      <c r="E30" s="1248"/>
      <c r="F30" s="1248"/>
      <c r="G30" s="1248"/>
      <c r="H30" s="1248"/>
      <c r="I30" s="1248"/>
      <c r="J30" s="1248"/>
      <c r="K30" s="1248"/>
      <c r="L30" s="1248"/>
      <c r="M30" s="1248"/>
      <c r="N30" s="1248"/>
      <c r="O30" s="1248"/>
      <c r="P30" s="1248"/>
      <c r="Q30" s="1248"/>
      <c r="R30" s="1248"/>
      <c r="S30" s="1248"/>
      <c r="T30" s="1248"/>
      <c r="U30" s="1248"/>
      <c r="V30" s="1249"/>
      <c r="W30" s="1249"/>
      <c r="X30" s="1258">
        <v>1321</v>
      </c>
      <c r="Y30" s="1249"/>
      <c r="Z30" s="1258">
        <v>1646</v>
      </c>
      <c r="AB30" s="1258">
        <v>1739</v>
      </c>
      <c r="AC30" s="319"/>
      <c r="AD30" s="1258">
        <v>2114.6999999999998</v>
      </c>
      <c r="AE30" s="319"/>
      <c r="AF30" s="1258">
        <v>734.7</v>
      </c>
      <c r="AG30" s="1255">
        <v>864.1</v>
      </c>
      <c r="AH30" s="1255">
        <v>825.4</v>
      </c>
      <c r="AI30" s="1255">
        <v>847.8</v>
      </c>
      <c r="AJ30" s="1255">
        <v>765.4</v>
      </c>
      <c r="AK30" s="1255">
        <v>736.63637555644107</v>
      </c>
      <c r="AL30" s="1255">
        <v>736.53935206290146</v>
      </c>
      <c r="AM30" s="1255">
        <v>873</v>
      </c>
      <c r="AN30" s="1255">
        <v>886.1</v>
      </c>
      <c r="AO30" s="1255">
        <v>973.6</v>
      </c>
      <c r="AP30" s="1255">
        <v>790.3</v>
      </c>
      <c r="AQ30" s="1255">
        <v>1129.5</v>
      </c>
      <c r="AR30" s="449"/>
      <c r="AS30" s="449"/>
      <c r="AT30" s="449"/>
      <c r="AU30" s="449"/>
      <c r="AV30" s="449"/>
      <c r="AW30" s="449"/>
      <c r="AX30" s="449"/>
      <c r="AY30" s="449"/>
      <c r="AZ30" s="449"/>
      <c r="BF30" s="449"/>
      <c r="BG30" s="450"/>
      <c r="BH30" s="450"/>
      <c r="BJ30" s="1240"/>
    </row>
    <row r="31" spans="1:62" ht="12" customHeight="1">
      <c r="A31" s="1241"/>
      <c r="B31" s="1252"/>
      <c r="C31" s="1257" t="s">
        <v>1618</v>
      </c>
      <c r="D31" s="319"/>
      <c r="E31" s="1248"/>
      <c r="F31" s="1248"/>
      <c r="G31" s="1248"/>
      <c r="H31" s="1248"/>
      <c r="I31" s="1248"/>
      <c r="J31" s="1248"/>
      <c r="K31" s="1248"/>
      <c r="L31" s="1248"/>
      <c r="M31" s="1248"/>
      <c r="N31" s="1248"/>
      <c r="O31" s="1248"/>
      <c r="P31" s="1248"/>
      <c r="Q31" s="1248"/>
      <c r="R31" s="1248"/>
      <c r="S31" s="1248"/>
      <c r="T31" s="1248"/>
      <c r="U31" s="1248"/>
      <c r="V31" s="1249"/>
      <c r="W31" s="1249"/>
      <c r="X31" s="1259"/>
      <c r="Y31" s="1249"/>
      <c r="Z31" s="1259"/>
      <c r="AB31" s="1259"/>
      <c r="AC31" s="319"/>
      <c r="AD31" s="1259"/>
      <c r="AE31" s="319"/>
      <c r="AF31" s="1259"/>
      <c r="AG31" s="1259"/>
      <c r="AH31" s="1259"/>
      <c r="AI31" s="1259"/>
      <c r="AJ31" s="1259"/>
      <c r="AK31" s="1259"/>
      <c r="AL31" s="1259"/>
      <c r="AM31" s="1259"/>
      <c r="AN31" s="1259"/>
      <c r="AO31" s="1259"/>
      <c r="AP31" s="1259"/>
      <c r="AQ31" s="1259"/>
      <c r="AR31" s="449"/>
      <c r="AS31" s="449"/>
      <c r="AT31" s="449"/>
      <c r="AU31" s="449"/>
      <c r="AV31" s="449"/>
      <c r="AW31" s="449"/>
      <c r="AX31" s="449"/>
      <c r="AY31" s="449"/>
      <c r="AZ31" s="449"/>
      <c r="BF31" s="449"/>
      <c r="BG31" s="450"/>
      <c r="BH31" s="450"/>
      <c r="BJ31" s="1240"/>
    </row>
    <row r="32" spans="1:62" ht="12" customHeight="1">
      <c r="A32" s="1241"/>
      <c r="B32" s="1252"/>
      <c r="C32" s="1257"/>
      <c r="D32" s="319"/>
      <c r="E32" s="1248"/>
      <c r="F32" s="1248"/>
      <c r="G32" s="1248"/>
      <c r="H32" s="1248"/>
      <c r="I32" s="1248"/>
      <c r="J32" s="1248"/>
      <c r="K32" s="1248"/>
      <c r="L32" s="1248"/>
      <c r="M32" s="1248"/>
      <c r="N32" s="1248"/>
      <c r="O32" s="1248"/>
      <c r="P32" s="1248"/>
      <c r="Q32" s="1248"/>
      <c r="R32" s="1248"/>
      <c r="S32" s="1248"/>
      <c r="T32" s="1248"/>
      <c r="U32" s="1248"/>
      <c r="V32" s="1249"/>
      <c r="W32" s="1249"/>
      <c r="X32" s="1258"/>
      <c r="Y32" s="1249"/>
      <c r="Z32" s="1258"/>
      <c r="AB32" s="1258"/>
      <c r="AC32" s="319"/>
      <c r="AD32" s="1258"/>
      <c r="AE32" s="319"/>
      <c r="AF32" s="1258"/>
      <c r="AG32" s="1258"/>
      <c r="AH32" s="1255"/>
      <c r="AI32" s="1255"/>
      <c r="AJ32" s="1255"/>
      <c r="AK32" s="1255"/>
      <c r="AL32" s="1255"/>
      <c r="AM32" s="1255"/>
      <c r="AN32" s="449"/>
      <c r="AO32" s="449"/>
      <c r="AP32" s="449"/>
      <c r="AQ32" s="449"/>
      <c r="AR32" s="449"/>
      <c r="AS32" s="449"/>
      <c r="AT32" s="449"/>
      <c r="AU32" s="449"/>
      <c r="AV32" s="449"/>
      <c r="AW32" s="449"/>
      <c r="AX32" s="449"/>
      <c r="AY32" s="449"/>
      <c r="AZ32" s="449"/>
      <c r="BF32" s="449"/>
      <c r="BG32" s="450"/>
      <c r="BH32" s="450"/>
      <c r="BJ32" s="1240"/>
    </row>
    <row r="33" spans="1:62" ht="14.25" customHeight="1">
      <c r="A33" s="1241"/>
      <c r="B33" s="1252"/>
      <c r="C33" s="1257"/>
      <c r="D33" s="319"/>
      <c r="E33" s="1248"/>
      <c r="F33" s="1248"/>
      <c r="G33" s="1248"/>
      <c r="H33" s="1248"/>
      <c r="I33" s="1248"/>
      <c r="J33" s="1248"/>
      <c r="K33" s="1248"/>
      <c r="L33" s="1248"/>
      <c r="M33" s="1248"/>
      <c r="N33" s="1248"/>
      <c r="O33" s="1248"/>
      <c r="P33" s="1248"/>
      <c r="Q33" s="1248"/>
      <c r="R33" s="1248"/>
      <c r="S33" s="1248"/>
      <c r="T33" s="1248"/>
      <c r="U33" s="1248"/>
      <c r="V33" s="1249"/>
      <c r="W33" s="1249"/>
      <c r="X33" s="1253"/>
      <c r="Y33" s="1249"/>
      <c r="Z33" s="1253"/>
      <c r="AB33" s="1253"/>
      <c r="AC33" s="319"/>
      <c r="AD33" s="1253"/>
      <c r="AE33" s="319"/>
      <c r="AF33" s="1253"/>
      <c r="AG33" s="1253"/>
      <c r="AH33" s="1253"/>
      <c r="AI33" s="1253"/>
      <c r="AJ33" s="1253"/>
      <c r="AK33" s="1253"/>
      <c r="AL33" s="1253"/>
      <c r="AM33" s="1253"/>
      <c r="AN33" s="449"/>
      <c r="AO33" s="449"/>
      <c r="AP33" s="449"/>
      <c r="AQ33" s="449"/>
      <c r="AR33" s="449"/>
      <c r="AS33" s="449"/>
      <c r="AT33" s="449"/>
      <c r="AU33" s="449"/>
      <c r="AV33" s="449"/>
      <c r="AW33" s="449"/>
      <c r="AX33" s="449"/>
      <c r="AY33" s="449"/>
      <c r="AZ33" s="449"/>
      <c r="BF33" s="449"/>
      <c r="BG33" s="450"/>
      <c r="BH33" s="450"/>
      <c r="BJ33" s="1240"/>
    </row>
    <row r="34" spans="1:62" ht="12" customHeight="1">
      <c r="A34" s="1241"/>
      <c r="B34" s="1260" t="s">
        <v>493</v>
      </c>
      <c r="C34" s="1261"/>
      <c r="D34" s="1261"/>
      <c r="E34" s="1261"/>
      <c r="F34" s="1261"/>
      <c r="G34" s="1261"/>
      <c r="H34" s="1261"/>
      <c r="I34" s="1261"/>
      <c r="J34" s="1261"/>
      <c r="K34" s="1261"/>
      <c r="L34" s="1261"/>
      <c r="M34" s="1261"/>
      <c r="N34" s="1261"/>
      <c r="O34" s="1261"/>
      <c r="P34" s="1261"/>
      <c r="Q34" s="1261"/>
      <c r="R34" s="1261"/>
      <c r="S34" s="1261"/>
      <c r="T34" s="1261"/>
      <c r="U34" s="1261"/>
      <c r="V34" s="1261"/>
      <c r="W34" s="1261"/>
      <c r="X34" s="1262">
        <f>X23+X28</f>
        <v>8448</v>
      </c>
      <c r="Y34" s="1261"/>
      <c r="Z34" s="1262">
        <f>Z23+Z28</f>
        <v>9451.2000000000007</v>
      </c>
      <c r="AA34" s="1261"/>
      <c r="AB34" s="1262">
        <f>AB23+AB28</f>
        <v>10827.3</v>
      </c>
      <c r="AC34" s="319"/>
      <c r="AD34" s="1262">
        <f>AD23+AD28</f>
        <v>13900</v>
      </c>
      <c r="AE34" s="319"/>
      <c r="AF34" s="1262">
        <f t="shared" ref="AF34:AN34" si="13">AF23+AF28</f>
        <v>6855.2555694977973</v>
      </c>
      <c r="AG34" s="1262">
        <f t="shared" si="13"/>
        <v>8464.93</v>
      </c>
      <c r="AH34" s="1262">
        <f t="shared" si="13"/>
        <v>9290.92</v>
      </c>
      <c r="AI34" s="1262">
        <f t="shared" si="13"/>
        <v>9610.33</v>
      </c>
      <c r="AJ34" s="1262">
        <f t="shared" si="13"/>
        <v>10451.799999999999</v>
      </c>
      <c r="AK34" s="1262">
        <f t="shared" si="13"/>
        <v>10883.347614959937</v>
      </c>
      <c r="AL34" s="1262">
        <f t="shared" si="13"/>
        <v>10268.769267077652</v>
      </c>
      <c r="AM34" s="1262">
        <f t="shared" si="13"/>
        <v>10514.1</v>
      </c>
      <c r="AN34" s="1262">
        <f t="shared" si="13"/>
        <v>11020.2</v>
      </c>
      <c r="AO34" s="1262">
        <f>AO23+AO28</f>
        <v>11610.3</v>
      </c>
      <c r="AP34" s="1262">
        <f t="shared" ref="AP34:AQ34" si="14">AP23+AP28</f>
        <v>12079.599999999999</v>
      </c>
      <c r="AQ34" s="1262">
        <f t="shared" si="14"/>
        <v>14475.5</v>
      </c>
      <c r="AR34" s="449"/>
      <c r="AS34" s="449"/>
      <c r="AT34" s="449"/>
      <c r="AU34" s="449"/>
      <c r="AV34" s="449"/>
      <c r="AW34" s="449"/>
      <c r="AX34" s="449"/>
      <c r="AY34" s="449"/>
      <c r="AZ34" s="449"/>
      <c r="BF34" s="449"/>
      <c r="BG34" s="450"/>
      <c r="BH34" s="450"/>
      <c r="BJ34" s="1240"/>
    </row>
    <row r="35" spans="1:62" ht="12" customHeight="1">
      <c r="A35" s="1241"/>
      <c r="B35" s="1252"/>
      <c r="C35" s="1257"/>
      <c r="D35" s="1257"/>
      <c r="E35" s="1257"/>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63"/>
      <c r="AC35" s="1263"/>
      <c r="AD35" s="1263"/>
      <c r="AE35" s="1263"/>
      <c r="AF35" s="1263"/>
      <c r="AG35" s="449"/>
      <c r="AH35" s="449"/>
      <c r="AI35" s="449"/>
      <c r="AJ35" s="449"/>
      <c r="AK35" s="449"/>
      <c r="AL35" s="449"/>
      <c r="AM35" s="449"/>
      <c r="AN35" s="449"/>
      <c r="AO35" s="449"/>
      <c r="AP35" s="449"/>
      <c r="AQ35" s="449"/>
      <c r="AR35" s="449"/>
      <c r="AS35" s="449"/>
      <c r="AT35" s="449"/>
      <c r="AU35" s="449"/>
      <c r="AV35" s="449"/>
      <c r="AW35" s="449"/>
      <c r="AX35" s="449"/>
      <c r="AY35" s="449"/>
      <c r="AZ35" s="449"/>
      <c r="BF35" s="449"/>
      <c r="BG35" s="450"/>
      <c r="BH35" s="450"/>
      <c r="BJ35" s="1240"/>
    </row>
    <row r="36" spans="1:62" ht="27.75" customHeight="1">
      <c r="A36" s="1241"/>
      <c r="B36" s="1959" t="s">
        <v>494</v>
      </c>
      <c r="C36" s="1959"/>
      <c r="D36" s="1959"/>
      <c r="E36" s="1959"/>
      <c r="F36" s="1959"/>
      <c r="G36" s="1959"/>
      <c r="H36" s="1959"/>
      <c r="I36" s="1959"/>
      <c r="J36" s="1959"/>
      <c r="K36" s="1959"/>
      <c r="L36" s="1959"/>
      <c r="M36" s="1959"/>
      <c r="N36" s="1959"/>
      <c r="O36" s="1959"/>
      <c r="P36" s="1959"/>
      <c r="Q36" s="1959"/>
      <c r="R36" s="1959"/>
      <c r="S36" s="1959"/>
      <c r="T36" s="1959"/>
      <c r="U36" s="1959"/>
      <c r="V36" s="1959"/>
      <c r="W36" s="1959"/>
      <c r="X36" s="1959"/>
      <c r="Y36" s="1959"/>
      <c r="Z36" s="1959"/>
      <c r="AA36" s="1959"/>
      <c r="AB36" s="1959"/>
      <c r="AC36" s="1959"/>
      <c r="AD36" s="1959"/>
      <c r="AE36" s="1959"/>
      <c r="AF36" s="1959"/>
      <c r="AG36" s="1959"/>
      <c r="AH36" s="1959"/>
      <c r="AI36" s="1959"/>
      <c r="AJ36" s="1959"/>
      <c r="AK36" s="1960"/>
      <c r="AL36" s="1960"/>
      <c r="AM36" s="1960"/>
      <c r="AN36" s="449"/>
      <c r="AO36" s="449"/>
      <c r="AP36" s="449"/>
      <c r="AQ36" s="449"/>
      <c r="AR36" s="449"/>
      <c r="AS36" s="449"/>
      <c r="AT36" s="449"/>
      <c r="AU36" s="449"/>
      <c r="AV36" s="449"/>
      <c r="AW36" s="449"/>
      <c r="AX36" s="449"/>
      <c r="AY36" s="449"/>
      <c r="AZ36" s="449"/>
      <c r="BF36" s="449"/>
      <c r="BG36" s="450"/>
      <c r="BH36" s="450"/>
      <c r="BJ36" s="1240"/>
    </row>
    <row r="37" spans="1:62" ht="15">
      <c r="A37" s="1241"/>
      <c r="B37" s="1961"/>
      <c r="C37" s="1962"/>
      <c r="D37" s="1962"/>
      <c r="E37" s="1962"/>
      <c r="F37" s="1962"/>
      <c r="G37" s="1962"/>
      <c r="H37" s="1962"/>
      <c r="I37" s="1962"/>
      <c r="J37" s="1962"/>
      <c r="K37" s="1962"/>
      <c r="L37" s="1962"/>
      <c r="M37" s="1962"/>
      <c r="N37" s="1962"/>
      <c r="O37" s="1962"/>
      <c r="P37" s="1962"/>
      <c r="Q37" s="1962"/>
      <c r="R37" s="1962"/>
      <c r="S37" s="1962"/>
      <c r="T37" s="1962"/>
      <c r="U37" s="1962"/>
      <c r="V37" s="1962"/>
      <c r="W37" s="1962"/>
      <c r="X37" s="1962"/>
      <c r="Y37" s="1962"/>
      <c r="Z37" s="1962"/>
      <c r="AA37" s="1962"/>
      <c r="AB37" s="1962"/>
      <c r="AC37" s="1962"/>
      <c r="AD37" s="1962"/>
      <c r="AE37" s="1962"/>
      <c r="AF37" s="1960"/>
      <c r="AG37" s="449"/>
      <c r="AH37" s="449"/>
      <c r="AI37" s="449"/>
      <c r="AJ37" s="449"/>
      <c r="AK37" s="449"/>
      <c r="AL37" s="449"/>
      <c r="AM37" s="449"/>
      <c r="AN37" s="449"/>
      <c r="AO37" s="449"/>
      <c r="AP37" s="449"/>
      <c r="AQ37" s="449"/>
      <c r="AR37" s="449"/>
      <c r="AS37" s="449"/>
      <c r="AT37" s="449"/>
      <c r="AU37" s="449"/>
      <c r="AV37" s="449"/>
      <c r="AW37" s="449"/>
      <c r="AX37" s="449"/>
      <c r="AY37" s="449"/>
      <c r="AZ37" s="449"/>
      <c r="BF37" s="449"/>
      <c r="BG37" s="450"/>
      <c r="BH37" s="450"/>
      <c r="BJ37" s="1240"/>
    </row>
    <row r="38" spans="1:62" ht="15">
      <c r="A38" s="1241"/>
      <c r="B38" s="923" t="s">
        <v>495</v>
      </c>
      <c r="C38" s="955"/>
      <c r="D38" s="955"/>
      <c r="E38" s="955"/>
      <c r="F38" s="955"/>
      <c r="G38" s="955"/>
      <c r="H38" s="955"/>
      <c r="I38" s="955"/>
      <c r="J38" s="955"/>
      <c r="K38" s="955"/>
      <c r="L38" s="955"/>
      <c r="M38" s="955"/>
      <c r="N38" s="955"/>
      <c r="O38" s="955"/>
      <c r="P38" s="955"/>
      <c r="Q38" s="955"/>
      <c r="R38" s="955"/>
      <c r="S38" s="955"/>
      <c r="T38" s="955"/>
      <c r="U38" s="955"/>
      <c r="V38" s="955"/>
      <c r="W38" s="955"/>
      <c r="X38" s="955"/>
      <c r="Y38" s="955"/>
      <c r="Z38" s="955"/>
      <c r="AA38" s="955"/>
      <c r="AB38" s="1264"/>
      <c r="AC38" s="1265"/>
      <c r="AD38" s="1264"/>
      <c r="AE38" s="1265"/>
      <c r="AF38" s="1265"/>
      <c r="AG38" s="449"/>
      <c r="AH38" s="449"/>
      <c r="AI38" s="449"/>
      <c r="AJ38" s="449"/>
      <c r="AK38" s="449"/>
      <c r="AL38" s="449"/>
      <c r="AM38" s="449"/>
      <c r="AN38" s="449"/>
      <c r="AO38" s="449"/>
      <c r="AP38" s="449"/>
      <c r="AQ38" s="449"/>
      <c r="AR38" s="449"/>
      <c r="AS38" s="449"/>
      <c r="AT38" s="449"/>
      <c r="AU38" s="449"/>
      <c r="AV38" s="449"/>
      <c r="AW38" s="449"/>
      <c r="AX38" s="449"/>
      <c r="AY38" s="449"/>
      <c r="AZ38" s="449"/>
      <c r="BF38" s="449"/>
      <c r="BG38" s="450"/>
      <c r="BH38" s="450"/>
      <c r="BJ38" s="1240"/>
    </row>
    <row r="39" spans="1:62" ht="12" customHeight="1">
      <c r="A39" s="1241"/>
      <c r="B39" s="319" t="s">
        <v>504</v>
      </c>
      <c r="E39" s="1248"/>
      <c r="F39" s="1248"/>
      <c r="G39" s="1248"/>
      <c r="H39" s="1248"/>
      <c r="I39" s="1248"/>
      <c r="J39" s="1248"/>
      <c r="K39" s="1248"/>
      <c r="L39" s="1248"/>
      <c r="M39" s="1248"/>
      <c r="N39" s="1248"/>
      <c r="O39" s="1248"/>
      <c r="P39" s="1248"/>
      <c r="Q39" s="1248"/>
      <c r="R39" s="1248"/>
      <c r="S39" s="1248"/>
      <c r="T39" s="1248"/>
      <c r="U39" s="1248"/>
      <c r="V39" s="1249"/>
      <c r="W39" s="1249"/>
      <c r="X39" s="1249"/>
      <c r="Y39" s="1249"/>
      <c r="Z39" s="1249"/>
      <c r="AB39" s="448"/>
      <c r="AC39" s="448"/>
      <c r="AD39" s="448"/>
      <c r="AE39" s="448"/>
      <c r="AF39" s="448"/>
      <c r="AG39" s="449"/>
      <c r="AH39" s="449"/>
      <c r="AI39" s="449"/>
      <c r="AJ39" s="449"/>
      <c r="AK39" s="449"/>
      <c r="AL39" s="449"/>
      <c r="AM39" s="449"/>
      <c r="AN39" s="449"/>
      <c r="AO39" s="449"/>
      <c r="AP39" s="449"/>
      <c r="AQ39" s="449"/>
      <c r="AR39" s="449"/>
      <c r="AS39" s="449"/>
      <c r="AT39" s="449"/>
      <c r="AU39" s="449"/>
      <c r="AV39" s="449"/>
      <c r="AW39" s="449"/>
      <c r="AX39" s="449"/>
      <c r="AY39" s="449"/>
      <c r="AZ39" s="449"/>
      <c r="BF39" s="449"/>
      <c r="BG39" s="450"/>
      <c r="BH39" s="450"/>
      <c r="BJ39" s="1240"/>
    </row>
    <row r="40" spans="1:62" ht="12" customHeight="1">
      <c r="A40" s="1241"/>
      <c r="B40" s="1266" t="s">
        <v>1619</v>
      </c>
      <c r="E40" s="1248"/>
      <c r="F40" s="1248"/>
      <c r="G40" s="1248"/>
      <c r="H40" s="1248"/>
      <c r="I40" s="1248"/>
      <c r="J40" s="1248"/>
      <c r="K40" s="1248"/>
      <c r="L40" s="1248"/>
      <c r="M40" s="1248"/>
      <c r="N40" s="1248"/>
      <c r="O40" s="1248"/>
      <c r="P40" s="1248"/>
      <c r="Q40" s="1248"/>
      <c r="R40" s="1248"/>
      <c r="S40" s="1248"/>
      <c r="T40" s="1248"/>
      <c r="U40" s="1248"/>
      <c r="V40" s="1249"/>
      <c r="W40" s="1249"/>
      <c r="X40" s="1249"/>
      <c r="Y40" s="1249"/>
      <c r="Z40" s="1249"/>
      <c r="AB40" s="448"/>
      <c r="AC40" s="448"/>
      <c r="AD40" s="448"/>
      <c r="AE40" s="448"/>
      <c r="AF40" s="448"/>
      <c r="AG40" s="449"/>
      <c r="AH40" s="449"/>
      <c r="AI40" s="449"/>
      <c r="AJ40" s="449"/>
      <c r="AK40" s="449"/>
      <c r="AL40" s="449"/>
      <c r="AM40" s="449"/>
      <c r="AN40" s="449"/>
      <c r="AO40" s="449"/>
      <c r="AP40" s="449"/>
      <c r="AQ40" s="449"/>
      <c r="AR40" s="449"/>
      <c r="AS40" s="449"/>
      <c r="AT40" s="449"/>
      <c r="AU40" s="449"/>
      <c r="AV40" s="449"/>
      <c r="AW40" s="449"/>
      <c r="AX40" s="449"/>
      <c r="AY40" s="449"/>
      <c r="AZ40" s="449"/>
      <c r="BF40" s="449"/>
      <c r="BG40" s="450"/>
      <c r="BH40" s="450"/>
      <c r="BJ40" s="1240"/>
    </row>
    <row r="41" spans="1:62" ht="12" customHeight="1">
      <c r="A41" s="1241"/>
      <c r="B41" s="165"/>
      <c r="E41" s="1248"/>
      <c r="F41" s="1248"/>
      <c r="G41" s="1248"/>
      <c r="H41" s="1248"/>
      <c r="I41" s="1248"/>
      <c r="J41" s="1248"/>
      <c r="K41" s="1248"/>
      <c r="L41" s="1248"/>
      <c r="M41" s="1248"/>
      <c r="N41" s="1248"/>
      <c r="O41" s="1248"/>
      <c r="P41" s="1248"/>
      <c r="Q41" s="1248"/>
      <c r="R41" s="1248"/>
      <c r="S41" s="1248"/>
      <c r="T41" s="1248"/>
      <c r="U41" s="1248"/>
      <c r="V41" s="1249"/>
      <c r="W41" s="1249"/>
      <c r="X41" s="1249"/>
      <c r="Y41" s="1249"/>
      <c r="Z41" s="1249"/>
      <c r="AB41" s="448"/>
      <c r="AC41" s="448"/>
      <c r="AD41" s="448"/>
      <c r="AE41" s="448"/>
      <c r="AF41" s="448"/>
      <c r="AG41" s="449"/>
      <c r="AH41" s="449"/>
      <c r="AI41" s="449"/>
      <c r="AJ41" s="449"/>
      <c r="AK41" s="449"/>
      <c r="AL41" s="449"/>
      <c r="AM41" s="449"/>
      <c r="AN41" s="449"/>
      <c r="AO41" s="449"/>
      <c r="AP41" s="449"/>
      <c r="AQ41" s="449"/>
      <c r="AR41" s="449"/>
      <c r="AS41" s="449"/>
      <c r="AT41" s="449"/>
      <c r="AU41" s="449"/>
      <c r="AV41" s="449"/>
      <c r="AW41" s="449"/>
      <c r="AX41" s="449"/>
      <c r="AY41" s="449"/>
      <c r="AZ41" s="449"/>
      <c r="BF41" s="449"/>
      <c r="BG41" s="450"/>
      <c r="BH41" s="450"/>
      <c r="BJ41" s="1240"/>
    </row>
    <row r="42" spans="1:62" ht="12" hidden="1" customHeight="1">
      <c r="A42" s="1241"/>
      <c r="B42" s="165"/>
      <c r="E42" s="1248"/>
      <c r="F42" s="1248"/>
      <c r="G42" s="1248"/>
      <c r="H42" s="1248"/>
      <c r="I42" s="1248"/>
      <c r="J42" s="1248"/>
      <c r="K42" s="1248"/>
      <c r="L42" s="1248"/>
      <c r="M42" s="1248"/>
      <c r="N42" s="1248"/>
      <c r="O42" s="1248"/>
      <c r="P42" s="1248"/>
      <c r="Q42" s="1248"/>
      <c r="R42" s="1248"/>
      <c r="S42" s="1248"/>
      <c r="T42" s="1248"/>
      <c r="U42" s="1248"/>
      <c r="V42" s="1249"/>
      <c r="W42" s="1249"/>
      <c r="X42" s="1249"/>
      <c r="Y42" s="1249"/>
      <c r="Z42" s="1249"/>
      <c r="AB42" s="448"/>
      <c r="AC42" s="448"/>
      <c r="AD42" s="448"/>
      <c r="AE42" s="448"/>
      <c r="AF42" s="448"/>
      <c r="AG42" s="449"/>
      <c r="AH42" s="449"/>
      <c r="AI42" s="449"/>
      <c r="AJ42" s="449"/>
      <c r="AK42" s="449"/>
      <c r="AL42" s="449"/>
      <c r="AM42" s="449"/>
      <c r="AN42" s="449"/>
      <c r="AO42" s="449"/>
      <c r="AP42" s="449"/>
      <c r="AQ42" s="449"/>
      <c r="AR42" s="449"/>
      <c r="AS42" s="449"/>
      <c r="AT42" s="449"/>
      <c r="AU42" s="449"/>
      <c r="AV42" s="449"/>
      <c r="AW42" s="449"/>
      <c r="AX42" s="449"/>
      <c r="AY42" s="449"/>
      <c r="AZ42" s="449"/>
      <c r="BF42" s="449"/>
      <c r="BG42" s="450"/>
      <c r="BH42" s="450"/>
      <c r="BJ42" s="1240"/>
    </row>
    <row r="43" spans="1:62" ht="12" hidden="1" customHeight="1">
      <c r="A43" s="1241"/>
      <c r="B43" s="165"/>
      <c r="E43" s="1248"/>
      <c r="F43" s="1248"/>
      <c r="G43" s="1248"/>
      <c r="H43" s="1248"/>
      <c r="I43" s="1248"/>
      <c r="J43" s="1248"/>
      <c r="K43" s="1248"/>
      <c r="L43" s="1248"/>
      <c r="M43" s="1248"/>
      <c r="N43" s="1248"/>
      <c r="O43" s="1248"/>
      <c r="P43" s="1248"/>
      <c r="Q43" s="1248"/>
      <c r="R43" s="1248"/>
      <c r="S43" s="1248"/>
      <c r="T43" s="1248"/>
      <c r="U43" s="1248"/>
      <c r="V43" s="1249"/>
      <c r="W43" s="1249"/>
      <c r="X43" s="1249"/>
      <c r="Y43" s="1249"/>
      <c r="Z43" s="1249"/>
      <c r="AB43" s="448"/>
      <c r="AC43" s="448"/>
      <c r="AD43" s="448"/>
      <c r="AE43" s="448"/>
      <c r="AF43" s="448"/>
      <c r="AG43" s="449"/>
      <c r="AH43" s="449"/>
      <c r="AI43" s="449"/>
      <c r="AJ43" s="449"/>
      <c r="AK43" s="449"/>
      <c r="AL43" s="449"/>
      <c r="AM43" s="449"/>
      <c r="AN43" s="449"/>
      <c r="AO43" s="449"/>
      <c r="AP43" s="449"/>
      <c r="AQ43" s="449"/>
      <c r="AR43" s="449"/>
      <c r="AS43" s="449"/>
      <c r="AT43" s="449"/>
      <c r="AU43" s="449"/>
      <c r="AV43" s="449"/>
      <c r="AW43" s="449"/>
      <c r="AX43" s="449"/>
      <c r="AY43" s="449"/>
      <c r="AZ43" s="449"/>
      <c r="BF43" s="449"/>
      <c r="BG43" s="450"/>
      <c r="BH43" s="450"/>
      <c r="BJ43" s="1240"/>
    </row>
    <row r="44" spans="1:62" ht="12" hidden="1" customHeight="1">
      <c r="A44" s="1241"/>
      <c r="B44" s="165"/>
      <c r="E44" s="1248"/>
      <c r="F44" s="1248"/>
      <c r="G44" s="1248"/>
      <c r="H44" s="1248"/>
      <c r="I44" s="1248"/>
      <c r="J44" s="1248"/>
      <c r="K44" s="1248"/>
      <c r="L44" s="1248"/>
      <c r="M44" s="1248"/>
      <c r="N44" s="1248"/>
      <c r="O44" s="1248"/>
      <c r="P44" s="1248"/>
      <c r="Q44" s="1248"/>
      <c r="R44" s="1248"/>
      <c r="S44" s="1248"/>
      <c r="T44" s="1248"/>
      <c r="U44" s="1248"/>
      <c r="V44" s="1249"/>
      <c r="W44" s="1249"/>
      <c r="X44" s="1249"/>
      <c r="Y44" s="1249"/>
      <c r="Z44" s="1249"/>
      <c r="AB44" s="448"/>
      <c r="AC44" s="448"/>
      <c r="AD44" s="448"/>
      <c r="AE44" s="448"/>
      <c r="AF44" s="448"/>
      <c r="AG44" s="449"/>
      <c r="AH44" s="449"/>
      <c r="AI44" s="449"/>
      <c r="AJ44" s="449"/>
      <c r="AK44" s="449"/>
      <c r="AL44" s="449"/>
      <c r="AM44" s="449"/>
      <c r="AN44" s="449"/>
      <c r="AO44" s="449"/>
      <c r="AP44" s="449"/>
      <c r="AQ44" s="449"/>
      <c r="AR44" s="449"/>
      <c r="AS44" s="449"/>
      <c r="AT44" s="449"/>
      <c r="AU44" s="449"/>
      <c r="AV44" s="449"/>
      <c r="AW44" s="449"/>
      <c r="AX44" s="449"/>
      <c r="AY44" s="449"/>
      <c r="AZ44" s="449"/>
      <c r="BF44" s="449"/>
      <c r="BG44" s="450"/>
      <c r="BH44" s="450"/>
      <c r="BJ44" s="1240"/>
    </row>
    <row r="45" spans="1:62" ht="12" hidden="1" customHeight="1">
      <c r="A45" s="1241"/>
      <c r="B45" s="165"/>
      <c r="E45" s="1248"/>
      <c r="F45" s="1248"/>
      <c r="G45" s="1248"/>
      <c r="H45" s="1248"/>
      <c r="I45" s="1248"/>
      <c r="J45" s="1248"/>
      <c r="K45" s="1248"/>
      <c r="L45" s="1248"/>
      <c r="M45" s="1248"/>
      <c r="N45" s="1248"/>
      <c r="O45" s="1248"/>
      <c r="P45" s="1248"/>
      <c r="Q45" s="1248"/>
      <c r="R45" s="1248"/>
      <c r="S45" s="1248"/>
      <c r="T45" s="1248"/>
      <c r="U45" s="1248"/>
      <c r="V45" s="1249"/>
      <c r="W45" s="1249"/>
      <c r="X45" s="1249"/>
      <c r="Y45" s="1249"/>
      <c r="Z45" s="1249"/>
      <c r="AB45" s="448"/>
      <c r="AC45" s="448"/>
      <c r="AD45" s="448"/>
      <c r="AE45" s="448"/>
      <c r="AF45" s="448"/>
      <c r="AG45" s="449"/>
      <c r="AH45" s="449"/>
      <c r="AI45" s="449"/>
      <c r="AJ45" s="449"/>
      <c r="AK45" s="449"/>
      <c r="AL45" s="449"/>
      <c r="AM45" s="449"/>
      <c r="AN45" s="449"/>
      <c r="AO45" s="449"/>
      <c r="AP45" s="449"/>
      <c r="AQ45" s="449"/>
      <c r="AR45" s="449"/>
      <c r="AS45" s="449"/>
      <c r="AT45" s="449"/>
      <c r="AU45" s="449"/>
      <c r="AV45" s="449"/>
      <c r="AW45" s="449"/>
      <c r="AX45" s="449"/>
      <c r="AY45" s="449"/>
      <c r="AZ45" s="449"/>
      <c r="BF45" s="449"/>
      <c r="BG45" s="450"/>
      <c r="BH45" s="450"/>
      <c r="BJ45" s="1240"/>
    </row>
    <row r="46" spans="1:62" ht="12" hidden="1" customHeight="1">
      <c r="A46" s="1241"/>
      <c r="B46" s="165"/>
      <c r="E46" s="1248"/>
      <c r="F46" s="1248"/>
      <c r="G46" s="1248"/>
      <c r="H46" s="1248"/>
      <c r="I46" s="1248"/>
      <c r="J46" s="1248"/>
      <c r="K46" s="1248"/>
      <c r="L46" s="1248"/>
      <c r="M46" s="1248"/>
      <c r="N46" s="1248"/>
      <c r="O46" s="1248"/>
      <c r="P46" s="1248"/>
      <c r="Q46" s="1248"/>
      <c r="R46" s="1248"/>
      <c r="S46" s="1248"/>
      <c r="T46" s="1248"/>
      <c r="U46" s="1248"/>
      <c r="V46" s="1249"/>
      <c r="W46" s="1249"/>
      <c r="X46" s="1249"/>
      <c r="Y46" s="1249"/>
      <c r="Z46" s="1249"/>
      <c r="AB46" s="448"/>
      <c r="AC46" s="448"/>
      <c r="AD46" s="448"/>
      <c r="AE46" s="448"/>
      <c r="AF46" s="448"/>
      <c r="AG46" s="449"/>
      <c r="AH46" s="449"/>
      <c r="AI46" s="449"/>
      <c r="AJ46" s="449"/>
      <c r="AK46" s="449"/>
      <c r="AL46" s="449"/>
      <c r="AM46" s="449"/>
      <c r="AN46" s="449"/>
      <c r="AO46" s="449"/>
      <c r="AP46" s="449"/>
      <c r="AQ46" s="449"/>
      <c r="AR46" s="449"/>
      <c r="AS46" s="449"/>
      <c r="AT46" s="449"/>
      <c r="AU46" s="449"/>
      <c r="AV46" s="449"/>
      <c r="AW46" s="449"/>
      <c r="AX46" s="449"/>
      <c r="AY46" s="449"/>
      <c r="AZ46" s="449"/>
      <c r="BF46" s="449"/>
      <c r="BG46" s="450"/>
      <c r="BH46" s="450"/>
      <c r="BJ46" s="1240"/>
    </row>
    <row r="47" spans="1:62" ht="12" hidden="1" customHeight="1">
      <c r="A47" s="1241"/>
      <c r="B47" s="165"/>
      <c r="E47" s="1248"/>
      <c r="F47" s="1248"/>
      <c r="G47" s="1248"/>
      <c r="H47" s="1248"/>
      <c r="I47" s="1248"/>
      <c r="J47" s="1248"/>
      <c r="K47" s="1248"/>
      <c r="L47" s="1248"/>
      <c r="M47" s="1248"/>
      <c r="N47" s="1248"/>
      <c r="O47" s="1248"/>
      <c r="P47" s="1248"/>
      <c r="Q47" s="1248"/>
      <c r="R47" s="1248"/>
      <c r="S47" s="1248"/>
      <c r="T47" s="1248"/>
      <c r="U47" s="1248"/>
      <c r="V47" s="1249"/>
      <c r="W47" s="1249"/>
      <c r="X47" s="1249"/>
      <c r="Y47" s="1249"/>
      <c r="Z47" s="1249"/>
      <c r="AB47" s="448"/>
      <c r="AC47" s="448"/>
      <c r="AD47" s="448"/>
      <c r="AE47" s="448"/>
      <c r="AF47" s="448"/>
      <c r="AG47" s="449"/>
      <c r="AH47" s="449"/>
      <c r="AI47" s="449"/>
      <c r="AJ47" s="449"/>
      <c r="AK47" s="449"/>
      <c r="AL47" s="449"/>
      <c r="AM47" s="449"/>
      <c r="AN47" s="449"/>
      <c r="AO47" s="449"/>
      <c r="AP47" s="449"/>
      <c r="AQ47" s="449"/>
      <c r="AR47" s="449"/>
      <c r="AS47" s="449"/>
      <c r="AT47" s="449"/>
      <c r="AU47" s="449"/>
      <c r="AV47" s="449"/>
      <c r="AW47" s="449"/>
      <c r="AX47" s="449"/>
      <c r="AY47" s="449"/>
      <c r="AZ47" s="449"/>
      <c r="BF47" s="449"/>
      <c r="BG47" s="450"/>
      <c r="BH47" s="450"/>
      <c r="BJ47" s="1240"/>
    </row>
    <row r="48" spans="1:62" ht="12" hidden="1" customHeight="1">
      <c r="A48" s="1241"/>
      <c r="B48" s="165"/>
      <c r="E48" s="1248"/>
      <c r="F48" s="1248"/>
      <c r="G48" s="1248"/>
      <c r="H48" s="1248"/>
      <c r="I48" s="1248"/>
      <c r="J48" s="1248"/>
      <c r="K48" s="1248"/>
      <c r="L48" s="1248"/>
      <c r="M48" s="1248"/>
      <c r="N48" s="1248"/>
      <c r="O48" s="1248"/>
      <c r="P48" s="1248"/>
      <c r="Q48" s="1248"/>
      <c r="R48" s="1248"/>
      <c r="S48" s="1248"/>
      <c r="T48" s="1248"/>
      <c r="U48" s="1248"/>
      <c r="V48" s="1249"/>
      <c r="W48" s="1249"/>
      <c r="X48" s="1249"/>
      <c r="Y48" s="1249"/>
      <c r="Z48" s="1249"/>
      <c r="AB48" s="448"/>
      <c r="AC48" s="448"/>
      <c r="AD48" s="448"/>
      <c r="AE48" s="448"/>
      <c r="AF48" s="448"/>
      <c r="AG48" s="449"/>
      <c r="AH48" s="449"/>
      <c r="AI48" s="449"/>
      <c r="AJ48" s="449"/>
      <c r="AK48" s="449"/>
      <c r="AL48" s="449"/>
      <c r="AM48" s="449"/>
      <c r="AN48" s="449"/>
      <c r="AO48" s="449"/>
      <c r="AP48" s="449"/>
      <c r="AQ48" s="449"/>
      <c r="AR48" s="449"/>
      <c r="AS48" s="449"/>
      <c r="AT48" s="449"/>
      <c r="AU48" s="449"/>
      <c r="AV48" s="449"/>
      <c r="AW48" s="449"/>
      <c r="AX48" s="449"/>
      <c r="AY48" s="449"/>
      <c r="AZ48" s="449"/>
      <c r="BF48" s="449"/>
      <c r="BG48" s="450"/>
      <c r="BH48" s="450"/>
      <c r="BJ48" s="1240"/>
    </row>
    <row r="49" spans="1:62" ht="12" hidden="1" customHeight="1">
      <c r="A49" s="1241"/>
      <c r="B49" s="165"/>
      <c r="E49" s="1248"/>
      <c r="F49" s="1248"/>
      <c r="G49" s="1248"/>
      <c r="H49" s="1248"/>
      <c r="I49" s="1248"/>
      <c r="J49" s="1248"/>
      <c r="K49" s="1248"/>
      <c r="L49" s="1248"/>
      <c r="M49" s="1248"/>
      <c r="N49" s="1248"/>
      <c r="O49" s="1248"/>
      <c r="P49" s="1248"/>
      <c r="Q49" s="1248"/>
      <c r="R49" s="1248"/>
      <c r="S49" s="1248"/>
      <c r="T49" s="1248"/>
      <c r="U49" s="1248"/>
      <c r="V49" s="1249"/>
      <c r="W49" s="1249"/>
      <c r="X49" s="1249"/>
      <c r="Y49" s="1249"/>
      <c r="Z49" s="1249"/>
      <c r="AB49" s="448"/>
      <c r="AC49" s="448"/>
      <c r="AD49" s="448"/>
      <c r="AE49" s="448"/>
      <c r="AF49" s="448"/>
      <c r="AG49" s="449"/>
      <c r="AH49" s="449"/>
      <c r="AI49" s="449"/>
      <c r="AJ49" s="449"/>
      <c r="AK49" s="449"/>
      <c r="AL49" s="449"/>
      <c r="AM49" s="449"/>
      <c r="AN49" s="449"/>
      <c r="AO49" s="449"/>
      <c r="AP49" s="449"/>
      <c r="AQ49" s="449"/>
      <c r="AR49" s="449"/>
      <c r="AS49" s="449"/>
      <c r="AT49" s="449"/>
      <c r="AU49" s="449"/>
      <c r="AV49" s="449"/>
      <c r="AW49" s="449"/>
      <c r="AX49" s="449"/>
      <c r="AY49" s="449"/>
      <c r="AZ49" s="449"/>
      <c r="BF49" s="449"/>
      <c r="BG49" s="450"/>
      <c r="BH49" s="450"/>
      <c r="BJ49" s="1240"/>
    </row>
    <row r="50" spans="1:62" ht="12" hidden="1" customHeight="1">
      <c r="A50" s="1241"/>
      <c r="B50" s="165"/>
      <c r="E50" s="1248"/>
      <c r="F50" s="1248"/>
      <c r="G50" s="1248"/>
      <c r="H50" s="1248"/>
      <c r="I50" s="1248"/>
      <c r="J50" s="1248"/>
      <c r="K50" s="1248"/>
      <c r="L50" s="1248"/>
      <c r="M50" s="1248"/>
      <c r="N50" s="1248"/>
      <c r="O50" s="1248"/>
      <c r="P50" s="1248"/>
      <c r="Q50" s="1248"/>
      <c r="R50" s="1248"/>
      <c r="S50" s="1248"/>
      <c r="T50" s="1248"/>
      <c r="U50" s="1248"/>
      <c r="V50" s="1249"/>
      <c r="W50" s="1249"/>
      <c r="X50" s="1249"/>
      <c r="Y50" s="1249"/>
      <c r="Z50" s="1249"/>
      <c r="AB50" s="448"/>
      <c r="AC50" s="448"/>
      <c r="AD50" s="448"/>
      <c r="AE50" s="448"/>
      <c r="AF50" s="448"/>
      <c r="AG50" s="449"/>
      <c r="AH50" s="449"/>
      <c r="AI50" s="449"/>
      <c r="AJ50" s="449"/>
      <c r="AK50" s="449"/>
      <c r="AL50" s="449"/>
      <c r="AM50" s="449"/>
      <c r="AN50" s="449"/>
      <c r="AO50" s="449"/>
      <c r="AP50" s="449"/>
      <c r="AQ50" s="449"/>
      <c r="AR50" s="449"/>
      <c r="AS50" s="449"/>
      <c r="AT50" s="449"/>
      <c r="AU50" s="449"/>
      <c r="AV50" s="449"/>
      <c r="AW50" s="449"/>
      <c r="AX50" s="449"/>
      <c r="AY50" s="449"/>
      <c r="AZ50" s="449"/>
      <c r="BF50" s="449"/>
      <c r="BG50" s="450"/>
      <c r="BH50" s="450"/>
      <c r="BJ50" s="1240"/>
    </row>
    <row r="51" spans="1:62" ht="12" hidden="1" customHeight="1">
      <c r="A51" s="1241"/>
      <c r="B51" s="165"/>
      <c r="E51" s="1248"/>
      <c r="F51" s="1248"/>
      <c r="G51" s="1248"/>
      <c r="H51" s="1248"/>
      <c r="I51" s="1248"/>
      <c r="J51" s="1248"/>
      <c r="K51" s="1248"/>
      <c r="L51" s="1248"/>
      <c r="M51" s="1248"/>
      <c r="N51" s="1248"/>
      <c r="O51" s="1248"/>
      <c r="P51" s="1248"/>
      <c r="Q51" s="1248"/>
      <c r="R51" s="1248"/>
      <c r="S51" s="1248"/>
      <c r="T51" s="1248"/>
      <c r="U51" s="1248"/>
      <c r="V51" s="1249"/>
      <c r="W51" s="1249"/>
      <c r="X51" s="1249"/>
      <c r="Y51" s="1249"/>
      <c r="Z51" s="1249"/>
      <c r="AB51" s="448"/>
      <c r="AC51" s="448"/>
      <c r="AD51" s="448"/>
      <c r="AE51" s="448"/>
      <c r="AF51" s="448"/>
      <c r="AG51" s="449"/>
      <c r="AH51" s="449"/>
      <c r="AI51" s="449"/>
      <c r="AJ51" s="449"/>
      <c r="AK51" s="449"/>
      <c r="AL51" s="449"/>
      <c r="AM51" s="449"/>
      <c r="AN51" s="449"/>
      <c r="AO51" s="449"/>
      <c r="AP51" s="449"/>
      <c r="AQ51" s="449"/>
      <c r="AR51" s="449"/>
      <c r="AS51" s="449"/>
      <c r="AT51" s="449"/>
      <c r="AU51" s="449"/>
      <c r="AV51" s="449"/>
      <c r="AW51" s="449"/>
      <c r="AX51" s="449"/>
      <c r="AY51" s="449"/>
      <c r="AZ51" s="449"/>
      <c r="BF51" s="449"/>
      <c r="BG51" s="450"/>
      <c r="BH51" s="450"/>
      <c r="BJ51" s="1240"/>
    </row>
    <row r="52" spans="1:62" ht="12" hidden="1" customHeight="1">
      <c r="A52" s="1241"/>
      <c r="B52" s="165"/>
      <c r="E52" s="1248"/>
      <c r="F52" s="1248"/>
      <c r="G52" s="1248"/>
      <c r="H52" s="1248"/>
      <c r="I52" s="1248"/>
      <c r="J52" s="1248"/>
      <c r="K52" s="1248"/>
      <c r="L52" s="1248"/>
      <c r="M52" s="1248"/>
      <c r="N52" s="1248"/>
      <c r="O52" s="1248"/>
      <c r="P52" s="1248"/>
      <c r="Q52" s="1248"/>
      <c r="R52" s="1248"/>
      <c r="S52" s="1248"/>
      <c r="T52" s="1248"/>
      <c r="U52" s="1248"/>
      <c r="V52" s="1249"/>
      <c r="W52" s="1249"/>
      <c r="X52" s="1249"/>
      <c r="Y52" s="1249"/>
      <c r="Z52" s="1249"/>
      <c r="AB52" s="448"/>
      <c r="AC52" s="448"/>
      <c r="AD52" s="448"/>
      <c r="AE52" s="448"/>
      <c r="AF52" s="448"/>
      <c r="AG52" s="449"/>
      <c r="AH52" s="449"/>
      <c r="AI52" s="449"/>
      <c r="AJ52" s="449"/>
      <c r="AK52" s="449"/>
      <c r="AL52" s="449"/>
      <c r="AM52" s="449"/>
      <c r="AN52" s="449"/>
      <c r="AO52" s="449"/>
      <c r="AP52" s="449"/>
      <c r="AQ52" s="449"/>
      <c r="AR52" s="449"/>
      <c r="AS52" s="449"/>
      <c r="AT52" s="449"/>
      <c r="AU52" s="449"/>
      <c r="AV52" s="449"/>
      <c r="AW52" s="449"/>
      <c r="AX52" s="449"/>
      <c r="AY52" s="449"/>
      <c r="AZ52" s="449"/>
      <c r="BF52" s="449"/>
      <c r="BG52" s="450"/>
      <c r="BH52" s="450"/>
      <c r="BJ52" s="1240"/>
    </row>
    <row r="53" spans="1:62" ht="12" hidden="1" customHeight="1">
      <c r="A53" s="1241"/>
      <c r="B53" s="165"/>
      <c r="E53" s="1248"/>
      <c r="F53" s="1248"/>
      <c r="G53" s="1248"/>
      <c r="H53" s="1248"/>
      <c r="I53" s="1248"/>
      <c r="J53" s="1248"/>
      <c r="K53" s="1248"/>
      <c r="L53" s="1248"/>
      <c r="M53" s="1248"/>
      <c r="N53" s="1248"/>
      <c r="O53" s="1248"/>
      <c r="P53" s="1248"/>
      <c r="Q53" s="1248"/>
      <c r="R53" s="1248"/>
      <c r="S53" s="1248"/>
      <c r="T53" s="1248"/>
      <c r="U53" s="1248"/>
      <c r="V53" s="1249"/>
      <c r="W53" s="1249"/>
      <c r="X53" s="1249"/>
      <c r="Y53" s="1249"/>
      <c r="Z53" s="1249"/>
      <c r="AB53" s="448"/>
      <c r="AC53" s="448"/>
      <c r="AD53" s="448"/>
      <c r="AE53" s="448"/>
      <c r="AF53" s="448"/>
      <c r="AG53" s="449"/>
      <c r="AH53" s="449"/>
      <c r="AI53" s="449"/>
      <c r="AJ53" s="449"/>
      <c r="AK53" s="449"/>
      <c r="AL53" s="449"/>
      <c r="AM53" s="449"/>
      <c r="AN53" s="449"/>
      <c r="AO53" s="449"/>
      <c r="AP53" s="449"/>
      <c r="AQ53" s="449"/>
      <c r="AR53" s="449"/>
      <c r="AS53" s="449"/>
      <c r="AT53" s="449"/>
      <c r="AU53" s="449"/>
      <c r="AV53" s="449"/>
      <c r="AW53" s="449"/>
      <c r="AX53" s="449"/>
      <c r="AY53" s="449"/>
      <c r="AZ53" s="449"/>
      <c r="BF53" s="449"/>
      <c r="BG53" s="450"/>
      <c r="BH53" s="450"/>
      <c r="BJ53" s="1240"/>
    </row>
    <row r="54" spans="1:62" ht="12" hidden="1" customHeight="1">
      <c r="A54" s="1241"/>
      <c r="B54" s="165"/>
      <c r="E54" s="1248"/>
      <c r="F54" s="1248"/>
      <c r="G54" s="1248"/>
      <c r="H54" s="1248"/>
      <c r="I54" s="1248"/>
      <c r="J54" s="1248"/>
      <c r="K54" s="1248"/>
      <c r="L54" s="1248"/>
      <c r="M54" s="1248"/>
      <c r="N54" s="1248"/>
      <c r="O54" s="1248"/>
      <c r="P54" s="1248"/>
      <c r="Q54" s="1248"/>
      <c r="R54" s="1248"/>
      <c r="S54" s="1248"/>
      <c r="T54" s="1248"/>
      <c r="U54" s="1248"/>
      <c r="V54" s="1249"/>
      <c r="W54" s="1249"/>
      <c r="X54" s="1249"/>
      <c r="Y54" s="1249"/>
      <c r="Z54" s="1249"/>
      <c r="AB54" s="448"/>
      <c r="AC54" s="448"/>
      <c r="AD54" s="448"/>
      <c r="AE54" s="448"/>
      <c r="AF54" s="448"/>
      <c r="AG54" s="449"/>
      <c r="AH54" s="449"/>
      <c r="AI54" s="449"/>
      <c r="AJ54" s="449"/>
      <c r="AK54" s="449"/>
      <c r="AL54" s="449"/>
      <c r="AM54" s="449"/>
      <c r="AN54" s="449"/>
      <c r="AO54" s="449"/>
      <c r="AP54" s="449"/>
      <c r="AQ54" s="449"/>
      <c r="AR54" s="449"/>
      <c r="AS54" s="449"/>
      <c r="AT54" s="449"/>
      <c r="AU54" s="449"/>
      <c r="AV54" s="449"/>
      <c r="AW54" s="449"/>
      <c r="AX54" s="449"/>
      <c r="AY54" s="449"/>
      <c r="AZ54" s="449"/>
      <c r="BF54" s="449"/>
      <c r="BG54" s="450"/>
      <c r="BH54" s="450"/>
      <c r="BJ54" s="1240"/>
    </row>
    <row r="55" spans="1:62" ht="12" hidden="1" customHeight="1">
      <c r="A55" s="1241"/>
      <c r="B55" s="165"/>
      <c r="E55" s="1248"/>
      <c r="F55" s="1248"/>
      <c r="G55" s="1248"/>
      <c r="H55" s="1248"/>
      <c r="I55" s="1248"/>
      <c r="J55" s="1248"/>
      <c r="K55" s="1248"/>
      <c r="L55" s="1248"/>
      <c r="M55" s="1248"/>
      <c r="N55" s="1248"/>
      <c r="O55" s="1248"/>
      <c r="P55" s="1248"/>
      <c r="Q55" s="1248"/>
      <c r="R55" s="1248"/>
      <c r="S55" s="1248"/>
      <c r="T55" s="1248"/>
      <c r="U55" s="1248"/>
      <c r="V55" s="1249"/>
      <c r="W55" s="1249"/>
      <c r="X55" s="1249"/>
      <c r="Y55" s="1249"/>
      <c r="Z55" s="1249"/>
      <c r="AB55" s="448"/>
      <c r="AC55" s="448"/>
      <c r="AD55" s="448"/>
      <c r="AE55" s="448"/>
      <c r="AF55" s="448"/>
      <c r="AG55" s="449"/>
      <c r="AH55" s="449"/>
      <c r="AI55" s="449"/>
      <c r="AJ55" s="449"/>
      <c r="AK55" s="449"/>
      <c r="AL55" s="449"/>
      <c r="AM55" s="449"/>
      <c r="AN55" s="449"/>
      <c r="AO55" s="449"/>
      <c r="AP55" s="449"/>
      <c r="AQ55" s="449"/>
      <c r="AR55" s="449"/>
      <c r="AS55" s="449"/>
      <c r="AT55" s="449"/>
      <c r="AU55" s="449"/>
      <c r="AV55" s="449"/>
      <c r="AW55" s="449"/>
      <c r="AX55" s="449"/>
      <c r="AY55" s="449"/>
      <c r="AZ55" s="449"/>
      <c r="BF55" s="449"/>
      <c r="BG55" s="450"/>
      <c r="BH55" s="450"/>
      <c r="BJ55" s="1240"/>
    </row>
    <row r="56" spans="1:62" ht="12" hidden="1" customHeight="1">
      <c r="A56" s="1241"/>
      <c r="B56" s="165"/>
      <c r="E56" s="1248"/>
      <c r="F56" s="1248"/>
      <c r="G56" s="1248"/>
      <c r="H56" s="1248"/>
      <c r="I56" s="1248"/>
      <c r="J56" s="1248"/>
      <c r="K56" s="1248"/>
      <c r="L56" s="1248"/>
      <c r="M56" s="1248"/>
      <c r="N56" s="1248"/>
      <c r="O56" s="1248"/>
      <c r="P56" s="1248"/>
      <c r="Q56" s="1248"/>
      <c r="R56" s="1248"/>
      <c r="S56" s="1248"/>
      <c r="T56" s="1248"/>
      <c r="U56" s="1248"/>
      <c r="V56" s="1249"/>
      <c r="W56" s="1249"/>
      <c r="X56" s="1249"/>
      <c r="Y56" s="1249"/>
      <c r="Z56" s="1249"/>
      <c r="AB56" s="448"/>
      <c r="AC56" s="448"/>
      <c r="AD56" s="448"/>
      <c r="AE56" s="448"/>
      <c r="AF56" s="448"/>
      <c r="AG56" s="449"/>
      <c r="AH56" s="449"/>
      <c r="AI56" s="449"/>
      <c r="AJ56" s="449"/>
      <c r="AK56" s="449"/>
      <c r="AL56" s="449"/>
      <c r="AM56" s="449"/>
      <c r="AN56" s="449"/>
      <c r="AO56" s="449"/>
      <c r="AP56" s="449"/>
      <c r="AQ56" s="449"/>
      <c r="AR56" s="449"/>
      <c r="AS56" s="449"/>
      <c r="AT56" s="449"/>
      <c r="AU56" s="449"/>
      <c r="AV56" s="449"/>
      <c r="AW56" s="449"/>
      <c r="AX56" s="449"/>
      <c r="AY56" s="449"/>
      <c r="AZ56" s="449"/>
      <c r="BF56" s="449"/>
      <c r="BG56" s="450"/>
      <c r="BH56" s="450"/>
      <c r="BJ56" s="1240"/>
    </row>
    <row r="57" spans="1:62" ht="12" hidden="1" customHeight="1">
      <c r="A57" s="1241"/>
      <c r="B57" s="165"/>
      <c r="E57" s="1248"/>
      <c r="F57" s="1248"/>
      <c r="G57" s="1248"/>
      <c r="H57" s="1248"/>
      <c r="I57" s="1248"/>
      <c r="J57" s="1248"/>
      <c r="K57" s="1248"/>
      <c r="L57" s="1248"/>
      <c r="M57" s="1248"/>
      <c r="N57" s="1248"/>
      <c r="O57" s="1248"/>
      <c r="P57" s="1248"/>
      <c r="Q57" s="1248"/>
      <c r="R57" s="1248"/>
      <c r="S57" s="1248"/>
      <c r="T57" s="1248"/>
      <c r="U57" s="1248"/>
      <c r="V57" s="1249"/>
      <c r="W57" s="1249"/>
      <c r="X57" s="1249"/>
      <c r="Y57" s="1249"/>
      <c r="Z57" s="1249"/>
      <c r="AB57" s="448"/>
      <c r="AC57" s="448"/>
      <c r="AD57" s="448"/>
      <c r="AE57" s="448"/>
      <c r="AF57" s="448"/>
      <c r="AG57" s="449"/>
      <c r="AH57" s="449"/>
      <c r="AI57" s="449"/>
      <c r="AJ57" s="449"/>
      <c r="AK57" s="449"/>
      <c r="AL57" s="449"/>
      <c r="AM57" s="449"/>
      <c r="AN57" s="449"/>
      <c r="AO57" s="449"/>
      <c r="AP57" s="449"/>
      <c r="AQ57" s="449"/>
      <c r="AR57" s="449"/>
      <c r="AS57" s="449"/>
      <c r="AT57" s="449"/>
      <c r="AU57" s="449"/>
      <c r="AV57" s="449"/>
      <c r="AW57" s="449"/>
      <c r="AX57" s="449"/>
      <c r="AY57" s="449"/>
      <c r="AZ57" s="449"/>
      <c r="BF57" s="449"/>
      <c r="BG57" s="450"/>
      <c r="BH57" s="450"/>
      <c r="BJ57" s="1240"/>
    </row>
    <row r="58" spans="1:62" ht="12" hidden="1" customHeight="1">
      <c r="A58" s="1241"/>
      <c r="B58" s="165"/>
      <c r="E58" s="1248"/>
      <c r="F58" s="1248"/>
      <c r="G58" s="1248"/>
      <c r="H58" s="1248"/>
      <c r="I58" s="1248"/>
      <c r="J58" s="1248"/>
      <c r="K58" s="1248"/>
      <c r="L58" s="1248"/>
      <c r="M58" s="1248"/>
      <c r="N58" s="1248"/>
      <c r="O58" s="1248"/>
      <c r="P58" s="1248"/>
      <c r="Q58" s="1248"/>
      <c r="R58" s="1248"/>
      <c r="S58" s="1248"/>
      <c r="T58" s="1248"/>
      <c r="U58" s="1248"/>
      <c r="V58" s="1249"/>
      <c r="W58" s="1249"/>
      <c r="X58" s="1249"/>
      <c r="Y58" s="1249"/>
      <c r="Z58" s="1249"/>
      <c r="AB58" s="448"/>
      <c r="AC58" s="448"/>
      <c r="AD58" s="448"/>
      <c r="AE58" s="448"/>
      <c r="AF58" s="448"/>
      <c r="AG58" s="449"/>
      <c r="AH58" s="449"/>
      <c r="AI58" s="449"/>
      <c r="AJ58" s="449"/>
      <c r="AK58" s="449"/>
      <c r="AL58" s="449"/>
      <c r="AM58" s="449"/>
      <c r="AN58" s="449"/>
      <c r="AO58" s="449"/>
      <c r="AP58" s="449"/>
      <c r="AQ58" s="449"/>
      <c r="AR58" s="449"/>
      <c r="AS58" s="449"/>
      <c r="AT58" s="449"/>
      <c r="AU58" s="449"/>
      <c r="AV58" s="449"/>
      <c r="AW58" s="449"/>
      <c r="AX58" s="449"/>
      <c r="AY58" s="449"/>
      <c r="AZ58" s="449"/>
      <c r="BF58" s="449"/>
      <c r="BG58" s="450"/>
      <c r="BH58" s="450"/>
      <c r="BJ58" s="1240"/>
    </row>
    <row r="59" spans="1:62" ht="12" customHeight="1">
      <c r="A59" s="1241"/>
      <c r="B59" s="165"/>
      <c r="E59" s="1248"/>
      <c r="F59" s="1248"/>
      <c r="G59" s="1248"/>
      <c r="H59" s="1248"/>
      <c r="I59" s="1248"/>
      <c r="J59" s="1248"/>
      <c r="K59" s="1248"/>
      <c r="L59" s="1248"/>
      <c r="M59" s="1248"/>
      <c r="N59" s="1248"/>
      <c r="O59" s="1248"/>
      <c r="P59" s="1248"/>
      <c r="Q59" s="1248"/>
      <c r="R59" s="1248"/>
      <c r="S59" s="1248"/>
      <c r="T59" s="1248"/>
      <c r="U59" s="1248"/>
      <c r="V59" s="1249"/>
      <c r="W59" s="1249"/>
      <c r="X59" s="1249"/>
      <c r="Y59" s="1249"/>
      <c r="Z59" s="1249"/>
      <c r="AB59" s="448"/>
      <c r="AC59" s="448"/>
      <c r="AD59" s="448"/>
      <c r="AE59" s="448"/>
      <c r="AF59" s="448"/>
      <c r="AG59" s="449"/>
      <c r="AH59" s="449"/>
      <c r="AI59" s="449"/>
      <c r="AJ59" s="449"/>
      <c r="AK59" s="449"/>
      <c r="AL59" s="449"/>
      <c r="AM59" s="449"/>
      <c r="AN59" s="449"/>
      <c r="AO59" s="449"/>
      <c r="AP59" s="449"/>
      <c r="AQ59" s="449"/>
      <c r="AR59" s="449"/>
      <c r="AS59" s="449"/>
      <c r="AT59" s="449"/>
      <c r="AU59" s="449"/>
      <c r="AV59" s="449"/>
      <c r="AW59" s="449"/>
      <c r="AX59" s="449"/>
      <c r="AY59" s="449"/>
      <c r="AZ59" s="449"/>
      <c r="BF59" s="449"/>
      <c r="BG59" s="450"/>
      <c r="BH59" s="450"/>
      <c r="BJ59" s="1240"/>
    </row>
    <row r="60" spans="1:62" ht="12" customHeight="1" outlineLevel="1">
      <c r="A60" s="124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449"/>
      <c r="AH60" s="449"/>
      <c r="AI60" s="449"/>
      <c r="AJ60" s="449"/>
      <c r="AK60" s="449"/>
      <c r="AL60" s="449"/>
      <c r="AM60" s="449"/>
      <c r="AN60" s="449"/>
      <c r="AO60" s="449"/>
      <c r="AP60" s="449"/>
      <c r="AQ60" s="449"/>
      <c r="AR60" s="449"/>
      <c r="AS60" s="449"/>
      <c r="AT60" s="449"/>
      <c r="AU60" s="449"/>
      <c r="AV60" s="449"/>
      <c r="AW60" s="449"/>
      <c r="AX60" s="449"/>
      <c r="AY60" s="449"/>
      <c r="AZ60" s="449"/>
      <c r="BF60" s="449"/>
      <c r="BG60" s="450"/>
      <c r="BH60" s="450"/>
      <c r="BJ60" s="1240"/>
    </row>
    <row r="61" spans="1:62" ht="12" customHeight="1" outlineLevel="1">
      <c r="A61" s="124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449"/>
      <c r="AH61" s="449"/>
      <c r="AI61" s="449"/>
      <c r="AJ61" s="449"/>
      <c r="AK61" s="449"/>
      <c r="AL61" s="449"/>
      <c r="AM61" s="449"/>
      <c r="AN61" s="449"/>
      <c r="AO61" s="449"/>
      <c r="AP61" s="449"/>
      <c r="AQ61" s="449"/>
      <c r="AR61" s="449"/>
      <c r="AS61" s="449"/>
      <c r="AT61" s="449"/>
      <c r="AU61" s="449"/>
      <c r="AV61" s="449"/>
      <c r="AW61" s="449"/>
      <c r="AX61" s="449"/>
      <c r="AY61" s="449"/>
      <c r="AZ61" s="449"/>
      <c r="BF61" s="449"/>
      <c r="BG61" s="450"/>
      <c r="BH61" s="450"/>
      <c r="BJ61" s="1240"/>
    </row>
    <row r="62" spans="1:62" ht="12" customHeight="1" outlineLevel="1">
      <c r="A62" s="1241"/>
      <c r="B62" s="562"/>
      <c r="C62" s="562"/>
      <c r="D62" s="562"/>
      <c r="E62" s="562"/>
      <c r="F62" s="562"/>
      <c r="G62" s="562"/>
      <c r="H62" s="562"/>
      <c r="I62" s="562"/>
      <c r="J62" s="562"/>
      <c r="K62" s="562"/>
      <c r="L62" s="562"/>
      <c r="M62" s="562"/>
      <c r="N62" s="562"/>
      <c r="O62" s="561"/>
      <c r="P62" s="194"/>
      <c r="Q62" s="194"/>
      <c r="R62" s="194"/>
      <c r="S62" s="194"/>
      <c r="T62" s="194"/>
      <c r="U62" s="194"/>
      <c r="V62" s="194"/>
      <c r="W62" s="194"/>
      <c r="X62" s="194"/>
      <c r="Y62" s="194"/>
      <c r="Z62" s="194"/>
      <c r="AA62" s="194"/>
      <c r="AB62" s="195"/>
      <c r="AC62" s="196"/>
      <c r="AD62" s="196"/>
      <c r="AE62" s="196"/>
      <c r="AF62" s="196"/>
      <c r="AG62" s="449"/>
      <c r="AH62" s="449"/>
      <c r="AI62" s="449"/>
      <c r="AJ62" s="449"/>
      <c r="AK62" s="449"/>
      <c r="AL62" s="449"/>
      <c r="AM62" s="449"/>
      <c r="AN62" s="449"/>
      <c r="AO62" s="449"/>
      <c r="AP62" s="449"/>
      <c r="AQ62" s="449"/>
      <c r="AR62" s="449"/>
      <c r="AS62" s="449"/>
      <c r="AT62" s="449"/>
      <c r="AU62" s="449"/>
      <c r="AV62" s="449"/>
      <c r="AW62" s="449"/>
      <c r="AX62" s="449"/>
      <c r="AY62" s="449"/>
      <c r="AZ62" s="449"/>
      <c r="BF62" s="449"/>
      <c r="BG62" s="450"/>
      <c r="BH62" s="450"/>
      <c r="BJ62" s="1240"/>
    </row>
    <row r="63" spans="1:62" ht="12" customHeight="1" outlineLevel="1">
      <c r="A63" s="1241"/>
      <c r="B63" s="158" t="s">
        <v>1791</v>
      </c>
      <c r="C63" s="165"/>
      <c r="D63" s="165"/>
      <c r="E63" s="167"/>
      <c r="F63" s="167"/>
      <c r="G63" s="167"/>
      <c r="H63" s="167"/>
      <c r="I63" s="167"/>
      <c r="J63" s="167"/>
      <c r="K63" s="167"/>
      <c r="L63" s="167"/>
      <c r="M63" s="167"/>
      <c r="N63" s="167"/>
      <c r="O63" s="197"/>
      <c r="P63" s="198"/>
      <c r="Q63" s="199"/>
      <c r="R63" s="198"/>
      <c r="S63" s="198"/>
      <c r="T63" s="198"/>
      <c r="U63" s="198"/>
      <c r="V63" s="198"/>
      <c r="W63" s="198"/>
      <c r="X63" s="200">
        <v>2001</v>
      </c>
      <c r="Y63" s="198"/>
      <c r="Z63" s="202">
        <v>2003</v>
      </c>
      <c r="AA63" s="198"/>
      <c r="AB63" s="202">
        <v>2005</v>
      </c>
      <c r="AC63" s="319"/>
      <c r="AD63" s="202">
        <v>2007</v>
      </c>
      <c r="AE63" s="319"/>
      <c r="AF63" s="202">
        <v>2009</v>
      </c>
      <c r="AG63" s="259">
        <v>2010</v>
      </c>
      <c r="AH63" s="259">
        <v>2011</v>
      </c>
      <c r="AI63" s="259">
        <v>2012</v>
      </c>
      <c r="AJ63" s="259">
        <v>2013</v>
      </c>
      <c r="AK63" s="259">
        <v>2014</v>
      </c>
      <c r="AL63" s="259">
        <v>2015</v>
      </c>
      <c r="AM63" s="259">
        <v>2016</v>
      </c>
      <c r="AN63" s="259">
        <v>2017</v>
      </c>
      <c r="AO63" s="259">
        <v>2018</v>
      </c>
      <c r="AP63" s="259">
        <v>2019</v>
      </c>
      <c r="AQ63" s="259">
        <v>2020</v>
      </c>
      <c r="AR63" s="449"/>
      <c r="AS63" s="449"/>
      <c r="AT63" s="449"/>
      <c r="AU63" s="449"/>
      <c r="AV63" s="449"/>
      <c r="AW63" s="449"/>
      <c r="AX63" s="449"/>
      <c r="AY63" s="449"/>
      <c r="AZ63" s="449"/>
      <c r="BF63" s="449"/>
      <c r="BG63" s="450"/>
      <c r="BH63" s="450"/>
      <c r="BJ63" s="1240"/>
    </row>
    <row r="64" spans="1:62" ht="12" customHeight="1" outlineLevel="1">
      <c r="A64" s="1241"/>
      <c r="B64" s="158" t="s">
        <v>1792</v>
      </c>
      <c r="C64" s="165"/>
      <c r="D64" s="165"/>
      <c r="E64" s="167"/>
      <c r="F64" s="167"/>
      <c r="G64" s="167"/>
      <c r="H64" s="167"/>
      <c r="I64" s="167"/>
      <c r="J64" s="167"/>
      <c r="K64" s="167"/>
      <c r="L64" s="167"/>
      <c r="M64" s="167"/>
      <c r="N64" s="167"/>
      <c r="O64" s="197"/>
      <c r="P64" s="198"/>
      <c r="Q64" s="199"/>
      <c r="R64" s="198"/>
      <c r="S64" s="198"/>
      <c r="T64" s="198"/>
      <c r="U64" s="198"/>
      <c r="V64" s="198"/>
      <c r="W64" s="198"/>
      <c r="X64" s="75"/>
      <c r="Y64" s="198"/>
      <c r="Z64" s="75"/>
      <c r="AA64" s="198"/>
      <c r="AB64" s="75"/>
      <c r="AC64" s="319"/>
      <c r="AD64" s="75"/>
      <c r="AE64" s="319"/>
      <c r="AF64" s="75"/>
      <c r="AG64" s="75"/>
      <c r="AH64" s="75"/>
      <c r="AI64" s="75"/>
      <c r="AJ64" s="75"/>
      <c r="AK64" s="75"/>
      <c r="AL64" s="75"/>
      <c r="AM64" s="75"/>
      <c r="AN64" s="75"/>
      <c r="AO64" s="75"/>
      <c r="AP64" s="75"/>
      <c r="AQ64" s="75"/>
      <c r="AR64" s="449"/>
      <c r="AS64" s="449"/>
      <c r="AT64" s="449"/>
      <c r="AU64" s="449"/>
      <c r="AV64" s="449"/>
      <c r="AW64" s="449"/>
      <c r="AX64" s="449"/>
      <c r="AY64" s="449"/>
      <c r="AZ64" s="449"/>
      <c r="BF64" s="449"/>
      <c r="BG64" s="450"/>
      <c r="BH64" s="450"/>
      <c r="BJ64" s="1240"/>
    </row>
    <row r="65" spans="1:62" ht="12" customHeight="1" outlineLevel="1">
      <c r="A65" s="1241"/>
      <c r="B65" s="204" t="s">
        <v>28</v>
      </c>
      <c r="C65" s="165" t="s">
        <v>29</v>
      </c>
      <c r="D65" s="165"/>
      <c r="E65" s="167"/>
      <c r="F65" s="167"/>
      <c r="G65" s="167"/>
      <c r="H65" s="167"/>
      <c r="I65" s="167"/>
      <c r="J65" s="167"/>
      <c r="K65" s="167"/>
      <c r="L65" s="167"/>
      <c r="M65" s="167"/>
      <c r="N65" s="167"/>
      <c r="O65" s="197"/>
      <c r="P65" s="198"/>
      <c r="Q65" s="199"/>
      <c r="R65" s="198"/>
      <c r="S65" s="198"/>
      <c r="T65" s="198"/>
      <c r="U65" s="198"/>
      <c r="V65" s="198"/>
      <c r="W65" s="198"/>
      <c r="X65" s="166">
        <v>415480</v>
      </c>
      <c r="Y65" s="198">
        <v>439857</v>
      </c>
      <c r="Z65" s="166">
        <v>464719</v>
      </c>
      <c r="AA65" s="198">
        <v>500587</v>
      </c>
      <c r="AB65" s="166">
        <v>538655</v>
      </c>
      <c r="AC65" s="319">
        <v>579897</v>
      </c>
      <c r="AD65" s="166">
        <v>619836</v>
      </c>
      <c r="AE65" s="319">
        <v>637518</v>
      </c>
      <c r="AF65" s="166">
        <v>608749</v>
      </c>
      <c r="AG65" s="166">
        <v>623125</v>
      </c>
      <c r="AH65" s="166">
        <v>622085</v>
      </c>
      <c r="AI65" s="166">
        <v>613733</v>
      </c>
      <c r="AJ65" s="166">
        <v>601748</v>
      </c>
      <c r="AK65" s="166">
        <v>612711</v>
      </c>
      <c r="AL65" s="166">
        <v>630215</v>
      </c>
      <c r="AM65" s="166">
        <v>648265</v>
      </c>
      <c r="AN65" s="166">
        <v>678102</v>
      </c>
      <c r="AO65" s="166">
        <v>699474</v>
      </c>
      <c r="AP65" s="166">
        <v>713638</v>
      </c>
      <c r="AQ65" s="166">
        <v>628017</v>
      </c>
      <c r="AR65" s="449"/>
      <c r="AS65" s="449"/>
      <c r="AT65" s="449"/>
      <c r="AU65" s="449"/>
      <c r="AV65" s="449"/>
      <c r="AW65" s="449"/>
      <c r="AX65" s="449"/>
      <c r="AY65" s="449"/>
      <c r="AZ65" s="449"/>
      <c r="BF65" s="449"/>
      <c r="BG65" s="450"/>
      <c r="BH65" s="450"/>
      <c r="BJ65" s="1240"/>
    </row>
    <row r="66" spans="1:62" ht="5.0999999999999996" customHeight="1" outlineLevel="1">
      <c r="A66" s="1241"/>
      <c r="B66" s="75"/>
      <c r="C66" s="165"/>
      <c r="D66" s="165"/>
      <c r="E66" s="167"/>
      <c r="F66" s="167"/>
      <c r="G66" s="167"/>
      <c r="H66" s="167"/>
      <c r="I66" s="167"/>
      <c r="J66" s="167"/>
      <c r="K66" s="167"/>
      <c r="L66" s="167"/>
      <c r="M66" s="167"/>
      <c r="N66" s="167"/>
      <c r="O66" s="197"/>
      <c r="P66" s="198"/>
      <c r="Q66" s="199"/>
      <c r="R66" s="198"/>
      <c r="S66" s="198"/>
      <c r="T66" s="198"/>
      <c r="U66" s="198"/>
      <c r="V66" s="198"/>
      <c r="W66" s="198"/>
      <c r="X66" s="166"/>
      <c r="Y66" s="198"/>
      <c r="Z66" s="166"/>
      <c r="AA66" s="198"/>
      <c r="AB66" s="166"/>
      <c r="AC66" s="319"/>
      <c r="AD66" s="166"/>
      <c r="AE66" s="319"/>
      <c r="AF66" s="166"/>
      <c r="AG66" s="166"/>
      <c r="AH66" s="166"/>
      <c r="AI66" s="166"/>
      <c r="AJ66" s="166"/>
      <c r="AK66" s="166"/>
      <c r="AL66" s="166"/>
      <c r="AM66" s="166"/>
      <c r="AN66" s="166"/>
      <c r="AO66" s="166"/>
      <c r="AP66" s="166"/>
      <c r="AQ66" s="166"/>
      <c r="AR66" s="449"/>
      <c r="AS66" s="449"/>
      <c r="AT66" s="449"/>
      <c r="AU66" s="449"/>
      <c r="AV66" s="449"/>
      <c r="AW66" s="449"/>
      <c r="AX66" s="449"/>
      <c r="AY66" s="449"/>
      <c r="AZ66" s="449"/>
      <c r="BF66" s="449"/>
      <c r="BG66" s="450"/>
      <c r="BH66" s="450"/>
      <c r="BJ66" s="1240"/>
    </row>
    <row r="67" spans="1:62" ht="12" customHeight="1" outlineLevel="1">
      <c r="A67" s="1241"/>
      <c r="B67" s="204" t="s">
        <v>30</v>
      </c>
      <c r="C67" s="165" t="s">
        <v>31</v>
      </c>
      <c r="D67" s="165"/>
      <c r="E67" s="167"/>
      <c r="F67" s="167"/>
      <c r="G67" s="167"/>
      <c r="H67" s="167"/>
      <c r="I67" s="167"/>
      <c r="J67" s="167"/>
      <c r="K67" s="167"/>
      <c r="L67" s="167"/>
      <c r="M67" s="167"/>
      <c r="N67" s="167"/>
      <c r="O67" s="197"/>
      <c r="P67" s="198"/>
      <c r="Q67" s="199"/>
      <c r="R67" s="198"/>
      <c r="S67" s="198"/>
      <c r="T67" s="198"/>
      <c r="U67" s="198"/>
      <c r="V67" s="198"/>
      <c r="W67" s="198"/>
      <c r="X67" s="166">
        <v>462446</v>
      </c>
      <c r="Y67" s="198">
        <v>491443</v>
      </c>
      <c r="Z67" s="166">
        <v>520544</v>
      </c>
      <c r="AA67" s="198">
        <v>563671</v>
      </c>
      <c r="AB67" s="166">
        <v>608683</v>
      </c>
      <c r="AC67" s="319">
        <v>656150</v>
      </c>
      <c r="AD67" s="166">
        <v>702906</v>
      </c>
      <c r="AE67" s="319">
        <v>728349</v>
      </c>
      <c r="AF67" s="166">
        <v>704071</v>
      </c>
      <c r="AG67" s="166">
        <v>719874</v>
      </c>
      <c r="AH67" s="166">
        <v>719689</v>
      </c>
      <c r="AI67" s="166">
        <v>706085</v>
      </c>
      <c r="AJ67" s="166">
        <v>690167</v>
      </c>
      <c r="AK67" s="166">
        <v>700410</v>
      </c>
      <c r="AL67" s="166">
        <v>720905</v>
      </c>
      <c r="AM67" s="166">
        <v>739037</v>
      </c>
      <c r="AN67" s="166">
        <v>770974</v>
      </c>
      <c r="AO67" s="166">
        <v>796532</v>
      </c>
      <c r="AP67" s="166">
        <v>813237</v>
      </c>
      <c r="AQ67" s="166">
        <v>732822</v>
      </c>
      <c r="AR67" s="449"/>
      <c r="AS67" s="449"/>
      <c r="AT67" s="449"/>
      <c r="AU67" s="449"/>
      <c r="AV67" s="449"/>
      <c r="AW67" s="449"/>
      <c r="AX67" s="449"/>
      <c r="AY67" s="449"/>
      <c r="AZ67" s="449"/>
      <c r="BF67" s="449"/>
      <c r="BG67" s="450"/>
      <c r="BH67" s="450"/>
      <c r="BJ67" s="1240"/>
    </row>
    <row r="68" spans="1:62" ht="5.0999999999999996" customHeight="1" outlineLevel="1">
      <c r="A68" s="1241"/>
      <c r="B68" s="75"/>
      <c r="C68" s="165"/>
      <c r="D68" s="165"/>
      <c r="E68" s="167"/>
      <c r="F68" s="167"/>
      <c r="G68" s="167"/>
      <c r="H68" s="167"/>
      <c r="I68" s="167"/>
      <c r="J68" s="167"/>
      <c r="K68" s="167"/>
      <c r="L68" s="167"/>
      <c r="M68" s="167"/>
      <c r="N68" s="167"/>
      <c r="O68" s="197"/>
      <c r="P68" s="198"/>
      <c r="Q68" s="199"/>
      <c r="R68" s="198"/>
      <c r="S68" s="198"/>
      <c r="T68" s="198"/>
      <c r="U68" s="198"/>
      <c r="V68" s="198"/>
      <c r="W68" s="198"/>
      <c r="X68" s="75"/>
      <c r="Y68" s="198"/>
      <c r="Z68" s="75"/>
      <c r="AA68" s="198"/>
      <c r="AB68" s="75"/>
      <c r="AC68" s="319"/>
      <c r="AD68" s="75"/>
      <c r="AE68" s="319"/>
      <c r="AF68" s="75"/>
      <c r="AG68" s="75"/>
      <c r="AH68" s="75"/>
      <c r="AI68" s="75"/>
      <c r="AJ68" s="75"/>
      <c r="AK68" s="75"/>
      <c r="AL68" s="75"/>
      <c r="AM68" s="75"/>
      <c r="AN68" s="75"/>
      <c r="AO68" s="75"/>
      <c r="AP68" s="75"/>
      <c r="AQ68" s="75"/>
      <c r="AR68" s="449"/>
      <c r="AS68" s="449"/>
      <c r="AT68" s="449"/>
      <c r="AU68" s="449"/>
      <c r="AV68" s="449"/>
      <c r="AW68" s="449"/>
      <c r="AX68" s="449"/>
      <c r="AY68" s="449"/>
      <c r="AZ68" s="449"/>
      <c r="BF68" s="449"/>
      <c r="BG68" s="450"/>
      <c r="BH68" s="450"/>
      <c r="BJ68" s="1240"/>
    </row>
    <row r="69" spans="1:62" ht="12" customHeight="1" outlineLevel="1">
      <c r="A69" s="1241"/>
      <c r="B69" s="204" t="s">
        <v>32</v>
      </c>
      <c r="C69" s="165" t="s">
        <v>33</v>
      </c>
      <c r="D69" s="165"/>
      <c r="E69" s="167"/>
      <c r="F69" s="167"/>
      <c r="G69" s="167"/>
      <c r="H69" s="167"/>
      <c r="I69" s="167"/>
      <c r="J69" s="167"/>
      <c r="K69" s="167"/>
      <c r="L69" s="167"/>
      <c r="M69" s="167"/>
      <c r="N69" s="167"/>
      <c r="O69" s="197"/>
      <c r="P69" s="198"/>
      <c r="Q69" s="199"/>
      <c r="R69" s="198"/>
      <c r="S69" s="198"/>
      <c r="T69" s="198"/>
      <c r="U69" s="198"/>
      <c r="V69" s="198"/>
      <c r="W69" s="198"/>
      <c r="X69" s="166">
        <f>SUM(X71:X72)</f>
        <v>58553</v>
      </c>
      <c r="Y69" s="198">
        <f t="shared" ref="Y69:AQ69" si="15">SUM(Y71:Y72)</f>
        <v>61447</v>
      </c>
      <c r="Z69" s="166">
        <f t="shared" si="15"/>
        <v>66702</v>
      </c>
      <c r="AA69" s="198">
        <f t="shared" si="15"/>
        <v>73465</v>
      </c>
      <c r="AB69" s="166">
        <f t="shared" si="15"/>
        <v>80957</v>
      </c>
      <c r="AC69" s="319">
        <f t="shared" si="15"/>
        <v>86584</v>
      </c>
      <c r="AD69" s="166">
        <f t="shared" si="15"/>
        <v>88359</v>
      </c>
      <c r="AE69" s="319">
        <f t="shared" si="15"/>
        <v>77133</v>
      </c>
      <c r="AF69" s="166">
        <f t="shared" si="15"/>
        <v>60779</v>
      </c>
      <c r="AG69" s="166">
        <f t="shared" si="15"/>
        <v>80013</v>
      </c>
      <c r="AH69" s="166">
        <f t="shared" si="15"/>
        <v>77761</v>
      </c>
      <c r="AI69" s="166">
        <f t="shared" si="15"/>
        <v>77809</v>
      </c>
      <c r="AJ69" s="166">
        <f t="shared" si="15"/>
        <v>85038</v>
      </c>
      <c r="AK69" s="166">
        <f t="shared" si="15"/>
        <v>88976</v>
      </c>
      <c r="AL69" s="166">
        <f t="shared" si="15"/>
        <v>95386</v>
      </c>
      <c r="AM69" s="166">
        <f t="shared" si="15"/>
        <v>97663</v>
      </c>
      <c r="AN69" s="166">
        <f t="shared" si="15"/>
        <v>102270</v>
      </c>
      <c r="AO69" s="166">
        <f t="shared" si="15"/>
        <v>106223</v>
      </c>
      <c r="AP69" s="166">
        <f t="shared" si="15"/>
        <v>107308</v>
      </c>
      <c r="AQ69" s="166">
        <f t="shared" si="15"/>
        <v>93844</v>
      </c>
      <c r="AR69" s="449"/>
      <c r="AS69" s="449"/>
      <c r="AT69" s="449"/>
      <c r="AU69" s="449"/>
      <c r="AV69" s="449"/>
      <c r="AW69" s="449"/>
      <c r="AX69" s="449"/>
      <c r="AY69" s="449"/>
      <c r="AZ69" s="449"/>
      <c r="BF69" s="449"/>
      <c r="BG69" s="450"/>
      <c r="BH69" s="450"/>
      <c r="BJ69" s="1240"/>
    </row>
    <row r="70" spans="1:62" ht="5.0999999999999996" customHeight="1" outlineLevel="1">
      <c r="A70" s="1241"/>
      <c r="B70" s="75"/>
      <c r="C70" s="165"/>
      <c r="D70" s="165"/>
      <c r="E70" s="167"/>
      <c r="F70" s="167"/>
      <c r="G70" s="167"/>
      <c r="H70" s="167"/>
      <c r="I70" s="167"/>
      <c r="J70" s="167"/>
      <c r="K70" s="167"/>
      <c r="L70" s="167"/>
      <c r="M70" s="167"/>
      <c r="N70" s="167"/>
      <c r="O70" s="197"/>
      <c r="P70" s="198"/>
      <c r="Q70" s="199"/>
      <c r="R70" s="198"/>
      <c r="S70" s="198"/>
      <c r="T70" s="198"/>
      <c r="U70" s="198"/>
      <c r="V70" s="198"/>
      <c r="W70" s="198"/>
      <c r="X70" s="75"/>
      <c r="Y70" s="198"/>
      <c r="Z70" s="75"/>
      <c r="AA70" s="198"/>
      <c r="AB70" s="75"/>
      <c r="AC70" s="319"/>
      <c r="AD70" s="75"/>
      <c r="AE70" s="319"/>
      <c r="AF70" s="75"/>
      <c r="AG70" s="75"/>
      <c r="AH70" s="75"/>
      <c r="AI70" s="75"/>
      <c r="AJ70" s="75"/>
      <c r="AK70" s="75"/>
      <c r="AL70" s="75"/>
      <c r="AM70" s="75"/>
      <c r="AN70" s="75"/>
      <c r="AO70" s="75"/>
      <c r="AP70" s="75"/>
      <c r="AQ70" s="75"/>
      <c r="AR70" s="449"/>
      <c r="AS70" s="449"/>
      <c r="AT70" s="449"/>
      <c r="AU70" s="449"/>
      <c r="AV70" s="449"/>
      <c r="AW70" s="449"/>
      <c r="AX70" s="449"/>
      <c r="AY70" s="449"/>
      <c r="AZ70" s="449"/>
      <c r="BF70" s="449"/>
      <c r="BG70" s="450"/>
      <c r="BH70" s="450"/>
      <c r="BJ70" s="1240"/>
    </row>
    <row r="71" spans="1:62" ht="12" customHeight="1" outlineLevel="1">
      <c r="A71" s="1241"/>
      <c r="B71" s="75"/>
      <c r="C71" s="165" t="s">
        <v>34</v>
      </c>
      <c r="D71" s="165"/>
      <c r="E71" s="167"/>
      <c r="F71" s="167"/>
      <c r="G71" s="167"/>
      <c r="H71" s="167"/>
      <c r="I71" s="167"/>
      <c r="J71" s="167"/>
      <c r="K71" s="167"/>
      <c r="L71" s="167"/>
      <c r="M71" s="167"/>
      <c r="N71" s="167"/>
      <c r="O71" s="197"/>
      <c r="P71" s="198"/>
      <c r="Q71" s="199"/>
      <c r="R71" s="198"/>
      <c r="S71" s="198"/>
      <c r="T71" s="198"/>
      <c r="U71" s="198"/>
      <c r="V71" s="198"/>
      <c r="W71" s="198"/>
      <c r="X71" s="166">
        <v>40124</v>
      </c>
      <c r="Y71" s="198">
        <v>41693</v>
      </c>
      <c r="Z71" s="166">
        <v>45674</v>
      </c>
      <c r="AA71" s="198">
        <v>51300</v>
      </c>
      <c r="AB71" s="166">
        <v>57749</v>
      </c>
      <c r="AC71" s="319">
        <v>62402</v>
      </c>
      <c r="AD71" s="166">
        <v>62778</v>
      </c>
      <c r="AE71" s="319">
        <v>52380</v>
      </c>
      <c r="AF71" s="166">
        <v>36820</v>
      </c>
      <c r="AG71" s="166">
        <v>55629</v>
      </c>
      <c r="AH71" s="166">
        <v>54371</v>
      </c>
      <c r="AI71" s="166">
        <v>55244</v>
      </c>
      <c r="AJ71" s="166">
        <v>60488</v>
      </c>
      <c r="AK71" s="166">
        <v>64242.000000000007</v>
      </c>
      <c r="AL71" s="166">
        <v>69478</v>
      </c>
      <c r="AM71" s="166">
        <v>71942</v>
      </c>
      <c r="AN71" s="166">
        <v>75794</v>
      </c>
      <c r="AO71" s="166">
        <v>79433</v>
      </c>
      <c r="AP71" s="166">
        <v>81086</v>
      </c>
      <c r="AQ71" s="166">
        <v>70739</v>
      </c>
      <c r="AR71" s="449"/>
      <c r="AS71" s="449"/>
      <c r="AT71" s="449"/>
      <c r="AU71" s="449"/>
      <c r="AV71" s="449"/>
      <c r="AW71" s="449"/>
      <c r="AX71" s="449"/>
      <c r="AY71" s="449"/>
      <c r="AZ71" s="449"/>
      <c r="BF71" s="449"/>
      <c r="BG71" s="450"/>
      <c r="BH71" s="450"/>
      <c r="BJ71" s="1240"/>
    </row>
    <row r="72" spans="1:62" ht="12" customHeight="1" outlineLevel="1">
      <c r="A72" s="1241"/>
      <c r="B72" s="75"/>
      <c r="C72" s="165" t="s">
        <v>35</v>
      </c>
      <c r="D72" s="165"/>
      <c r="E72" s="167"/>
      <c r="F72" s="167"/>
      <c r="G72" s="167"/>
      <c r="H72" s="167"/>
      <c r="I72" s="167"/>
      <c r="J72" s="167"/>
      <c r="K72" s="167"/>
      <c r="L72" s="167"/>
      <c r="M72" s="167"/>
      <c r="N72" s="167"/>
      <c r="O72" s="197"/>
      <c r="P72" s="198"/>
      <c r="Q72" s="199"/>
      <c r="R72" s="198"/>
      <c r="S72" s="198"/>
      <c r="T72" s="198"/>
      <c r="U72" s="198"/>
      <c r="V72" s="198"/>
      <c r="W72" s="198"/>
      <c r="X72" s="166">
        <v>18429</v>
      </c>
      <c r="Y72" s="198">
        <v>19754</v>
      </c>
      <c r="Z72" s="166">
        <v>21028</v>
      </c>
      <c r="AA72" s="198">
        <v>22165</v>
      </c>
      <c r="AB72" s="166">
        <v>23208</v>
      </c>
      <c r="AC72" s="319">
        <v>24182</v>
      </c>
      <c r="AD72" s="166">
        <v>25581</v>
      </c>
      <c r="AE72" s="319">
        <v>24753</v>
      </c>
      <c r="AF72" s="166">
        <v>23959</v>
      </c>
      <c r="AG72" s="166">
        <v>24384</v>
      </c>
      <c r="AH72" s="166">
        <v>23390</v>
      </c>
      <c r="AI72" s="166">
        <v>22565</v>
      </c>
      <c r="AJ72" s="166">
        <v>24550</v>
      </c>
      <c r="AK72" s="166">
        <v>24734</v>
      </c>
      <c r="AL72" s="166">
        <v>25908</v>
      </c>
      <c r="AM72" s="166">
        <v>25721</v>
      </c>
      <c r="AN72" s="166">
        <v>26476</v>
      </c>
      <c r="AO72" s="166">
        <v>26790</v>
      </c>
      <c r="AP72" s="166">
        <v>26222</v>
      </c>
      <c r="AQ72" s="166">
        <v>23105</v>
      </c>
      <c r="AR72" s="449"/>
      <c r="AS72" s="449"/>
      <c r="AT72" s="449"/>
      <c r="AU72" s="449"/>
      <c r="AV72" s="449"/>
      <c r="AW72" s="449"/>
      <c r="AX72" s="449"/>
      <c r="AY72" s="449"/>
      <c r="AZ72" s="449"/>
      <c r="BF72" s="449"/>
      <c r="BG72" s="450"/>
      <c r="BH72" s="450"/>
      <c r="BJ72" s="1240"/>
    </row>
    <row r="73" spans="1:62" ht="5.0999999999999996" customHeight="1" outlineLevel="1">
      <c r="A73" s="1241"/>
      <c r="B73" s="75"/>
      <c r="C73" s="165"/>
      <c r="D73" s="165"/>
      <c r="E73" s="167"/>
      <c r="F73" s="167"/>
      <c r="G73" s="167"/>
      <c r="H73" s="167"/>
      <c r="I73" s="167"/>
      <c r="J73" s="167"/>
      <c r="K73" s="167"/>
      <c r="L73" s="167"/>
      <c r="M73" s="167"/>
      <c r="N73" s="167"/>
      <c r="O73" s="197"/>
      <c r="P73" s="198"/>
      <c r="Q73" s="199"/>
      <c r="R73" s="198"/>
      <c r="S73" s="198"/>
      <c r="T73" s="198"/>
      <c r="U73" s="198"/>
      <c r="V73" s="198"/>
      <c r="W73" s="198"/>
      <c r="X73" s="166"/>
      <c r="Y73" s="198"/>
      <c r="Z73" s="166"/>
      <c r="AA73" s="198"/>
      <c r="AB73" s="166"/>
      <c r="AC73" s="319"/>
      <c r="AD73" s="166"/>
      <c r="AE73" s="319"/>
      <c r="AF73" s="166"/>
      <c r="AG73" s="166"/>
      <c r="AH73" s="166"/>
      <c r="AI73" s="166"/>
      <c r="AJ73" s="166"/>
      <c r="AK73" s="166"/>
      <c r="AL73" s="166"/>
      <c r="AM73" s="166"/>
      <c r="AN73" s="166"/>
      <c r="AO73" s="166"/>
      <c r="AP73" s="166"/>
      <c r="AQ73" s="166"/>
      <c r="AR73" s="449"/>
      <c r="AS73" s="449"/>
      <c r="AT73" s="449"/>
      <c r="AU73" s="449"/>
      <c r="AV73" s="449"/>
      <c r="AW73" s="449"/>
      <c r="AX73" s="449"/>
      <c r="AY73" s="449"/>
      <c r="AZ73" s="449"/>
      <c r="BF73" s="449"/>
      <c r="BG73" s="450"/>
      <c r="BH73" s="450"/>
      <c r="BJ73" s="1240"/>
    </row>
    <row r="74" spans="1:62" ht="12" customHeight="1" outlineLevel="1">
      <c r="A74" s="1241"/>
      <c r="B74" s="204" t="s">
        <v>36</v>
      </c>
      <c r="C74" s="165" t="s">
        <v>37</v>
      </c>
      <c r="D74" s="165"/>
      <c r="E74" s="167"/>
      <c r="F74" s="167"/>
      <c r="G74" s="167"/>
      <c r="H74" s="167"/>
      <c r="I74" s="167"/>
      <c r="J74" s="167"/>
      <c r="K74" s="167"/>
      <c r="L74" s="167"/>
      <c r="M74" s="167"/>
      <c r="N74" s="167"/>
      <c r="O74" s="197"/>
      <c r="P74" s="198"/>
      <c r="Q74" s="199"/>
      <c r="R74" s="198"/>
      <c r="S74" s="198"/>
      <c r="T74" s="198"/>
      <c r="U74" s="198"/>
      <c r="V74" s="198"/>
      <c r="W74" s="198"/>
      <c r="X74" s="166">
        <v>62323</v>
      </c>
      <c r="Y74" s="198">
        <v>65397.000000000007</v>
      </c>
      <c r="Z74" s="166">
        <v>70953</v>
      </c>
      <c r="AA74" s="198">
        <v>78159</v>
      </c>
      <c r="AB74" s="166">
        <v>85964</v>
      </c>
      <c r="AC74" s="319">
        <v>91751</v>
      </c>
      <c r="AD74" s="166">
        <v>93814</v>
      </c>
      <c r="AE74" s="319">
        <v>82288</v>
      </c>
      <c r="AF74" s="166">
        <v>65394.000000000007</v>
      </c>
      <c r="AG74" s="166">
        <v>84985</v>
      </c>
      <c r="AH74" s="166">
        <v>82497</v>
      </c>
      <c r="AI74" s="166">
        <v>85139</v>
      </c>
      <c r="AJ74" s="166">
        <v>91122</v>
      </c>
      <c r="AK74" s="166">
        <v>95391</v>
      </c>
      <c r="AL74" s="166">
        <v>102912</v>
      </c>
      <c r="AM74" s="166">
        <v>104755</v>
      </c>
      <c r="AN74" s="166">
        <v>109448</v>
      </c>
      <c r="AO74" s="166">
        <v>113796</v>
      </c>
      <c r="AP74" s="166">
        <v>115049</v>
      </c>
      <c r="AQ74" s="166">
        <v>100810</v>
      </c>
      <c r="AR74" s="449"/>
      <c r="AS74" s="449"/>
      <c r="AT74" s="449"/>
      <c r="AU74" s="449"/>
      <c r="AV74" s="449"/>
      <c r="AW74" s="449"/>
      <c r="AX74" s="449"/>
      <c r="AY74" s="449"/>
      <c r="AZ74" s="449"/>
      <c r="BF74" s="449"/>
      <c r="BG74" s="450"/>
      <c r="BH74" s="450"/>
      <c r="BJ74" s="1240"/>
    </row>
    <row r="75" spans="1:62" ht="5.0999999999999996" customHeight="1" outlineLevel="1">
      <c r="A75" s="1241"/>
      <c r="B75" s="75"/>
      <c r="C75" s="165"/>
      <c r="D75" s="165"/>
      <c r="E75" s="167"/>
      <c r="F75" s="167"/>
      <c r="G75" s="167"/>
      <c r="H75" s="167"/>
      <c r="I75" s="167"/>
      <c r="J75" s="167"/>
      <c r="K75" s="167"/>
      <c r="L75" s="167"/>
      <c r="M75" s="167"/>
      <c r="N75" s="167"/>
      <c r="O75" s="197"/>
      <c r="P75" s="198"/>
      <c r="Q75" s="199"/>
      <c r="R75" s="198"/>
      <c r="S75" s="198"/>
      <c r="T75" s="198"/>
      <c r="U75" s="198"/>
      <c r="V75" s="198"/>
      <c r="W75" s="198"/>
      <c r="X75" s="166"/>
      <c r="Y75" s="198"/>
      <c r="Z75" s="166"/>
      <c r="AA75" s="198"/>
      <c r="AB75" s="166"/>
      <c r="AC75" s="319"/>
      <c r="AD75" s="166"/>
      <c r="AE75" s="319"/>
      <c r="AF75" s="166"/>
      <c r="AG75" s="166"/>
      <c r="AH75" s="166"/>
      <c r="AI75" s="166"/>
      <c r="AJ75" s="166"/>
      <c r="AK75" s="166"/>
      <c r="AL75" s="166"/>
      <c r="AM75" s="166"/>
      <c r="AN75" s="166"/>
      <c r="AO75" s="166"/>
      <c r="AP75" s="166"/>
      <c r="AQ75" s="166"/>
      <c r="AR75" s="449"/>
      <c r="AS75" s="449"/>
      <c r="AT75" s="449"/>
      <c r="AU75" s="449"/>
      <c r="AV75" s="449"/>
      <c r="AW75" s="449"/>
      <c r="AX75" s="449"/>
      <c r="AY75" s="449"/>
      <c r="AZ75" s="449"/>
      <c r="BF75" s="449"/>
      <c r="BG75" s="450"/>
      <c r="BH75" s="450"/>
      <c r="BJ75" s="1240"/>
    </row>
    <row r="76" spans="1:62" ht="12" customHeight="1" outlineLevel="1">
      <c r="A76" s="1241"/>
      <c r="B76" s="204" t="s">
        <v>38</v>
      </c>
      <c r="C76" s="165" t="s">
        <v>39</v>
      </c>
      <c r="D76" s="165"/>
      <c r="E76" s="167"/>
      <c r="F76" s="167"/>
      <c r="G76" s="167"/>
      <c r="H76" s="167"/>
      <c r="I76" s="167"/>
      <c r="J76" s="167"/>
      <c r="K76" s="167"/>
      <c r="L76" s="167"/>
      <c r="M76" s="167"/>
      <c r="N76" s="167"/>
      <c r="O76" s="197"/>
      <c r="P76" s="198"/>
      <c r="Q76" s="199"/>
      <c r="R76" s="198"/>
      <c r="S76" s="198"/>
      <c r="T76" s="198"/>
      <c r="U76" s="198"/>
      <c r="V76" s="198"/>
      <c r="W76" s="198"/>
      <c r="X76" s="166">
        <v>68712</v>
      </c>
      <c r="Y76" s="198">
        <v>72057</v>
      </c>
      <c r="Z76" s="166">
        <v>77463</v>
      </c>
      <c r="AA76" s="198">
        <v>85155</v>
      </c>
      <c r="AB76" s="166">
        <v>93788</v>
      </c>
      <c r="AC76" s="319">
        <v>100433</v>
      </c>
      <c r="AD76" s="166">
        <v>102334</v>
      </c>
      <c r="AE76" s="319">
        <v>90164</v>
      </c>
      <c r="AF76" s="166">
        <v>72758</v>
      </c>
      <c r="AG76" s="166">
        <v>92344</v>
      </c>
      <c r="AH76" s="166">
        <v>89817</v>
      </c>
      <c r="AI76" s="166">
        <v>92266</v>
      </c>
      <c r="AJ76" s="166">
        <v>99026</v>
      </c>
      <c r="AK76" s="166">
        <v>103418</v>
      </c>
      <c r="AL76" s="166">
        <v>111159</v>
      </c>
      <c r="AM76" s="166">
        <v>113210</v>
      </c>
      <c r="AN76" s="166">
        <v>118018</v>
      </c>
      <c r="AO76" s="166">
        <v>123004</v>
      </c>
      <c r="AP76" s="166">
        <v>124720</v>
      </c>
      <c r="AQ76" s="166">
        <v>109890</v>
      </c>
      <c r="AR76" s="449"/>
      <c r="AS76" s="449"/>
      <c r="AT76" s="449"/>
      <c r="AU76" s="449"/>
      <c r="AV76" s="449"/>
      <c r="AW76" s="449"/>
      <c r="AX76" s="449"/>
      <c r="AY76" s="449"/>
      <c r="AZ76" s="449"/>
      <c r="BF76" s="449"/>
      <c r="BG76" s="450"/>
      <c r="BH76" s="450"/>
      <c r="BJ76" s="1240"/>
    </row>
    <row r="77" spans="1:62" ht="12" customHeight="1" outlineLevel="1">
      <c r="A77" s="1241"/>
      <c r="B77" s="204"/>
      <c r="C77" s="165"/>
      <c r="D77" s="165"/>
      <c r="E77" s="167"/>
      <c r="F77" s="167"/>
      <c r="G77" s="167"/>
      <c r="H77" s="167"/>
      <c r="I77" s="167"/>
      <c r="J77" s="167"/>
      <c r="K77" s="167"/>
      <c r="L77" s="167"/>
      <c r="M77" s="167"/>
      <c r="N77" s="167"/>
      <c r="O77" s="197"/>
      <c r="P77" s="198"/>
      <c r="Q77" s="199"/>
      <c r="R77" s="198"/>
      <c r="S77" s="198"/>
      <c r="T77" s="198"/>
      <c r="U77" s="198"/>
      <c r="V77" s="198"/>
      <c r="W77" s="198"/>
      <c r="X77" s="166"/>
      <c r="Y77" s="198"/>
      <c r="Z77" s="166"/>
      <c r="AA77" s="198"/>
      <c r="AB77" s="166"/>
      <c r="AC77" s="319"/>
      <c r="AD77" s="166"/>
      <c r="AE77" s="319"/>
      <c r="AF77" s="166"/>
      <c r="AG77" s="166"/>
      <c r="AH77" s="166"/>
      <c r="AI77" s="166"/>
      <c r="AJ77" s="166"/>
      <c r="AK77" s="166"/>
      <c r="AL77" s="166"/>
      <c r="AM77" s="166"/>
      <c r="AN77" s="166"/>
      <c r="AO77" s="166"/>
      <c r="AP77" s="166"/>
      <c r="AQ77" s="166"/>
      <c r="AR77" s="449"/>
      <c r="AS77" s="449"/>
      <c r="AT77" s="449"/>
      <c r="AU77" s="449"/>
      <c r="AV77" s="449"/>
      <c r="AW77" s="449"/>
      <c r="AX77" s="449"/>
      <c r="AY77" s="449"/>
      <c r="AZ77" s="449"/>
      <c r="BF77" s="449"/>
      <c r="BG77" s="450"/>
      <c r="BH77" s="450"/>
      <c r="BJ77" s="1240"/>
    </row>
    <row r="78" spans="1:62" ht="12" customHeight="1" outlineLevel="1">
      <c r="A78" s="1241"/>
      <c r="B78" s="165" t="s">
        <v>40</v>
      </c>
      <c r="D78" s="165"/>
      <c r="E78" s="167"/>
      <c r="F78" s="167"/>
      <c r="G78" s="167"/>
      <c r="H78" s="167"/>
      <c r="I78" s="167"/>
      <c r="J78" s="167"/>
      <c r="K78" s="167"/>
      <c r="L78" s="167"/>
      <c r="M78" s="167"/>
      <c r="N78" s="167"/>
      <c r="O78" s="197"/>
      <c r="P78" s="198"/>
      <c r="Q78" s="199"/>
      <c r="R78" s="198"/>
      <c r="S78" s="198"/>
      <c r="T78" s="198"/>
      <c r="U78" s="198"/>
      <c r="V78" s="198"/>
      <c r="W78" s="198"/>
      <c r="X78" s="166"/>
      <c r="Y78" s="198"/>
      <c r="Z78" s="166"/>
      <c r="AA78" s="198"/>
      <c r="AB78" s="166"/>
      <c r="AC78" s="319"/>
      <c r="AD78" s="166"/>
      <c r="AE78" s="319"/>
      <c r="AF78" s="166"/>
      <c r="AG78" s="166"/>
      <c r="AH78" s="166"/>
      <c r="AI78" s="166"/>
      <c r="AJ78" s="166"/>
      <c r="AK78" s="166"/>
      <c r="AL78" s="166"/>
      <c r="AM78" s="166"/>
      <c r="AN78" s="166"/>
      <c r="AO78" s="166"/>
      <c r="AP78" s="166"/>
      <c r="AQ78" s="166"/>
      <c r="AR78" s="449"/>
      <c r="AS78" s="449"/>
      <c r="AT78" s="449"/>
      <c r="AU78" s="449"/>
      <c r="AV78" s="449"/>
      <c r="AW78" s="449"/>
      <c r="AX78" s="449"/>
      <c r="AY78" s="449"/>
      <c r="AZ78" s="449"/>
      <c r="BF78" s="449"/>
      <c r="BG78" s="450"/>
      <c r="BH78" s="450"/>
      <c r="BJ78" s="1240"/>
    </row>
    <row r="79" spans="1:62" ht="6" customHeight="1" outlineLevel="1">
      <c r="A79" s="1241"/>
      <c r="B79" s="75"/>
      <c r="C79" s="165"/>
      <c r="D79" s="165"/>
      <c r="E79" s="167"/>
      <c r="F79" s="167"/>
      <c r="G79" s="167"/>
      <c r="H79" s="167"/>
      <c r="I79" s="167"/>
      <c r="J79" s="167"/>
      <c r="K79" s="167"/>
      <c r="L79" s="167"/>
      <c r="M79" s="167"/>
      <c r="N79" s="167"/>
      <c r="O79" s="197"/>
      <c r="P79" s="198"/>
      <c r="Q79" s="199"/>
      <c r="R79" s="198"/>
      <c r="S79" s="198"/>
      <c r="T79" s="198"/>
      <c r="U79" s="198"/>
      <c r="V79" s="198"/>
      <c r="W79" s="198"/>
      <c r="X79" s="166"/>
      <c r="Y79" s="198"/>
      <c r="Z79" s="166"/>
      <c r="AA79" s="198"/>
      <c r="AB79" s="166"/>
      <c r="AC79" s="319"/>
      <c r="AD79" s="166"/>
      <c r="AE79" s="319"/>
      <c r="AF79" s="166"/>
      <c r="AG79" s="166"/>
      <c r="AH79" s="166"/>
      <c r="AI79" s="166"/>
      <c r="AJ79" s="166"/>
      <c r="AK79" s="166"/>
      <c r="AL79" s="166"/>
      <c r="AM79" s="166"/>
      <c r="AN79" s="166"/>
      <c r="AO79" s="166"/>
      <c r="AP79" s="166"/>
      <c r="AQ79" s="166"/>
      <c r="AR79" s="449"/>
      <c r="AS79" s="449"/>
      <c r="AT79" s="449"/>
      <c r="AU79" s="449"/>
      <c r="AV79" s="449"/>
      <c r="AW79" s="449"/>
      <c r="AX79" s="449"/>
      <c r="AY79" s="449"/>
      <c r="AZ79" s="449"/>
      <c r="BF79" s="449"/>
      <c r="BG79" s="450"/>
      <c r="BH79" s="450"/>
      <c r="BJ79" s="1240"/>
    </row>
    <row r="80" spans="1:62" ht="12" customHeight="1" outlineLevel="1">
      <c r="A80" s="1241"/>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f>X69/X67</f>
        <v>0.12661586433875524</v>
      </c>
      <c r="Y80" s="198">
        <f t="shared" ref="Y80:AQ80" si="16">Y69/Y67</f>
        <v>0.1250338289486268</v>
      </c>
      <c r="Z80" s="207">
        <f t="shared" si="16"/>
        <v>0.1281390237904961</v>
      </c>
      <c r="AA80" s="198">
        <f t="shared" si="16"/>
        <v>0.13033311985182847</v>
      </c>
      <c r="AB80" s="207">
        <f t="shared" si="16"/>
        <v>0.133003550288081</v>
      </c>
      <c r="AC80" s="319">
        <f t="shared" si="16"/>
        <v>0.1319576316391069</v>
      </c>
      <c r="AD80" s="207">
        <f t="shared" si="16"/>
        <v>0.12570528633985198</v>
      </c>
      <c r="AE80" s="319">
        <f t="shared" si="16"/>
        <v>0.10590115452894149</v>
      </c>
      <c r="AF80" s="207">
        <f t="shared" si="16"/>
        <v>8.6325100735579224E-2</v>
      </c>
      <c r="AG80" s="207">
        <f t="shared" si="16"/>
        <v>0.11114861767475975</v>
      </c>
      <c r="AH80" s="207">
        <f t="shared" si="16"/>
        <v>0.10804805964798683</v>
      </c>
      <c r="AI80" s="207">
        <f t="shared" si="16"/>
        <v>0.1101977807204515</v>
      </c>
      <c r="AJ80" s="207">
        <f t="shared" si="16"/>
        <v>0.12321365698446898</v>
      </c>
      <c r="AK80" s="207">
        <f t="shared" si="16"/>
        <v>0.12703416570294543</v>
      </c>
      <c r="AL80" s="207">
        <f t="shared" si="16"/>
        <v>0.13231424390176236</v>
      </c>
      <c r="AM80" s="207">
        <f t="shared" si="16"/>
        <v>0.13214899930585342</v>
      </c>
      <c r="AN80" s="207">
        <f t="shared" si="16"/>
        <v>0.13265038769141371</v>
      </c>
      <c r="AO80" s="207">
        <f t="shared" si="16"/>
        <v>0.1333568519532172</v>
      </c>
      <c r="AP80" s="207">
        <f t="shared" si="16"/>
        <v>0.13195169427854364</v>
      </c>
      <c r="AQ80" s="207">
        <f t="shared" si="16"/>
        <v>0.12805838252672544</v>
      </c>
      <c r="AR80" s="449"/>
      <c r="AS80" s="449"/>
      <c r="AT80" s="449"/>
      <c r="AU80" s="449"/>
      <c r="AV80" s="449"/>
      <c r="AW80" s="449"/>
      <c r="AX80" s="449"/>
      <c r="AY80" s="449"/>
      <c r="AZ80" s="449"/>
      <c r="BF80" s="449"/>
      <c r="BG80" s="450"/>
      <c r="BH80" s="450"/>
      <c r="BJ80" s="1240"/>
    </row>
    <row r="81" spans="1:62" ht="5.0999999999999996" customHeight="1" outlineLevel="1">
      <c r="A81" s="1241"/>
      <c r="B81" s="75"/>
      <c r="C81" s="165"/>
      <c r="D81" s="165"/>
      <c r="E81" s="167"/>
      <c r="F81" s="167"/>
      <c r="G81" s="167"/>
      <c r="H81" s="167"/>
      <c r="I81" s="167"/>
      <c r="J81" s="167"/>
      <c r="K81" s="167"/>
      <c r="L81" s="167"/>
      <c r="M81" s="167"/>
      <c r="N81" s="167"/>
      <c r="O81" s="197"/>
      <c r="P81" s="198"/>
      <c r="Q81" s="199"/>
      <c r="R81" s="198"/>
      <c r="S81" s="198"/>
      <c r="T81" s="198"/>
      <c r="U81" s="198"/>
      <c r="V81" s="198"/>
      <c r="W81" s="198"/>
      <c r="X81" s="166"/>
      <c r="Y81" s="198"/>
      <c r="Z81" s="166"/>
      <c r="AA81" s="198"/>
      <c r="AB81" s="166"/>
      <c r="AC81" s="319"/>
      <c r="AD81" s="166"/>
      <c r="AE81" s="319"/>
      <c r="AF81" s="166"/>
      <c r="AG81" s="166"/>
      <c r="AH81" s="166"/>
      <c r="AI81" s="166"/>
      <c r="AJ81" s="166"/>
      <c r="AK81" s="166"/>
      <c r="AL81" s="166"/>
      <c r="AM81" s="166"/>
      <c r="AN81" s="166"/>
      <c r="AO81" s="166"/>
      <c r="AP81" s="166"/>
      <c r="AQ81" s="166"/>
      <c r="AR81" s="449"/>
      <c r="AS81" s="449"/>
      <c r="AT81" s="449"/>
      <c r="AU81" s="449"/>
      <c r="AV81" s="449"/>
      <c r="AW81" s="449"/>
      <c r="AX81" s="449"/>
      <c r="AY81" s="449"/>
      <c r="AZ81" s="449"/>
      <c r="BF81" s="449"/>
      <c r="BG81" s="450"/>
      <c r="BH81" s="450"/>
      <c r="BJ81" s="1240"/>
    </row>
    <row r="82" spans="1:62" ht="12" customHeight="1" outlineLevel="1">
      <c r="A82" s="1241"/>
      <c r="B82" s="204" t="s">
        <v>43</v>
      </c>
      <c r="C82" s="165" t="s">
        <v>44</v>
      </c>
      <c r="D82" s="165"/>
      <c r="E82" s="167"/>
      <c r="F82" s="167"/>
      <c r="G82" s="167"/>
      <c r="H82" s="167"/>
      <c r="I82" s="167"/>
      <c r="J82" s="167"/>
      <c r="K82" s="167"/>
      <c r="L82" s="167"/>
      <c r="M82" s="167"/>
      <c r="N82" s="167"/>
      <c r="O82" s="197"/>
      <c r="P82" s="198"/>
      <c r="Q82" s="199"/>
      <c r="R82" s="198"/>
      <c r="S82" s="198"/>
      <c r="T82" s="198"/>
      <c r="U82" s="198"/>
      <c r="V82" s="198"/>
      <c r="W82" s="198"/>
      <c r="X82" s="208">
        <f>X76/X67</f>
        <v>0.14858383465312708</v>
      </c>
      <c r="Y82" s="198">
        <f t="shared" ref="Y82:AQ82" si="17">Y76/Y67</f>
        <v>0.14662331135045162</v>
      </c>
      <c r="Z82" s="208">
        <f t="shared" si="17"/>
        <v>0.14881162783549517</v>
      </c>
      <c r="AA82" s="198">
        <f t="shared" si="17"/>
        <v>0.15107216798451578</v>
      </c>
      <c r="AB82" s="208">
        <f t="shared" si="17"/>
        <v>0.15408348844965278</v>
      </c>
      <c r="AC82" s="319">
        <f t="shared" si="17"/>
        <v>0.15306408595595519</v>
      </c>
      <c r="AD82" s="208">
        <f t="shared" si="17"/>
        <v>0.14558703439720247</v>
      </c>
      <c r="AE82" s="319">
        <f t="shared" si="17"/>
        <v>0.12379230286579648</v>
      </c>
      <c r="AF82" s="208">
        <f t="shared" si="17"/>
        <v>0.10333900984417764</v>
      </c>
      <c r="AG82" s="208">
        <f t="shared" si="17"/>
        <v>0.12827800420629165</v>
      </c>
      <c r="AH82" s="208">
        <f t="shared" si="17"/>
        <v>0.12479973988764591</v>
      </c>
      <c r="AI82" s="208">
        <f t="shared" si="17"/>
        <v>0.13067265272594658</v>
      </c>
      <c r="AJ82" s="208">
        <f t="shared" si="17"/>
        <v>0.14348121541597902</v>
      </c>
      <c r="AK82" s="208">
        <f t="shared" si="17"/>
        <v>0.147653517225625</v>
      </c>
      <c r="AL82" s="208">
        <f t="shared" si="17"/>
        <v>0.1541936871016292</v>
      </c>
      <c r="AM82" s="208">
        <f t="shared" si="17"/>
        <v>0.15318583507997569</v>
      </c>
      <c r="AN82" s="208">
        <f t="shared" si="17"/>
        <v>0.15307649804014142</v>
      </c>
      <c r="AO82" s="208">
        <f t="shared" si="17"/>
        <v>0.15442442990363225</v>
      </c>
      <c r="AP82" s="208">
        <f t="shared" si="17"/>
        <v>0.15336242694319122</v>
      </c>
      <c r="AQ82" s="208">
        <f t="shared" si="17"/>
        <v>0.14995455922447742</v>
      </c>
      <c r="AR82" s="449"/>
      <c r="AS82" s="449"/>
      <c r="AT82" s="449"/>
      <c r="AU82" s="449"/>
      <c r="AV82" s="449"/>
      <c r="AW82" s="449"/>
      <c r="AX82" s="449"/>
      <c r="AY82" s="449"/>
      <c r="AZ82" s="449"/>
      <c r="BF82" s="449"/>
      <c r="BG82" s="450"/>
      <c r="BH82" s="450"/>
      <c r="BJ82" s="1240"/>
    </row>
    <row r="83" spans="1:62" ht="5.0999999999999996" customHeight="1" outlineLevel="1">
      <c r="A83" s="1241"/>
      <c r="B83" s="75"/>
      <c r="C83" s="165"/>
      <c r="D83" s="165"/>
      <c r="E83" s="167"/>
      <c r="F83" s="167"/>
      <c r="G83" s="167"/>
      <c r="H83" s="167"/>
      <c r="I83" s="167"/>
      <c r="J83" s="167"/>
      <c r="K83" s="167"/>
      <c r="L83" s="167"/>
      <c r="M83" s="167"/>
      <c r="N83" s="167"/>
      <c r="O83" s="197"/>
      <c r="P83" s="198"/>
      <c r="Q83" s="199"/>
      <c r="R83" s="198"/>
      <c r="S83" s="198"/>
      <c r="T83" s="198"/>
      <c r="U83" s="198"/>
      <c r="V83" s="198"/>
      <c r="W83" s="198"/>
      <c r="X83" s="166"/>
      <c r="Y83" s="198"/>
      <c r="Z83" s="166"/>
      <c r="AA83" s="198"/>
      <c r="AB83" s="166"/>
      <c r="AC83" s="319"/>
      <c r="AD83" s="166"/>
      <c r="AE83" s="319"/>
      <c r="AF83" s="166"/>
      <c r="AG83" s="166"/>
      <c r="AH83" s="166"/>
      <c r="AI83" s="166"/>
      <c r="AJ83" s="166"/>
      <c r="AK83" s="166"/>
      <c r="AL83" s="166"/>
      <c r="AM83" s="166"/>
      <c r="AN83" s="166"/>
      <c r="AO83" s="166"/>
      <c r="AP83" s="166"/>
      <c r="AQ83" s="166"/>
      <c r="AR83" s="449"/>
      <c r="AS83" s="449"/>
      <c r="AT83" s="449"/>
      <c r="AU83" s="449"/>
      <c r="AV83" s="449"/>
      <c r="AW83" s="449"/>
      <c r="AX83" s="449"/>
      <c r="AY83" s="449"/>
      <c r="AZ83" s="449"/>
      <c r="BF83" s="449"/>
      <c r="BG83" s="450"/>
      <c r="BH83" s="450"/>
      <c r="BJ83" s="1240"/>
    </row>
    <row r="84" spans="1:62" ht="12" customHeight="1" outlineLevel="1">
      <c r="A84" s="1241"/>
      <c r="B84" s="204" t="s">
        <v>45</v>
      </c>
      <c r="C84" s="165" t="s">
        <v>46</v>
      </c>
      <c r="D84" s="165"/>
      <c r="E84" s="167"/>
      <c r="F84" s="167"/>
      <c r="G84" s="167"/>
      <c r="H84" s="167"/>
      <c r="I84" s="167"/>
      <c r="J84" s="167"/>
      <c r="K84" s="167"/>
      <c r="L84" s="167"/>
      <c r="M84" s="167"/>
      <c r="N84" s="167"/>
      <c r="O84" s="197"/>
      <c r="P84" s="198"/>
      <c r="Q84" s="199"/>
      <c r="R84" s="198"/>
      <c r="S84" s="198"/>
      <c r="T84" s="198"/>
      <c r="U84" s="198"/>
      <c r="V84" s="198"/>
      <c r="W84" s="198"/>
      <c r="X84" s="208">
        <f>X76/X65</f>
        <v>0.16537980167517088</v>
      </c>
      <c r="Y84" s="198">
        <f t="shared" ref="Y84:AQ84" si="18">Y76/Y65</f>
        <v>0.16381915031476138</v>
      </c>
      <c r="Z84" s="208">
        <f t="shared" si="18"/>
        <v>0.16668782640692548</v>
      </c>
      <c r="AA84" s="198">
        <f t="shared" si="18"/>
        <v>0.17011029051893078</v>
      </c>
      <c r="AB84" s="208">
        <f t="shared" si="18"/>
        <v>0.17411515719709275</v>
      </c>
      <c r="AC84" s="319">
        <f t="shared" si="18"/>
        <v>0.17319110117831271</v>
      </c>
      <c r="AD84" s="550">
        <f t="shared" si="18"/>
        <v>0.16509850992843267</v>
      </c>
      <c r="AE84" s="319">
        <f t="shared" si="18"/>
        <v>0.14142973218011098</v>
      </c>
      <c r="AF84" s="550">
        <f t="shared" si="18"/>
        <v>0.11952052487971233</v>
      </c>
      <c r="AG84" s="550">
        <f t="shared" si="18"/>
        <v>0.14819498495486461</v>
      </c>
      <c r="AH84" s="550">
        <f t="shared" si="18"/>
        <v>0.14438059107678211</v>
      </c>
      <c r="AI84" s="550">
        <f t="shared" si="18"/>
        <v>0.15033573231356306</v>
      </c>
      <c r="AJ84" s="550">
        <f t="shared" si="18"/>
        <v>0.1645639038268511</v>
      </c>
      <c r="AK84" s="550">
        <f t="shared" si="18"/>
        <v>0.1687875686906225</v>
      </c>
      <c r="AL84" s="550">
        <f t="shared" si="18"/>
        <v>0.17638266305943209</v>
      </c>
      <c r="AM84" s="550">
        <f t="shared" si="18"/>
        <v>0.17463537287991793</v>
      </c>
      <c r="AN84" s="550">
        <f t="shared" si="18"/>
        <v>0.17404166334858179</v>
      </c>
      <c r="AO84" s="550">
        <f t="shared" si="18"/>
        <v>0.17585214032258525</v>
      </c>
      <c r="AP84" s="550">
        <f t="shared" si="18"/>
        <v>0.17476647824247027</v>
      </c>
      <c r="AQ84" s="550">
        <f t="shared" si="18"/>
        <v>0.17497933973124932</v>
      </c>
      <c r="AR84" s="449"/>
      <c r="AS84" s="449"/>
      <c r="AT84" s="449"/>
      <c r="AU84" s="449"/>
      <c r="AV84" s="449"/>
      <c r="AW84" s="449"/>
      <c r="AX84" s="449"/>
      <c r="AY84" s="449"/>
      <c r="AZ84" s="449"/>
      <c r="BF84" s="449"/>
      <c r="BG84" s="450"/>
      <c r="BH84" s="450"/>
      <c r="BJ84" s="1240"/>
    </row>
    <row r="85" spans="1:62" ht="5.0999999999999996" customHeight="1" outlineLevel="1">
      <c r="A85" s="1241"/>
      <c r="B85" s="172"/>
      <c r="C85" s="172"/>
      <c r="D85" s="172"/>
      <c r="E85" s="562"/>
      <c r="F85" s="562"/>
      <c r="G85" s="562"/>
      <c r="H85" s="562"/>
      <c r="I85" s="562"/>
      <c r="J85" s="562"/>
      <c r="K85" s="562"/>
      <c r="L85" s="562"/>
      <c r="M85" s="562"/>
      <c r="N85" s="562"/>
      <c r="O85" s="561"/>
      <c r="P85" s="194"/>
      <c r="Q85" s="194"/>
      <c r="R85" s="194"/>
      <c r="S85" s="194"/>
      <c r="T85" s="194"/>
      <c r="U85" s="194"/>
      <c r="V85" s="194"/>
      <c r="W85" s="194"/>
      <c r="X85" s="194"/>
      <c r="Y85" s="194"/>
      <c r="Z85" s="194"/>
      <c r="AA85" s="194"/>
      <c r="AB85" s="200"/>
      <c r="AC85" s="200"/>
      <c r="AD85" s="200"/>
      <c r="AE85" s="200"/>
      <c r="AF85" s="200"/>
      <c r="AG85" s="200"/>
      <c r="AH85" s="200"/>
      <c r="AI85" s="200"/>
      <c r="AJ85" s="200"/>
      <c r="AK85" s="200"/>
      <c r="AL85" s="200"/>
      <c r="AM85" s="200"/>
      <c r="AN85" s="200"/>
      <c r="AO85" s="200"/>
      <c r="AP85" s="200"/>
      <c r="AQ85" s="200"/>
      <c r="AR85" s="449"/>
      <c r="AS85" s="449"/>
      <c r="AT85" s="449"/>
      <c r="AU85" s="449"/>
      <c r="AV85" s="449"/>
      <c r="AW85" s="449"/>
      <c r="AX85" s="449"/>
      <c r="AY85" s="449"/>
      <c r="AZ85" s="449"/>
      <c r="BF85" s="449"/>
      <c r="BG85" s="450"/>
      <c r="BH85" s="450"/>
      <c r="BJ85" s="1240"/>
    </row>
    <row r="86" spans="1:62" ht="6" customHeight="1" outlineLevel="1">
      <c r="A86" s="1241"/>
      <c r="B86" s="165"/>
      <c r="C86" s="165"/>
      <c r="D86" s="165"/>
      <c r="E86" s="167"/>
      <c r="F86" s="167"/>
      <c r="G86" s="167"/>
      <c r="H86" s="167"/>
      <c r="I86" s="167"/>
      <c r="J86" s="167"/>
      <c r="K86" s="167"/>
      <c r="L86" s="167"/>
      <c r="M86" s="167"/>
      <c r="N86" s="167"/>
      <c r="O86" s="197"/>
      <c r="P86" s="198"/>
      <c r="Q86" s="199"/>
      <c r="R86" s="198"/>
      <c r="S86" s="198"/>
      <c r="T86" s="198"/>
      <c r="U86" s="198"/>
      <c r="V86" s="198"/>
      <c r="W86" s="198"/>
      <c r="X86" s="198"/>
      <c r="Y86" s="198"/>
      <c r="Z86" s="198"/>
      <c r="AA86" s="198"/>
      <c r="AB86" s="75"/>
      <c r="AC86" s="75"/>
      <c r="AD86" s="75"/>
      <c r="AE86" s="75"/>
      <c r="AF86" s="75"/>
      <c r="AG86" s="449"/>
      <c r="AH86" s="449"/>
      <c r="AI86" s="449"/>
      <c r="AJ86" s="449"/>
      <c r="AK86" s="449"/>
      <c r="AL86" s="449"/>
      <c r="AM86" s="449"/>
      <c r="AN86" s="449"/>
      <c r="AO86" s="449"/>
      <c r="AP86" s="449"/>
      <c r="AQ86" s="449"/>
      <c r="AR86" s="449"/>
      <c r="AS86" s="449"/>
      <c r="AT86" s="449"/>
      <c r="AU86" s="449"/>
      <c r="AV86" s="449"/>
      <c r="AW86" s="449"/>
      <c r="AX86" s="449"/>
      <c r="AY86" s="449"/>
      <c r="AZ86" s="449"/>
      <c r="BF86" s="449"/>
      <c r="BG86" s="450"/>
      <c r="BH86" s="450"/>
      <c r="BJ86" s="1240"/>
    </row>
    <row r="87" spans="1:62" ht="30" customHeight="1" outlineLevel="1">
      <c r="A87" s="1241"/>
      <c r="B87" s="1922" t="s">
        <v>47</v>
      </c>
      <c r="C87" s="1931"/>
      <c r="D87" s="1931"/>
      <c r="E87" s="1931"/>
      <c r="F87" s="1931"/>
      <c r="G87" s="1931"/>
      <c r="H87" s="1931"/>
      <c r="I87" s="1931"/>
      <c r="J87" s="1931"/>
      <c r="K87" s="1931"/>
      <c r="L87" s="1931"/>
      <c r="M87" s="1931"/>
      <c r="N87" s="1931"/>
      <c r="O87" s="1931"/>
      <c r="P87" s="1931"/>
      <c r="Q87" s="1931"/>
      <c r="R87" s="1931"/>
      <c r="S87" s="1931"/>
      <c r="T87" s="1931"/>
      <c r="U87" s="1931"/>
      <c r="V87" s="1931"/>
      <c r="W87" s="1931"/>
      <c r="X87" s="1931"/>
      <c r="Y87" s="1931"/>
      <c r="Z87" s="1931"/>
      <c r="AA87" s="1931"/>
      <c r="AB87" s="1931"/>
      <c r="AC87" s="1931"/>
      <c r="AD87" s="1931"/>
      <c r="AE87" s="1931"/>
      <c r="AF87" s="1960"/>
      <c r="AG87" s="449"/>
      <c r="AH87" s="449"/>
      <c r="AI87" s="449"/>
      <c r="AJ87" s="449"/>
      <c r="AK87" s="449"/>
      <c r="AL87" s="449"/>
      <c r="AM87" s="449"/>
      <c r="AN87" s="449"/>
      <c r="AO87" s="449"/>
      <c r="AP87" s="449"/>
      <c r="AQ87" s="449"/>
      <c r="AR87" s="449"/>
      <c r="AS87" s="449"/>
      <c r="AT87" s="449"/>
      <c r="AU87" s="449"/>
      <c r="AV87" s="449"/>
      <c r="AW87" s="449"/>
      <c r="AX87" s="449"/>
      <c r="AY87" s="449"/>
      <c r="AZ87" s="449"/>
      <c r="BF87" s="449"/>
      <c r="BG87" s="450"/>
      <c r="BH87" s="450"/>
      <c r="BJ87" s="1240"/>
    </row>
    <row r="88" spans="1:62" ht="12" customHeight="1">
      <c r="A88" s="1241"/>
      <c r="B88" s="165"/>
      <c r="E88" s="1248"/>
      <c r="F88" s="1248"/>
      <c r="G88" s="1248"/>
      <c r="H88" s="1248"/>
      <c r="I88" s="1248"/>
      <c r="J88" s="1248"/>
      <c r="K88" s="1248"/>
      <c r="L88" s="1248"/>
      <c r="M88" s="1248"/>
      <c r="N88" s="1248"/>
      <c r="O88" s="1248"/>
      <c r="P88" s="1248"/>
      <c r="Q88" s="1248"/>
      <c r="R88" s="1248"/>
      <c r="S88" s="1248"/>
      <c r="T88" s="1248"/>
      <c r="U88" s="1248"/>
      <c r="V88" s="1249"/>
      <c r="W88" s="1249"/>
      <c r="X88" s="1249"/>
      <c r="Y88" s="1249"/>
      <c r="Z88" s="1249"/>
      <c r="AB88" s="448"/>
      <c r="AC88" s="448"/>
      <c r="AD88" s="448"/>
      <c r="AE88" s="448"/>
      <c r="AF88" s="448"/>
      <c r="AG88" s="449"/>
      <c r="AH88" s="449"/>
      <c r="AI88" s="449"/>
      <c r="AJ88" s="449"/>
      <c r="AK88" s="449"/>
      <c r="AL88" s="449"/>
      <c r="AM88" s="449"/>
      <c r="AN88" s="449"/>
      <c r="AO88" s="449"/>
      <c r="AP88" s="449"/>
      <c r="AQ88" s="449"/>
      <c r="AR88" s="449"/>
      <c r="AS88" s="449"/>
      <c r="AT88" s="449"/>
      <c r="AU88" s="449"/>
      <c r="AV88" s="449"/>
      <c r="AW88" s="449"/>
      <c r="AX88" s="449"/>
      <c r="AY88" s="449"/>
      <c r="AZ88" s="449"/>
      <c r="BF88" s="449"/>
      <c r="BG88" s="450"/>
      <c r="BH88" s="450"/>
      <c r="BJ88" s="1240"/>
    </row>
    <row r="89" spans="1:62" ht="12" customHeight="1">
      <c r="A89" s="1241"/>
      <c r="B89" s="165"/>
      <c r="E89" s="1248"/>
      <c r="F89" s="1248"/>
      <c r="G89" s="1248"/>
      <c r="H89" s="1248"/>
      <c r="I89" s="1248"/>
      <c r="J89" s="1248"/>
      <c r="K89" s="1248"/>
      <c r="L89" s="1248"/>
      <c r="M89" s="1248"/>
      <c r="N89" s="1248"/>
      <c r="O89" s="1248"/>
      <c r="P89" s="1248"/>
      <c r="Q89" s="1248"/>
      <c r="R89" s="1248"/>
      <c r="S89" s="1248"/>
      <c r="T89" s="1248"/>
      <c r="U89" s="1248"/>
      <c r="V89" s="1249"/>
      <c r="W89" s="1249"/>
      <c r="X89" s="1249"/>
      <c r="Y89" s="1249"/>
      <c r="Z89" s="1249"/>
      <c r="AB89" s="448"/>
      <c r="AC89" s="448"/>
      <c r="AD89" s="448"/>
      <c r="AE89" s="448"/>
      <c r="AF89" s="448"/>
      <c r="AG89" s="449"/>
      <c r="AH89" s="449"/>
      <c r="AI89" s="449"/>
      <c r="AJ89" s="449"/>
      <c r="AK89" s="449"/>
      <c r="AL89" s="449"/>
      <c r="AM89" s="449"/>
      <c r="AN89" s="449"/>
      <c r="AO89" s="449"/>
      <c r="AP89" s="449"/>
      <c r="AQ89" s="449"/>
      <c r="AR89" s="449"/>
      <c r="AS89" s="449"/>
      <c r="AT89" s="449"/>
      <c r="AU89" s="449"/>
      <c r="AV89" s="449"/>
      <c r="AW89" s="449"/>
      <c r="AX89" s="449"/>
      <c r="AY89" s="449"/>
      <c r="AZ89" s="449"/>
      <c r="BF89" s="449"/>
      <c r="BG89" s="450"/>
      <c r="BH89" s="450"/>
      <c r="BJ89" s="1240"/>
    </row>
    <row r="90" spans="1:62" ht="12" customHeight="1">
      <c r="A90" s="1241"/>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449"/>
      <c r="AH90" s="449"/>
      <c r="AI90" s="449"/>
      <c r="AJ90" s="449"/>
      <c r="AK90" s="449"/>
      <c r="AL90" s="449"/>
      <c r="AM90" s="449"/>
      <c r="AN90" s="449"/>
      <c r="AO90" s="449"/>
      <c r="AP90" s="449"/>
      <c r="AQ90" s="449"/>
      <c r="AR90" s="449"/>
      <c r="AS90" s="449"/>
      <c r="AT90" s="449"/>
      <c r="AU90" s="449"/>
      <c r="AV90" s="449"/>
      <c r="AW90" s="449"/>
      <c r="AX90" s="449"/>
      <c r="AY90" s="449"/>
      <c r="AZ90" s="449"/>
      <c r="BF90" s="449"/>
      <c r="BG90" s="450"/>
      <c r="BH90" s="450"/>
      <c r="BJ90" s="1240"/>
    </row>
    <row r="91" spans="1:62" ht="12" customHeight="1">
      <c r="A91" s="1241"/>
      <c r="B91" s="562"/>
      <c r="C91" s="562"/>
      <c r="D91" s="562"/>
      <c r="E91" s="562"/>
      <c r="F91" s="562"/>
      <c r="G91" s="562"/>
      <c r="H91" s="562"/>
      <c r="I91" s="562"/>
      <c r="J91" s="562"/>
      <c r="K91" s="562"/>
      <c r="L91" s="562"/>
      <c r="M91" s="562"/>
      <c r="N91" s="562"/>
      <c r="O91" s="561"/>
      <c r="P91" s="194"/>
      <c r="Q91" s="194"/>
      <c r="R91" s="194"/>
      <c r="S91" s="194"/>
      <c r="T91" s="194"/>
      <c r="U91" s="194"/>
      <c r="V91" s="194"/>
      <c r="W91" s="194"/>
      <c r="X91" s="194"/>
      <c r="Y91" s="194"/>
      <c r="Z91" s="194"/>
      <c r="AA91" s="194"/>
      <c r="AB91" s="195"/>
      <c r="AC91" s="195"/>
      <c r="AD91" s="195"/>
      <c r="AE91" s="196"/>
      <c r="AF91" s="196"/>
      <c r="AG91" s="449"/>
      <c r="AH91" s="449"/>
      <c r="AI91" s="449"/>
      <c r="AJ91" s="449"/>
      <c r="AK91" s="449"/>
      <c r="AL91" s="449"/>
      <c r="AM91" s="449"/>
      <c r="AN91" s="449"/>
      <c r="AO91" s="449"/>
      <c r="AP91" s="449"/>
      <c r="AQ91" s="449"/>
      <c r="AR91" s="449"/>
      <c r="AS91" s="449"/>
      <c r="AT91" s="449"/>
      <c r="AU91" s="449"/>
      <c r="AV91" s="449"/>
      <c r="AW91" s="449"/>
      <c r="AX91" s="449"/>
      <c r="AY91" s="449"/>
      <c r="AZ91" s="449"/>
      <c r="BF91" s="449"/>
      <c r="BG91" s="450"/>
      <c r="BH91" s="450"/>
      <c r="BJ91" s="1240"/>
    </row>
    <row r="92" spans="1:62" ht="12" customHeight="1">
      <c r="A92" s="1241"/>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8"/>
      <c r="Z92" s="211">
        <v>2003</v>
      </c>
      <c r="AA92" s="198"/>
      <c r="AB92" s="211">
        <v>2005</v>
      </c>
      <c r="AC92" s="319"/>
      <c r="AD92" s="211">
        <v>2007</v>
      </c>
      <c r="AE92" s="319"/>
      <c r="AF92" s="211">
        <v>2009</v>
      </c>
      <c r="AG92" s="259">
        <v>2010</v>
      </c>
      <c r="AH92" s="259">
        <v>2011</v>
      </c>
      <c r="AI92" s="259">
        <v>2012</v>
      </c>
      <c r="AJ92" s="259">
        <v>2013</v>
      </c>
      <c r="AK92" s="259">
        <v>2014</v>
      </c>
      <c r="AL92" s="259">
        <v>2015</v>
      </c>
      <c r="AM92" s="259">
        <v>2016</v>
      </c>
      <c r="AN92" s="259">
        <v>2017</v>
      </c>
      <c r="AO92" s="259">
        <v>2018</v>
      </c>
      <c r="AP92" s="259">
        <v>2019</v>
      </c>
      <c r="AQ92" s="259" t="s">
        <v>1789</v>
      </c>
      <c r="AR92" s="449"/>
      <c r="AS92" s="449"/>
      <c r="AT92" s="449"/>
      <c r="AU92" s="449"/>
      <c r="AV92" s="449"/>
      <c r="AW92" s="449"/>
      <c r="AX92" s="449"/>
      <c r="AY92" s="449"/>
      <c r="AZ92" s="449"/>
      <c r="BF92" s="449"/>
      <c r="BG92" s="450"/>
      <c r="BH92" s="450"/>
      <c r="BJ92" s="1240"/>
    </row>
    <row r="93" spans="1:62" ht="12" customHeight="1">
      <c r="A93" s="1241"/>
      <c r="B93" s="165"/>
      <c r="C93" s="165"/>
      <c r="D93" s="165"/>
      <c r="E93" s="165"/>
      <c r="F93" s="165"/>
      <c r="G93" s="165"/>
      <c r="H93" s="165"/>
      <c r="I93" s="165"/>
      <c r="J93" s="165"/>
      <c r="K93" s="165"/>
      <c r="L93" s="165"/>
      <c r="M93" s="165"/>
      <c r="N93" s="165"/>
      <c r="O93" s="165"/>
      <c r="P93" s="165"/>
      <c r="Q93" s="165"/>
      <c r="R93" s="261"/>
      <c r="S93" s="261"/>
      <c r="T93" s="261"/>
      <c r="U93" s="261"/>
      <c r="V93" s="261"/>
      <c r="W93" s="261"/>
      <c r="X93" s="244"/>
      <c r="Y93" s="261"/>
      <c r="Z93" s="244"/>
      <c r="AA93" s="261"/>
      <c r="AB93" s="244"/>
      <c r="AC93" s="319"/>
      <c r="AD93" s="244"/>
      <c r="AE93" s="319"/>
      <c r="AF93" s="244"/>
      <c r="AG93" s="449"/>
      <c r="AH93" s="449"/>
      <c r="AI93" s="449"/>
      <c r="AJ93" s="449"/>
      <c r="AK93" s="449"/>
      <c r="AL93" s="449"/>
      <c r="AM93" s="449"/>
      <c r="AN93" s="449"/>
      <c r="AO93" s="449"/>
      <c r="AP93" s="449"/>
      <c r="AQ93" s="449"/>
      <c r="AR93" s="449"/>
      <c r="AS93" s="449"/>
      <c r="AT93" s="449"/>
      <c r="AU93" s="449"/>
      <c r="AV93" s="449"/>
      <c r="AW93" s="449"/>
      <c r="AX93" s="449"/>
      <c r="AY93" s="449"/>
      <c r="AZ93" s="449"/>
      <c r="BF93" s="449"/>
      <c r="BG93" s="450"/>
      <c r="BH93" s="450"/>
      <c r="BJ93" s="1240"/>
    </row>
    <row r="94" spans="1:62" ht="12" customHeight="1">
      <c r="A94" s="1241"/>
      <c r="B94" s="206" t="s">
        <v>1911</v>
      </c>
      <c r="E94" s="1248"/>
      <c r="F94" s="1248"/>
      <c r="G94" s="1248"/>
      <c r="H94" s="1248"/>
      <c r="I94" s="1248"/>
      <c r="J94" s="1248"/>
      <c r="K94" s="1248"/>
      <c r="L94" s="1248"/>
      <c r="M94" s="1248"/>
      <c r="N94" s="1248"/>
      <c r="O94" s="1248"/>
      <c r="P94" s="1248"/>
      <c r="Q94" s="1248"/>
      <c r="R94" s="1248"/>
      <c r="S94" s="1248"/>
      <c r="T94" s="1248"/>
      <c r="U94" s="1248"/>
      <c r="V94" s="1249"/>
      <c r="W94" s="1249"/>
      <c r="X94" s="1267">
        <v>0</v>
      </c>
      <c r="Y94" s="1249"/>
      <c r="Z94" s="1267">
        <f>SUM(Z99:Z106)</f>
        <v>643.90000000000009</v>
      </c>
      <c r="AB94" s="1267">
        <f>SUM(AB99:AB106)</f>
        <v>893.40000000000009</v>
      </c>
      <c r="AD94" s="1267">
        <f>SUM(AD99:AD106)</f>
        <v>2728.1</v>
      </c>
      <c r="AF94" s="1267">
        <f>SUM(AF99:AF106)</f>
        <v>2848.3</v>
      </c>
      <c r="AG94" s="1267">
        <f t="shared" ref="AG94:AK94" si="19">SUM(AG99:AG106)</f>
        <v>1688.8</v>
      </c>
      <c r="AH94" s="1267">
        <f t="shared" si="19"/>
        <v>1666.5</v>
      </c>
      <c r="AI94" s="1267">
        <f t="shared" si="19"/>
        <v>1694.2</v>
      </c>
      <c r="AJ94" s="1267">
        <f t="shared" si="19"/>
        <v>1683.3</v>
      </c>
      <c r="AK94" s="1267">
        <f t="shared" si="19"/>
        <v>1682.1999999999998</v>
      </c>
      <c r="AL94" s="1267">
        <f>SUM(AL99:AL106)</f>
        <v>2618.9999999999995</v>
      </c>
      <c r="AM94" s="1267">
        <f>SUM(AM99:AM106)</f>
        <v>2820.6</v>
      </c>
      <c r="AN94" s="1267">
        <f t="shared" ref="AN94:AQ94" si="20">SUM(AN99:AN106)</f>
        <v>2976.4000000000005</v>
      </c>
      <c r="AO94" s="1267">
        <f t="shared" si="20"/>
        <v>4315.8807657241596</v>
      </c>
      <c r="AP94" s="1267">
        <f t="shared" si="20"/>
        <v>4832.9843507697269</v>
      </c>
      <c r="AQ94" s="1267">
        <f t="shared" si="20"/>
        <v>4925.1957041052383</v>
      </c>
      <c r="AR94" s="449"/>
      <c r="AS94" s="449"/>
      <c r="AT94" s="449"/>
      <c r="AU94" s="449"/>
      <c r="AV94" s="449"/>
      <c r="AW94" s="449"/>
      <c r="AX94" s="449"/>
      <c r="AY94" s="449"/>
      <c r="AZ94" s="449"/>
      <c r="BF94" s="449"/>
      <c r="BG94" s="450"/>
      <c r="BH94" s="450"/>
      <c r="BJ94" s="1240"/>
    </row>
    <row r="95" spans="1:62" ht="12" customHeight="1">
      <c r="A95" s="1241"/>
      <c r="B95" s="206"/>
      <c r="E95" s="1248"/>
      <c r="F95" s="1248"/>
      <c r="G95" s="1248"/>
      <c r="H95" s="1248"/>
      <c r="I95" s="1248"/>
      <c r="J95" s="1248"/>
      <c r="K95" s="1248"/>
      <c r="L95" s="1248"/>
      <c r="M95" s="1248"/>
      <c r="N95" s="1248"/>
      <c r="O95" s="1248"/>
      <c r="P95" s="1248"/>
      <c r="Q95" s="1248"/>
      <c r="R95" s="1248"/>
      <c r="S95" s="1248"/>
      <c r="T95" s="1248"/>
      <c r="U95" s="1248"/>
      <c r="V95" s="1249"/>
      <c r="W95" s="1249"/>
      <c r="X95" s="1255"/>
      <c r="Y95" s="1249"/>
      <c r="Z95" s="1255"/>
      <c r="AB95" s="1255"/>
      <c r="AD95" s="1255"/>
      <c r="AF95" s="1255"/>
      <c r="AG95" s="1268"/>
      <c r="AH95" s="1268"/>
      <c r="AI95" s="1268"/>
      <c r="AJ95" s="1268"/>
      <c r="AK95" s="1268"/>
      <c r="AL95" s="1268"/>
      <c r="AM95" s="449"/>
      <c r="AN95" s="1268"/>
      <c r="AO95" s="1268"/>
      <c r="AP95" s="1268"/>
      <c r="AQ95" s="1268"/>
      <c r="AR95" s="449"/>
      <c r="AS95" s="449"/>
      <c r="AT95" s="449"/>
      <c r="AU95" s="449"/>
      <c r="AV95" s="449"/>
      <c r="AW95" s="449"/>
      <c r="AX95" s="449"/>
      <c r="AY95" s="449"/>
      <c r="AZ95" s="449"/>
      <c r="BF95" s="449"/>
      <c r="BG95" s="450"/>
      <c r="BH95" s="450"/>
      <c r="BJ95" s="1240"/>
    </row>
    <row r="96" spans="1:62" ht="12" customHeight="1">
      <c r="A96" s="1241"/>
      <c r="X96" s="1254"/>
      <c r="Z96" s="1254"/>
      <c r="AB96" s="1254"/>
      <c r="AC96" s="319"/>
      <c r="AD96" s="1254"/>
      <c r="AE96" s="319"/>
      <c r="AF96" s="1254"/>
      <c r="AG96" s="1268"/>
      <c r="AH96" s="1268"/>
      <c r="AI96" s="1268"/>
      <c r="AJ96" s="1268"/>
      <c r="AK96" s="1268"/>
      <c r="AL96" s="1268"/>
      <c r="AM96" s="449"/>
      <c r="AN96" s="1268"/>
      <c r="AO96" s="1268"/>
      <c r="AP96" s="1268"/>
      <c r="AQ96" s="1268"/>
      <c r="AR96" s="449"/>
      <c r="AS96" s="449"/>
      <c r="AT96" s="449"/>
      <c r="AU96" s="449"/>
      <c r="AV96" s="449"/>
      <c r="AW96" s="449"/>
      <c r="AX96" s="449"/>
      <c r="AY96" s="449"/>
      <c r="AZ96" s="449"/>
      <c r="BF96" s="449"/>
      <c r="BG96" s="450"/>
      <c r="BH96" s="450"/>
      <c r="BJ96" s="1240"/>
    </row>
    <row r="97" spans="1:69" ht="12" customHeight="1">
      <c r="A97" s="1241"/>
      <c r="X97" s="1254"/>
      <c r="Z97" s="1254"/>
      <c r="AB97" s="1254"/>
      <c r="AC97" s="319"/>
      <c r="AD97" s="1254"/>
      <c r="AE97" s="319"/>
      <c r="AF97" s="1254"/>
      <c r="AG97" s="1268"/>
      <c r="AH97" s="1268"/>
      <c r="AI97" s="1268"/>
      <c r="AJ97" s="1268"/>
      <c r="AK97" s="1268"/>
      <c r="AL97" s="1268"/>
      <c r="AM97" s="449"/>
      <c r="AN97" s="1268"/>
      <c r="AO97" s="1268"/>
      <c r="AP97" s="1268"/>
      <c r="AQ97" s="1268"/>
      <c r="AR97" s="449"/>
      <c r="AS97" s="449"/>
      <c r="AT97" s="449"/>
      <c r="AU97" s="449"/>
      <c r="AV97" s="449"/>
      <c r="AW97" s="449"/>
      <c r="AX97" s="449"/>
      <c r="AY97" s="449"/>
      <c r="AZ97" s="449"/>
      <c r="BF97" s="449"/>
      <c r="BG97" s="450"/>
      <c r="BH97" s="450"/>
      <c r="BJ97" s="1240"/>
    </row>
    <row r="98" spans="1:69" ht="12" customHeight="1">
      <c r="A98" s="1241"/>
      <c r="C98" s="1269" t="s">
        <v>50</v>
      </c>
      <c r="X98" s="1254"/>
      <c r="Z98" s="1254"/>
      <c r="AB98" s="1254"/>
      <c r="AC98" s="319"/>
      <c r="AD98" s="1254"/>
      <c r="AE98" s="319"/>
      <c r="AF98" s="1254"/>
      <c r="AG98" s="1268"/>
      <c r="AH98" s="1268"/>
      <c r="AI98" s="1268"/>
      <c r="AJ98" s="1268"/>
      <c r="AK98" s="1268"/>
      <c r="AL98" s="1268"/>
      <c r="AM98" s="449"/>
      <c r="AN98" s="1268"/>
      <c r="AO98" s="1268"/>
      <c r="AP98" s="1268"/>
      <c r="AQ98" s="1268"/>
      <c r="AR98" s="449"/>
      <c r="AS98" s="449"/>
      <c r="AT98" s="449"/>
      <c r="AU98" s="449"/>
      <c r="AV98" s="449"/>
      <c r="AW98" s="449"/>
      <c r="AX98" s="449"/>
      <c r="AY98" s="449"/>
      <c r="AZ98" s="449"/>
      <c r="BF98" s="449"/>
      <c r="BG98" s="450"/>
      <c r="BH98" s="450"/>
      <c r="BJ98" s="1240"/>
    </row>
    <row r="99" spans="1:69" ht="12" customHeight="1">
      <c r="A99" s="1241"/>
      <c r="C99" s="623" t="s">
        <v>1912</v>
      </c>
      <c r="E99" s="1248"/>
      <c r="F99" s="1248"/>
      <c r="G99" s="1248"/>
      <c r="H99" s="1248"/>
      <c r="I99" s="1248"/>
      <c r="J99" s="1248"/>
      <c r="K99" s="1248"/>
      <c r="L99" s="1248"/>
      <c r="M99" s="1248"/>
      <c r="N99" s="1248"/>
      <c r="O99" s="1248"/>
      <c r="P99" s="1248"/>
      <c r="Q99" s="1248"/>
      <c r="R99" s="1248"/>
      <c r="S99" s="1248"/>
      <c r="T99" s="1248"/>
      <c r="U99" s="1248"/>
      <c r="V99" s="1249"/>
      <c r="W99" s="1249"/>
      <c r="X99" s="1255" t="s">
        <v>269</v>
      </c>
      <c r="Y99" s="1249"/>
      <c r="Z99" s="1255">
        <v>60.7</v>
      </c>
      <c r="AB99" s="1255">
        <v>154.1</v>
      </c>
      <c r="AC99" s="319"/>
      <c r="AD99" s="1255">
        <v>197.60000000000002</v>
      </c>
      <c r="AE99" s="319"/>
      <c r="AF99" s="1255">
        <v>252.60000000000002</v>
      </c>
      <c r="AG99" s="1255">
        <v>204.3</v>
      </c>
      <c r="AH99" s="1255">
        <v>209.89999999999998</v>
      </c>
      <c r="AI99" s="1255">
        <v>271.2</v>
      </c>
      <c r="AJ99" s="1255">
        <v>291.90000000000003</v>
      </c>
      <c r="AK99" s="1255">
        <v>318.7</v>
      </c>
      <c r="AL99" s="1255">
        <f>323.7+3.7+152.7+10.9+8.6+7.8+1.4+2.2</f>
        <v>510.99999999999994</v>
      </c>
      <c r="AM99" s="1255">
        <v>550.49999999999989</v>
      </c>
      <c r="AN99" s="1255">
        <v>559.60000000000014</v>
      </c>
      <c r="AO99" s="1255">
        <v>613.70000000000005</v>
      </c>
      <c r="AP99" s="1255">
        <v>603.19999999999993</v>
      </c>
      <c r="AQ99" s="1255">
        <v>598.70000000000005</v>
      </c>
      <c r="AR99" s="449"/>
      <c r="AS99" s="449"/>
      <c r="AT99" s="449"/>
      <c r="AU99" s="449"/>
      <c r="AV99" s="449"/>
      <c r="AW99" s="449"/>
      <c r="AX99" s="449"/>
      <c r="AY99" s="449"/>
      <c r="AZ99" s="449"/>
      <c r="BF99" s="449"/>
      <c r="BG99" s="450"/>
      <c r="BH99" s="450"/>
      <c r="BJ99" s="1240"/>
    </row>
    <row r="100" spans="1:69" ht="12" customHeight="1">
      <c r="A100" s="1241"/>
      <c r="C100" s="623" t="s">
        <v>496</v>
      </c>
      <c r="E100" s="1248"/>
      <c r="F100" s="1248"/>
      <c r="G100" s="1248"/>
      <c r="H100" s="1248"/>
      <c r="I100" s="1248"/>
      <c r="J100" s="1248"/>
      <c r="K100" s="1248"/>
      <c r="L100" s="1248"/>
      <c r="M100" s="1248"/>
      <c r="N100" s="1248"/>
      <c r="O100" s="1248"/>
      <c r="P100" s="1248"/>
      <c r="Q100" s="1248"/>
      <c r="R100" s="1248"/>
      <c r="S100" s="1248"/>
      <c r="T100" s="1248"/>
      <c r="U100" s="1248"/>
      <c r="V100" s="1249"/>
      <c r="W100" s="1249"/>
      <c r="X100" s="1255" t="s">
        <v>269</v>
      </c>
      <c r="Y100" s="1249"/>
      <c r="Z100" s="1255">
        <v>583.20000000000005</v>
      </c>
      <c r="AB100" s="1255">
        <v>739.30000000000007</v>
      </c>
      <c r="AC100" s="319"/>
      <c r="AD100" s="1255">
        <v>2045.6</v>
      </c>
      <c r="AE100" s="319"/>
      <c r="AF100" s="1255">
        <v>2086.4</v>
      </c>
      <c r="AG100" s="1255">
        <v>913.1</v>
      </c>
      <c r="AH100" s="1255">
        <v>876.7</v>
      </c>
      <c r="AI100" s="1255">
        <v>841</v>
      </c>
      <c r="AJ100" s="1255">
        <v>828.5</v>
      </c>
      <c r="AK100" s="1255">
        <v>792.5</v>
      </c>
      <c r="AL100" s="1255">
        <v>781.1</v>
      </c>
      <c r="AM100" s="1255">
        <v>791.6</v>
      </c>
      <c r="AN100" s="1255">
        <v>787.3</v>
      </c>
      <c r="AO100" s="1255">
        <v>1095.0999999999999</v>
      </c>
      <c r="AP100" s="1255">
        <v>1072.4000000000001</v>
      </c>
      <c r="AQ100" s="1255">
        <v>1062.4000000000001</v>
      </c>
      <c r="AR100" s="449"/>
      <c r="AS100" s="449"/>
      <c r="AT100" s="449"/>
      <c r="AU100" s="449"/>
      <c r="AV100" s="449"/>
      <c r="AW100" s="449"/>
      <c r="AX100" s="449"/>
      <c r="AY100" s="449"/>
      <c r="AZ100" s="449"/>
      <c r="BF100" s="449"/>
      <c r="BG100" s="450"/>
      <c r="BH100" s="450"/>
      <c r="BJ100" s="1240"/>
    </row>
    <row r="101" spans="1:69" ht="12" customHeight="1">
      <c r="A101" s="1241"/>
      <c r="C101" s="623" t="s">
        <v>497</v>
      </c>
      <c r="E101" s="1248"/>
      <c r="F101" s="1248"/>
      <c r="G101" s="1248"/>
      <c r="H101" s="1248"/>
      <c r="I101" s="1248"/>
      <c r="J101" s="1248"/>
      <c r="K101" s="1248"/>
      <c r="L101" s="1248"/>
      <c r="M101" s="1248"/>
      <c r="N101" s="1248"/>
      <c r="O101" s="1248"/>
      <c r="P101" s="1248"/>
      <c r="Q101" s="1248"/>
      <c r="R101" s="1248"/>
      <c r="S101" s="1248"/>
      <c r="T101" s="1248"/>
      <c r="U101" s="1248"/>
      <c r="V101" s="1249"/>
      <c r="W101" s="1249"/>
      <c r="X101" s="1255">
        <v>0</v>
      </c>
      <c r="Y101" s="1249"/>
      <c r="Z101" s="1255">
        <v>0</v>
      </c>
      <c r="AB101" s="1255">
        <v>0</v>
      </c>
      <c r="AC101" s="319"/>
      <c r="AD101" s="1255">
        <v>0</v>
      </c>
      <c r="AE101" s="319"/>
      <c r="AF101" s="1255">
        <v>0</v>
      </c>
      <c r="AG101" s="1255">
        <v>0</v>
      </c>
      <c r="AH101" s="1255">
        <v>0</v>
      </c>
      <c r="AI101" s="1255">
        <v>0</v>
      </c>
      <c r="AJ101" s="1255">
        <v>0</v>
      </c>
      <c r="AK101" s="1255">
        <v>0</v>
      </c>
      <c r="AL101" s="1255">
        <v>828.8</v>
      </c>
      <c r="AM101" s="1255">
        <v>990</v>
      </c>
      <c r="AN101" s="1255">
        <v>1065.2</v>
      </c>
      <c r="AO101" s="1255">
        <v>1479.4</v>
      </c>
      <c r="AP101" s="1255">
        <v>1977.3</v>
      </c>
      <c r="AQ101" s="1255">
        <v>1994.8</v>
      </c>
      <c r="AR101" s="449"/>
      <c r="AS101" s="449"/>
      <c r="AT101" s="449"/>
      <c r="AU101" s="449"/>
      <c r="AV101" s="449"/>
      <c r="AW101" s="449"/>
      <c r="AX101" s="449"/>
      <c r="AY101" s="449"/>
      <c r="AZ101" s="449"/>
      <c r="BF101" s="449"/>
      <c r="BG101" s="450"/>
      <c r="BH101" s="450"/>
      <c r="BJ101" s="1240"/>
    </row>
    <row r="102" spans="1:69" ht="12" customHeight="1">
      <c r="A102" s="1241"/>
      <c r="B102" s="1239"/>
      <c r="C102" s="319" t="s">
        <v>498</v>
      </c>
      <c r="E102" s="1248"/>
      <c r="F102" s="1248"/>
      <c r="G102" s="1248"/>
      <c r="H102" s="1248"/>
      <c r="I102" s="1248"/>
      <c r="J102" s="1248"/>
      <c r="K102" s="1248"/>
      <c r="L102" s="1248"/>
      <c r="M102" s="1248"/>
      <c r="N102" s="1248"/>
      <c r="O102" s="1248"/>
      <c r="P102" s="1248"/>
      <c r="Q102" s="1248"/>
      <c r="R102" s="1248"/>
      <c r="S102" s="1248"/>
      <c r="T102" s="1248"/>
      <c r="U102" s="1248"/>
      <c r="V102" s="1249"/>
      <c r="W102" s="1249"/>
      <c r="X102" s="1255" t="s">
        <v>269</v>
      </c>
      <c r="Y102" s="1249"/>
      <c r="Z102" s="1255" t="s">
        <v>269</v>
      </c>
      <c r="AB102" s="1255" t="s">
        <v>269</v>
      </c>
      <c r="AC102" s="319"/>
      <c r="AD102" s="1255">
        <v>240</v>
      </c>
      <c r="AE102" s="319"/>
      <c r="AF102" s="1255">
        <v>231.8</v>
      </c>
      <c r="AG102" s="1255">
        <v>250.1</v>
      </c>
      <c r="AH102" s="1255">
        <v>248.9</v>
      </c>
      <c r="AI102" s="1255">
        <v>250.2</v>
      </c>
      <c r="AJ102" s="1255">
        <v>246.6</v>
      </c>
      <c r="AK102" s="1255">
        <v>244.1</v>
      </c>
      <c r="AL102" s="1255">
        <v>199.1</v>
      </c>
      <c r="AM102" s="1255">
        <v>181.3</v>
      </c>
      <c r="AN102" s="1255">
        <v>213.9</v>
      </c>
      <c r="AO102" s="1255">
        <v>235.68076572415961</v>
      </c>
      <c r="AP102" s="1255">
        <v>228.98435076972797</v>
      </c>
      <c r="AQ102" s="1255">
        <v>208.79570410523846</v>
      </c>
      <c r="AR102" s="449"/>
      <c r="AS102" s="449"/>
      <c r="AT102" s="449"/>
      <c r="AU102" s="449"/>
      <c r="AV102" s="449"/>
      <c r="AW102" s="449"/>
      <c r="AX102" s="449"/>
      <c r="AY102" s="449"/>
      <c r="AZ102" s="449"/>
      <c r="BF102" s="449"/>
      <c r="BG102" s="450"/>
      <c r="BH102" s="450"/>
      <c r="BJ102" s="1240"/>
    </row>
    <row r="103" spans="1:69" ht="12" customHeight="1">
      <c r="A103" s="1241"/>
      <c r="B103" s="1239"/>
      <c r="C103" s="319" t="s">
        <v>1620</v>
      </c>
      <c r="E103" s="1248"/>
      <c r="F103" s="1248"/>
      <c r="G103" s="1248"/>
      <c r="H103" s="1248"/>
      <c r="I103" s="1248"/>
      <c r="J103" s="1248"/>
      <c r="K103" s="1248"/>
      <c r="L103" s="1248"/>
      <c r="M103" s="1248"/>
      <c r="N103" s="1248"/>
      <c r="O103" s="1248"/>
      <c r="P103" s="1248"/>
      <c r="Q103" s="1248"/>
      <c r="R103" s="1248"/>
      <c r="S103" s="1248"/>
      <c r="T103" s="1248"/>
      <c r="U103" s="1248"/>
      <c r="V103" s="1249"/>
      <c r="W103" s="1249"/>
      <c r="X103" s="1255" t="s">
        <v>269</v>
      </c>
      <c r="Y103" s="1249"/>
      <c r="Z103" s="1255" t="s">
        <v>269</v>
      </c>
      <c r="AB103" s="1255" t="s">
        <v>269</v>
      </c>
      <c r="AC103" s="319"/>
      <c r="AD103" s="1255" t="s">
        <v>269</v>
      </c>
      <c r="AE103" s="319"/>
      <c r="AF103" s="1255" t="s">
        <v>269</v>
      </c>
      <c r="AG103" s="1255" t="s">
        <v>269</v>
      </c>
      <c r="AH103" s="1255" t="s">
        <v>269</v>
      </c>
      <c r="AI103" s="1255" t="s">
        <v>269</v>
      </c>
      <c r="AJ103" s="1255" t="s">
        <v>269</v>
      </c>
      <c r="AK103" s="1255" t="s">
        <v>269</v>
      </c>
      <c r="AL103" s="1255" t="s">
        <v>269</v>
      </c>
      <c r="AM103" s="1255" t="s">
        <v>269</v>
      </c>
      <c r="AN103" s="1255" t="s">
        <v>269</v>
      </c>
      <c r="AO103" s="1255">
        <v>550.6</v>
      </c>
      <c r="AP103" s="1255">
        <v>594.4</v>
      </c>
      <c r="AQ103" s="1255">
        <v>706.3</v>
      </c>
      <c r="AR103" s="449"/>
      <c r="AS103" s="449"/>
      <c r="AT103" s="449"/>
      <c r="AU103" s="449"/>
      <c r="AV103" s="449"/>
      <c r="AW103" s="449"/>
      <c r="AX103" s="449"/>
      <c r="AY103" s="449"/>
      <c r="AZ103" s="449"/>
      <c r="BF103" s="449"/>
      <c r="BG103" s="450"/>
      <c r="BH103" s="450"/>
      <c r="BJ103" s="1240"/>
    </row>
    <row r="104" spans="1:69" ht="12" customHeight="1">
      <c r="A104" s="1241"/>
      <c r="B104" s="1239"/>
      <c r="E104" s="1248"/>
      <c r="F104" s="1248"/>
      <c r="G104" s="1248"/>
      <c r="H104" s="1248"/>
      <c r="I104" s="1248"/>
      <c r="J104" s="1248"/>
      <c r="K104" s="1248"/>
      <c r="L104" s="1248"/>
      <c r="M104" s="1248"/>
      <c r="N104" s="1248"/>
      <c r="O104" s="1248"/>
      <c r="P104" s="1248"/>
      <c r="Q104" s="1248"/>
      <c r="R104" s="1248"/>
      <c r="S104" s="1248"/>
      <c r="T104" s="1248"/>
      <c r="U104" s="1248"/>
      <c r="V104" s="1249"/>
      <c r="W104" s="1249"/>
      <c r="X104" s="1255"/>
      <c r="Y104" s="1249"/>
      <c r="Z104" s="1255"/>
      <c r="AB104" s="1255"/>
      <c r="AC104" s="319"/>
      <c r="AD104" s="1255"/>
      <c r="AE104" s="319"/>
      <c r="AF104" s="1255"/>
      <c r="AG104" s="1268"/>
      <c r="AH104" s="1268"/>
      <c r="AI104" s="1268"/>
      <c r="AJ104" s="1268"/>
      <c r="AK104" s="1268"/>
      <c r="AL104" s="1268"/>
      <c r="AM104" s="449"/>
      <c r="AN104" s="1268"/>
      <c r="AO104" s="1268"/>
      <c r="AP104" s="1268"/>
      <c r="AQ104" s="1268"/>
      <c r="AR104" s="449"/>
      <c r="AS104" s="449"/>
      <c r="AT104" s="449"/>
      <c r="AU104" s="449"/>
      <c r="AV104" s="449"/>
      <c r="AW104" s="449"/>
      <c r="AX104" s="449"/>
      <c r="AY104" s="449"/>
      <c r="AZ104" s="449"/>
      <c r="BF104" s="449"/>
      <c r="BG104" s="450"/>
      <c r="BH104" s="450"/>
      <c r="BJ104" s="1240"/>
    </row>
    <row r="105" spans="1:69" ht="12" customHeight="1">
      <c r="A105" s="1241"/>
      <c r="B105" s="1239"/>
      <c r="C105" s="1269" t="s">
        <v>56</v>
      </c>
      <c r="E105" s="1248"/>
      <c r="F105" s="1248"/>
      <c r="G105" s="1248"/>
      <c r="H105" s="1248"/>
      <c r="I105" s="1248"/>
      <c r="J105" s="1248"/>
      <c r="K105" s="1248"/>
      <c r="L105" s="1248"/>
      <c r="M105" s="1248"/>
      <c r="N105" s="1248"/>
      <c r="O105" s="1248"/>
      <c r="P105" s="1248"/>
      <c r="Q105" s="1248"/>
      <c r="R105" s="1248"/>
      <c r="S105" s="1248"/>
      <c r="T105" s="1248"/>
      <c r="U105" s="1248"/>
      <c r="V105" s="1249"/>
      <c r="W105" s="1249"/>
      <c r="X105" s="1255"/>
      <c r="Y105" s="1249"/>
      <c r="Z105" s="1255"/>
      <c r="AB105" s="1255"/>
      <c r="AC105" s="319"/>
      <c r="AD105" s="1255"/>
      <c r="AE105" s="319"/>
      <c r="AF105" s="1255"/>
      <c r="AG105" s="1268"/>
      <c r="AH105" s="1268"/>
      <c r="AI105" s="1268"/>
      <c r="AJ105" s="1268"/>
      <c r="AK105" s="1268"/>
      <c r="AL105" s="1268"/>
      <c r="AM105" s="449"/>
      <c r="AN105" s="1268"/>
      <c r="AO105" s="1268"/>
      <c r="AP105" s="1268"/>
      <c r="AQ105" s="1268"/>
      <c r="AR105" s="449"/>
      <c r="AS105" s="449"/>
      <c r="AT105" s="449"/>
      <c r="AU105" s="449"/>
      <c r="AV105" s="449"/>
      <c r="AW105" s="449"/>
      <c r="AX105" s="449"/>
      <c r="AY105" s="449"/>
      <c r="AZ105" s="449"/>
      <c r="BF105" s="449"/>
      <c r="BG105" s="450"/>
      <c r="BH105" s="450"/>
      <c r="BJ105" s="1240"/>
    </row>
    <row r="106" spans="1:69" ht="12" customHeight="1">
      <c r="A106" s="1241"/>
      <c r="B106" s="1239"/>
      <c r="C106" s="319" t="s">
        <v>1621</v>
      </c>
      <c r="E106" s="1248"/>
      <c r="F106" s="1248"/>
      <c r="G106" s="1248"/>
      <c r="H106" s="1248"/>
      <c r="I106" s="1248"/>
      <c r="J106" s="1248"/>
      <c r="K106" s="1248"/>
      <c r="L106" s="1248"/>
      <c r="M106" s="1248"/>
      <c r="N106" s="1248"/>
      <c r="O106" s="1248"/>
      <c r="P106" s="1248"/>
      <c r="Q106" s="1248"/>
      <c r="R106" s="1248"/>
      <c r="S106" s="1248"/>
      <c r="T106" s="1248"/>
      <c r="U106" s="1248"/>
      <c r="V106" s="1249"/>
      <c r="W106" s="1249"/>
      <c r="X106" s="1255" t="s">
        <v>269</v>
      </c>
      <c r="Y106" s="1249"/>
      <c r="Z106" s="1255" t="s">
        <v>269</v>
      </c>
      <c r="AB106" s="1255" t="s">
        <v>269</v>
      </c>
      <c r="AC106" s="319"/>
      <c r="AD106" s="1255">
        <v>244.9</v>
      </c>
      <c r="AE106" s="319"/>
      <c r="AF106" s="1255">
        <v>277.5</v>
      </c>
      <c r="AG106" s="1254">
        <v>321.3</v>
      </c>
      <c r="AH106" s="1254">
        <v>331</v>
      </c>
      <c r="AI106" s="1254">
        <v>331.8</v>
      </c>
      <c r="AJ106" s="1254">
        <v>316.3</v>
      </c>
      <c r="AK106" s="1254">
        <v>326.89999999999998</v>
      </c>
      <c r="AL106" s="1254">
        <v>299</v>
      </c>
      <c r="AM106" s="1254">
        <v>307.2</v>
      </c>
      <c r="AN106" s="1254">
        <v>350.4</v>
      </c>
      <c r="AO106" s="1254">
        <v>341.4</v>
      </c>
      <c r="AP106" s="1254">
        <v>356.7</v>
      </c>
      <c r="AQ106" s="1254">
        <v>354.2</v>
      </c>
      <c r="AR106" s="449"/>
      <c r="AS106" s="449"/>
      <c r="AT106" s="449"/>
      <c r="AU106" s="449"/>
      <c r="AV106" s="449"/>
      <c r="AW106" s="449"/>
      <c r="AX106" s="449"/>
      <c r="AY106" s="449"/>
      <c r="AZ106" s="449"/>
      <c r="BF106" s="449"/>
      <c r="BG106" s="450"/>
      <c r="BH106" s="450"/>
      <c r="BJ106" s="1240"/>
    </row>
    <row r="107" spans="1:69" s="331" customFormat="1" ht="27.75" customHeight="1">
      <c r="A107" s="1241"/>
      <c r="B107" s="1239"/>
      <c r="C107" s="319"/>
      <c r="D107" s="318"/>
      <c r="E107" s="1248"/>
      <c r="F107" s="1248"/>
      <c r="G107" s="1248"/>
      <c r="H107" s="1248"/>
      <c r="I107" s="1248"/>
      <c r="J107" s="1248"/>
      <c r="K107" s="1248"/>
      <c r="L107" s="1248"/>
      <c r="M107" s="1248"/>
      <c r="N107" s="1248"/>
      <c r="O107" s="1248"/>
      <c r="P107" s="1248"/>
      <c r="Q107" s="1248"/>
      <c r="R107" s="1248"/>
      <c r="S107" s="1248"/>
      <c r="T107" s="1248"/>
      <c r="U107" s="1248"/>
      <c r="V107" s="1249"/>
      <c r="W107" s="1249"/>
      <c r="X107" s="1255"/>
      <c r="Y107" s="1249"/>
      <c r="Z107" s="1255"/>
      <c r="AA107" s="328"/>
      <c r="AB107" s="1255"/>
      <c r="AD107" s="1255"/>
      <c r="AF107" s="1255"/>
      <c r="AG107" s="1268"/>
      <c r="AH107" s="1268"/>
      <c r="AI107" s="1268"/>
      <c r="AJ107" s="1268"/>
      <c r="AK107" s="1268"/>
      <c r="AL107" s="1268"/>
      <c r="AM107" s="449"/>
      <c r="AN107" s="1268"/>
      <c r="AO107" s="1268"/>
      <c r="AP107" s="1268"/>
      <c r="AQ107" s="1268"/>
      <c r="AR107" s="449"/>
      <c r="AS107" s="449"/>
      <c r="AT107" s="449"/>
      <c r="AU107" s="449"/>
      <c r="AV107" s="449"/>
      <c r="AW107" s="449"/>
      <c r="AX107" s="449"/>
      <c r="AY107" s="449"/>
      <c r="AZ107" s="449"/>
      <c r="BA107" s="319"/>
      <c r="BB107" s="319"/>
      <c r="BC107" s="319"/>
      <c r="BD107" s="319"/>
      <c r="BE107" s="319"/>
      <c r="BF107" s="449"/>
      <c r="BG107" s="450"/>
      <c r="BH107" s="450"/>
      <c r="BI107" s="319"/>
      <c r="BJ107" s="1240"/>
      <c r="BK107" s="328"/>
      <c r="BL107" s="328"/>
      <c r="BM107" s="319"/>
      <c r="BN107" s="319"/>
      <c r="BQ107" s="319"/>
    </row>
    <row r="108" spans="1:69" s="331" customFormat="1" ht="24.75" customHeight="1">
      <c r="A108" s="1241"/>
      <c r="B108" s="1239"/>
      <c r="C108" s="1270" t="s">
        <v>499</v>
      </c>
      <c r="D108" s="318"/>
      <c r="E108" s="1248"/>
      <c r="F108" s="1248"/>
      <c r="G108" s="1248"/>
      <c r="H108" s="1248"/>
      <c r="I108" s="1248"/>
      <c r="J108" s="1248"/>
      <c r="K108" s="1248"/>
      <c r="L108" s="1248"/>
      <c r="M108" s="1248"/>
      <c r="N108" s="1248"/>
      <c r="O108" s="1248"/>
      <c r="P108" s="1248"/>
      <c r="Q108" s="1248"/>
      <c r="R108" s="1248"/>
      <c r="S108" s="1248"/>
      <c r="T108" s="1248"/>
      <c r="U108" s="1248"/>
      <c r="V108" s="1249"/>
      <c r="W108" s="1249"/>
      <c r="X108" s="1255"/>
      <c r="Y108" s="1249"/>
      <c r="Z108" s="1255"/>
      <c r="AA108" s="328"/>
      <c r="AB108" s="1255"/>
      <c r="AD108" s="1255"/>
      <c r="AF108" s="1255"/>
      <c r="AG108" s="1268"/>
      <c r="AH108" s="1268"/>
      <c r="AI108" s="1268"/>
      <c r="AJ108" s="1268"/>
      <c r="AK108" s="1268"/>
      <c r="AL108" s="1268"/>
      <c r="AM108" s="449"/>
      <c r="AN108" s="1268"/>
      <c r="AO108" s="1268"/>
      <c r="AP108" s="1268"/>
      <c r="AQ108" s="1268"/>
      <c r="AR108" s="449"/>
      <c r="AS108" s="449"/>
      <c r="AT108" s="449"/>
      <c r="AU108" s="449"/>
      <c r="AV108" s="449"/>
      <c r="AW108" s="449"/>
      <c r="AX108" s="449"/>
      <c r="AY108" s="449"/>
      <c r="AZ108" s="449"/>
      <c r="BA108" s="319"/>
      <c r="BB108" s="319"/>
      <c r="BC108" s="319"/>
      <c r="BD108" s="319"/>
      <c r="BE108" s="319"/>
      <c r="BF108" s="449"/>
      <c r="BG108" s="450"/>
      <c r="BH108" s="450"/>
      <c r="BI108" s="319"/>
      <c r="BJ108" s="1240"/>
      <c r="BK108" s="328"/>
      <c r="BL108" s="328"/>
      <c r="BM108" s="319"/>
      <c r="BN108" s="319"/>
      <c r="BQ108" s="319"/>
    </row>
    <row r="109" spans="1:69" s="331" customFormat="1" ht="29.65" customHeight="1">
      <c r="A109" s="1241"/>
      <c r="B109" s="1239"/>
      <c r="C109" s="1271" t="s">
        <v>1913</v>
      </c>
      <c r="D109" s="318"/>
      <c r="E109" s="1248"/>
      <c r="F109" s="1248"/>
      <c r="G109" s="1248"/>
      <c r="H109" s="1248"/>
      <c r="I109" s="1248"/>
      <c r="J109" s="1248"/>
      <c r="K109" s="1248"/>
      <c r="L109" s="1248"/>
      <c r="M109" s="1248"/>
      <c r="N109" s="1248"/>
      <c r="O109" s="1248"/>
      <c r="P109" s="1248"/>
      <c r="Q109" s="1248"/>
      <c r="R109" s="1248"/>
      <c r="S109" s="1248"/>
      <c r="T109" s="1248"/>
      <c r="U109" s="1248"/>
      <c r="V109" s="1249"/>
      <c r="W109" s="1249"/>
      <c r="X109" s="1255">
        <v>238</v>
      </c>
      <c r="Y109" s="1249"/>
      <c r="Z109" s="1255">
        <v>288.60000000000002</v>
      </c>
      <c r="AA109" s="328"/>
      <c r="AB109" s="1255">
        <v>328.70000000000005</v>
      </c>
      <c r="AD109" s="1255">
        <v>418.79999999999995</v>
      </c>
      <c r="AF109" s="1255">
        <v>459.89999999999992</v>
      </c>
      <c r="AG109" s="1255">
        <v>356.1</v>
      </c>
      <c r="AH109" s="1255">
        <v>389</v>
      </c>
      <c r="AI109" s="1255">
        <v>488.40000000000003</v>
      </c>
      <c r="AJ109" s="1255">
        <v>520.40000000000009</v>
      </c>
      <c r="AK109" s="1255">
        <v>507.9</v>
      </c>
      <c r="AL109" s="1255">
        <f>2504.3+23.5+5.1+1.8+5.1</f>
        <v>2539.8000000000002</v>
      </c>
      <c r="AM109" s="1255">
        <v>2668.7</v>
      </c>
      <c r="AN109" s="1255">
        <v>2674.0000000000005</v>
      </c>
      <c r="AO109" s="1255">
        <v>2647.5000000000005</v>
      </c>
      <c r="AP109" s="1255">
        <v>2699.7000000000003</v>
      </c>
      <c r="AQ109" s="1255">
        <v>2681.9</v>
      </c>
      <c r="AR109" s="449"/>
      <c r="AS109" s="449"/>
      <c r="AT109" s="449"/>
      <c r="AU109" s="449"/>
      <c r="AV109" s="449"/>
      <c r="AW109" s="449"/>
      <c r="AX109" s="449"/>
      <c r="AY109" s="449"/>
      <c r="AZ109" s="449"/>
      <c r="BA109" s="319"/>
      <c r="BB109" s="319"/>
      <c r="BC109" s="319"/>
      <c r="BD109" s="319"/>
      <c r="BE109" s="319"/>
      <c r="BF109" s="449"/>
      <c r="BG109" s="450"/>
      <c r="BH109" s="450"/>
      <c r="BI109" s="319"/>
      <c r="BJ109" s="1240"/>
      <c r="BK109" s="328"/>
      <c r="BL109" s="328"/>
      <c r="BM109" s="319"/>
      <c r="BN109" s="319"/>
      <c r="BQ109" s="319"/>
    </row>
    <row r="110" spans="1:69" s="331" customFormat="1" ht="24" customHeight="1">
      <c r="A110" s="1241"/>
      <c r="B110" s="1239"/>
      <c r="C110" s="1272" t="s">
        <v>1914</v>
      </c>
      <c r="D110" s="318"/>
      <c r="E110" s="1248"/>
      <c r="F110" s="1248"/>
      <c r="G110" s="1248"/>
      <c r="H110" s="1248"/>
      <c r="I110" s="1248"/>
      <c r="J110" s="1248"/>
      <c r="K110" s="1248"/>
      <c r="L110" s="1248"/>
      <c r="M110" s="1248"/>
      <c r="N110" s="1248"/>
      <c r="O110" s="1248"/>
      <c r="P110" s="1248"/>
      <c r="Q110" s="1248"/>
      <c r="R110" s="1248"/>
      <c r="S110" s="1248"/>
      <c r="T110" s="1248"/>
      <c r="U110" s="1248"/>
      <c r="V110" s="1249"/>
      <c r="W110" s="1249"/>
      <c r="X110" s="1255" t="s">
        <v>269</v>
      </c>
      <c r="Y110" s="1249"/>
      <c r="Z110" s="1255">
        <v>131.5</v>
      </c>
      <c r="AA110" s="328"/>
      <c r="AB110" s="1255">
        <v>161</v>
      </c>
      <c r="AD110" s="1255">
        <v>174.1</v>
      </c>
      <c r="AF110" s="1255">
        <v>335.5</v>
      </c>
      <c r="AG110" s="1255">
        <v>233</v>
      </c>
      <c r="AH110" s="1255">
        <v>276.7</v>
      </c>
      <c r="AI110" s="1255">
        <v>315.5</v>
      </c>
      <c r="AJ110" s="1255">
        <v>300.2</v>
      </c>
      <c r="AK110" s="1255">
        <v>266.89999999999998</v>
      </c>
      <c r="AL110" s="1255">
        <f>1241.5+113.7</f>
        <v>1355.2</v>
      </c>
      <c r="AM110" s="1255">
        <v>1317.3</v>
      </c>
      <c r="AN110" s="1255">
        <v>1133.2</v>
      </c>
      <c r="AO110" s="1255">
        <v>1160</v>
      </c>
      <c r="AP110" s="1255">
        <v>1208.1999999999998</v>
      </c>
      <c r="AQ110" s="1255">
        <v>1154.1000000000001</v>
      </c>
      <c r="AR110" s="449"/>
      <c r="AS110" s="449"/>
      <c r="AT110" s="449"/>
      <c r="AU110" s="449"/>
      <c r="AV110" s="449"/>
      <c r="AW110" s="449"/>
      <c r="AX110" s="449"/>
      <c r="AY110" s="449"/>
      <c r="AZ110" s="449"/>
      <c r="BA110" s="319"/>
      <c r="BB110" s="319"/>
      <c r="BC110" s="319"/>
      <c r="BD110" s="319"/>
      <c r="BE110" s="319"/>
      <c r="BF110" s="449"/>
      <c r="BG110" s="450"/>
      <c r="BH110" s="450"/>
      <c r="BI110" s="319"/>
      <c r="BJ110" s="1240"/>
      <c r="BK110" s="328"/>
      <c r="BL110" s="328"/>
      <c r="BM110" s="319"/>
      <c r="BN110" s="319"/>
      <c r="BQ110" s="319"/>
    </row>
    <row r="111" spans="1:69" s="331" customFormat="1" ht="12" customHeight="1">
      <c r="A111" s="1241"/>
      <c r="B111" s="1239"/>
      <c r="C111" s="1273" t="s">
        <v>500</v>
      </c>
      <c r="D111" s="318"/>
      <c r="E111" s="1248"/>
      <c r="F111" s="1248"/>
      <c r="G111" s="1248"/>
      <c r="H111" s="1248"/>
      <c r="I111" s="1248"/>
      <c r="J111" s="1248"/>
      <c r="K111" s="1248"/>
      <c r="L111" s="1248"/>
      <c r="M111" s="1248"/>
      <c r="N111" s="1248"/>
      <c r="O111" s="1248"/>
      <c r="P111" s="1248"/>
      <c r="Q111" s="1248"/>
      <c r="R111" s="1248"/>
      <c r="S111" s="1248"/>
      <c r="T111" s="1248"/>
      <c r="U111" s="1248"/>
      <c r="V111" s="1249"/>
      <c r="W111" s="1249"/>
      <c r="X111" s="1255" t="s">
        <v>269</v>
      </c>
      <c r="Y111" s="1249"/>
      <c r="Z111" s="1255" t="s">
        <v>269</v>
      </c>
      <c r="AA111" s="328"/>
      <c r="AB111" s="1255">
        <v>32.6</v>
      </c>
      <c r="AD111" s="1255">
        <v>51.900000000000006</v>
      </c>
      <c r="AF111" s="1255">
        <v>71.099999999999994</v>
      </c>
      <c r="AG111" s="1255">
        <v>78.099999999999994</v>
      </c>
      <c r="AH111" s="1255">
        <v>80.3</v>
      </c>
      <c r="AI111" s="1255">
        <v>80.900000000000006</v>
      </c>
      <c r="AJ111" s="1255">
        <v>99.1</v>
      </c>
      <c r="AK111" s="1255">
        <v>75.099999999999994</v>
      </c>
      <c r="AL111" s="1255">
        <v>23.7</v>
      </c>
      <c r="AM111" s="1255">
        <v>17.100000000000001</v>
      </c>
      <c r="AN111" s="1255">
        <v>20.6</v>
      </c>
      <c r="AO111" s="1255">
        <v>18.899999999999999</v>
      </c>
      <c r="AP111" s="1255">
        <v>19.8</v>
      </c>
      <c r="AQ111" s="1255">
        <v>17.7</v>
      </c>
      <c r="AR111" s="449"/>
      <c r="AS111" s="449"/>
      <c r="AT111" s="449"/>
      <c r="AU111" s="449"/>
      <c r="AV111" s="449"/>
      <c r="AW111" s="449"/>
      <c r="AX111" s="449"/>
      <c r="AY111" s="449"/>
      <c r="AZ111" s="449"/>
      <c r="BA111" s="319"/>
      <c r="BB111" s="319"/>
      <c r="BC111" s="319"/>
      <c r="BD111" s="319"/>
      <c r="BE111" s="319"/>
      <c r="BF111" s="449"/>
      <c r="BG111" s="450"/>
      <c r="BH111" s="450"/>
      <c r="BI111" s="319"/>
      <c r="BJ111" s="1240"/>
      <c r="BK111" s="328"/>
      <c r="BL111" s="328"/>
      <c r="BM111" s="319"/>
      <c r="BN111" s="319"/>
      <c r="BQ111" s="319"/>
    </row>
    <row r="112" spans="1:69" s="331" customFormat="1" ht="12" customHeight="1">
      <c r="A112" s="1241"/>
      <c r="B112" s="1239"/>
      <c r="C112" s="1273" t="s">
        <v>501</v>
      </c>
      <c r="D112" s="318"/>
      <c r="E112" s="1248"/>
      <c r="F112" s="1248"/>
      <c r="G112" s="1248"/>
      <c r="H112" s="1248"/>
      <c r="I112" s="1248"/>
      <c r="J112" s="1248"/>
      <c r="K112" s="1248"/>
      <c r="L112" s="1248"/>
      <c r="M112" s="1248"/>
      <c r="N112" s="1248"/>
      <c r="O112" s="1248"/>
      <c r="P112" s="1248"/>
      <c r="Q112" s="1248"/>
      <c r="R112" s="1248"/>
      <c r="S112" s="1248"/>
      <c r="T112" s="1248"/>
      <c r="U112" s="1248"/>
      <c r="V112" s="1249"/>
      <c r="W112" s="1249"/>
      <c r="X112" s="1255">
        <v>0</v>
      </c>
      <c r="Y112" s="1249"/>
      <c r="Z112" s="1255">
        <v>0</v>
      </c>
      <c r="AA112" s="328"/>
      <c r="AB112" s="1255">
        <v>0</v>
      </c>
      <c r="AD112" s="1255">
        <v>0</v>
      </c>
      <c r="AF112" s="1255">
        <v>0</v>
      </c>
      <c r="AG112" s="1268">
        <v>641.70000000000005</v>
      </c>
      <c r="AH112" s="1268">
        <v>624.6</v>
      </c>
      <c r="AI112" s="1268">
        <v>626.79999999999995</v>
      </c>
      <c r="AJ112" s="1268">
        <v>628.70000000000005</v>
      </c>
      <c r="AK112" s="1268">
        <v>795.1</v>
      </c>
      <c r="AL112" s="1268">
        <v>0</v>
      </c>
      <c r="AM112" s="1268">
        <v>0</v>
      </c>
      <c r="AN112" s="1274" t="s">
        <v>269</v>
      </c>
      <c r="AO112" s="1274" t="s">
        <v>269</v>
      </c>
      <c r="AP112" s="1274" t="s">
        <v>269</v>
      </c>
      <c r="AQ112" s="1274" t="s">
        <v>269</v>
      </c>
      <c r="AR112" s="449"/>
      <c r="AS112" s="449"/>
      <c r="AT112" s="449"/>
      <c r="AU112" s="449"/>
      <c r="AV112" s="449"/>
      <c r="AW112" s="449"/>
      <c r="AX112" s="449"/>
      <c r="AY112" s="449"/>
      <c r="AZ112" s="449"/>
      <c r="BA112" s="319"/>
      <c r="BB112" s="319"/>
      <c r="BC112" s="319"/>
      <c r="BD112" s="319"/>
      <c r="BE112" s="319"/>
      <c r="BF112" s="449"/>
      <c r="BG112" s="450"/>
      <c r="BH112" s="450"/>
      <c r="BI112" s="319"/>
      <c r="BJ112" s="1240"/>
      <c r="BK112" s="328"/>
      <c r="BL112" s="328"/>
      <c r="BM112" s="319"/>
      <c r="BN112" s="319"/>
      <c r="BQ112" s="319"/>
    </row>
    <row r="113" spans="1:69" s="331" customFormat="1" ht="12" customHeight="1">
      <c r="A113" s="1241"/>
      <c r="B113" s="1239"/>
      <c r="C113" s="1273" t="s">
        <v>502</v>
      </c>
      <c r="D113" s="318"/>
      <c r="E113" s="1248"/>
      <c r="F113" s="1248"/>
      <c r="G113" s="1248"/>
      <c r="H113" s="1248"/>
      <c r="I113" s="1248"/>
      <c r="J113" s="1248"/>
      <c r="K113" s="1248"/>
      <c r="L113" s="1248"/>
      <c r="M113" s="1248"/>
      <c r="N113" s="1248"/>
      <c r="O113" s="1248"/>
      <c r="P113" s="1248"/>
      <c r="Q113" s="1248"/>
      <c r="R113" s="1248"/>
      <c r="S113" s="1248"/>
      <c r="T113" s="1248"/>
      <c r="U113" s="1248"/>
      <c r="V113" s="1249"/>
      <c r="W113" s="1249"/>
      <c r="X113" s="1255">
        <v>0</v>
      </c>
      <c r="Y113" s="1249"/>
      <c r="Z113" s="1255">
        <v>0</v>
      </c>
      <c r="AA113" s="328"/>
      <c r="AB113" s="1255">
        <v>0</v>
      </c>
      <c r="AD113" s="1255">
        <v>0</v>
      </c>
      <c r="AF113" s="1255">
        <v>0</v>
      </c>
      <c r="AG113" s="1255">
        <v>0</v>
      </c>
      <c r="AH113" s="1255">
        <v>0</v>
      </c>
      <c r="AI113" s="1255">
        <v>0</v>
      </c>
      <c r="AJ113" s="1255">
        <v>0</v>
      </c>
      <c r="AK113" s="1255">
        <v>0</v>
      </c>
      <c r="AL113" s="1268">
        <v>1358.1</v>
      </c>
      <c r="AM113" s="1268">
        <v>1227.3</v>
      </c>
      <c r="AN113" s="1268">
        <v>1335.2</v>
      </c>
      <c r="AO113" s="1268">
        <v>1575.0893053412046</v>
      </c>
      <c r="AP113" s="1268">
        <v>2012.4518778014865</v>
      </c>
      <c r="AQ113" s="1268">
        <v>2070.3496901058588</v>
      </c>
      <c r="AR113" s="449"/>
      <c r="AS113" s="449"/>
      <c r="AT113" s="449"/>
      <c r="AU113" s="449"/>
      <c r="AV113" s="449"/>
      <c r="AW113" s="449"/>
      <c r="AX113" s="449"/>
      <c r="AY113" s="449"/>
      <c r="AZ113" s="449"/>
      <c r="BA113" s="319"/>
      <c r="BB113" s="319"/>
      <c r="BC113" s="319"/>
      <c r="BD113" s="319"/>
      <c r="BE113" s="319"/>
      <c r="BF113" s="449"/>
      <c r="BG113" s="450"/>
      <c r="BH113" s="450"/>
      <c r="BI113" s="319"/>
      <c r="BJ113" s="1240"/>
      <c r="BK113" s="328"/>
      <c r="BL113" s="328"/>
      <c r="BM113" s="319"/>
      <c r="BN113" s="319"/>
      <c r="BQ113" s="319"/>
    </row>
    <row r="114" spans="1:69" s="331" customFormat="1" ht="12" customHeight="1">
      <c r="A114" s="1241"/>
      <c r="B114" s="319"/>
      <c r="C114" s="319"/>
      <c r="D114" s="318"/>
      <c r="E114" s="319"/>
      <c r="F114" s="319"/>
      <c r="G114" s="319"/>
      <c r="H114" s="319"/>
      <c r="I114" s="319"/>
      <c r="J114" s="319"/>
      <c r="K114" s="319"/>
      <c r="L114" s="319"/>
      <c r="M114" s="319"/>
      <c r="N114" s="319"/>
      <c r="O114" s="319"/>
      <c r="P114" s="319"/>
      <c r="Q114" s="319"/>
      <c r="R114" s="319"/>
      <c r="S114" s="319"/>
      <c r="T114" s="319"/>
      <c r="U114" s="319"/>
      <c r="V114" s="328"/>
      <c r="W114" s="328"/>
      <c r="X114" s="1254"/>
      <c r="Y114" s="328"/>
      <c r="Z114" s="1254"/>
      <c r="AA114" s="328"/>
      <c r="AB114" s="1254"/>
      <c r="AD114" s="1254"/>
      <c r="AF114" s="1254"/>
      <c r="AG114" s="1268"/>
      <c r="AH114" s="1268"/>
      <c r="AI114" s="1268"/>
      <c r="AJ114" s="1268"/>
      <c r="AK114" s="1268"/>
      <c r="AL114" s="1268"/>
      <c r="AM114" s="449"/>
      <c r="AN114" s="1268"/>
      <c r="AO114" s="1268"/>
      <c r="AP114" s="1268"/>
      <c r="AQ114" s="1268"/>
      <c r="AR114" s="449"/>
      <c r="AS114" s="449"/>
      <c r="AT114" s="449"/>
      <c r="AU114" s="449"/>
      <c r="AV114" s="449"/>
      <c r="AW114" s="449"/>
      <c r="AX114" s="449"/>
      <c r="AY114" s="449"/>
      <c r="AZ114" s="449"/>
      <c r="BA114" s="319"/>
      <c r="BB114" s="319"/>
      <c r="BC114" s="319"/>
      <c r="BD114" s="319"/>
      <c r="BE114" s="319"/>
      <c r="BF114" s="449"/>
      <c r="BG114" s="450"/>
      <c r="BH114" s="450"/>
      <c r="BI114" s="319"/>
      <c r="BJ114" s="1240"/>
      <c r="BK114" s="328"/>
      <c r="BL114" s="328"/>
      <c r="BM114" s="319"/>
      <c r="BN114" s="319"/>
      <c r="BQ114" s="319"/>
    </row>
    <row r="115" spans="1:69" s="331" customFormat="1" ht="12" customHeight="1">
      <c r="A115" s="1241"/>
      <c r="B115" s="206" t="s">
        <v>78</v>
      </c>
      <c r="C115" s="319"/>
      <c r="D115" s="318"/>
      <c r="E115" s="1248"/>
      <c r="F115" s="1248"/>
      <c r="G115" s="1248"/>
      <c r="H115" s="1248"/>
      <c r="I115" s="1248"/>
      <c r="J115" s="1248"/>
      <c r="K115" s="1248"/>
      <c r="L115" s="1248"/>
      <c r="M115" s="1248"/>
      <c r="N115" s="1248"/>
      <c r="O115" s="1248"/>
      <c r="P115" s="1248"/>
      <c r="Q115" s="1248"/>
      <c r="R115" s="1248"/>
      <c r="S115" s="1248"/>
      <c r="T115" s="1248"/>
      <c r="U115" s="1248"/>
      <c r="V115" s="1249"/>
      <c r="W115" s="1249"/>
      <c r="X115" s="1267">
        <v>0</v>
      </c>
      <c r="Y115" s="1249"/>
      <c r="Z115" s="1267">
        <v>2184.6999999999998</v>
      </c>
      <c r="AA115" s="328"/>
      <c r="AB115" s="1267">
        <v>2806.2</v>
      </c>
      <c r="AD115" s="1267">
        <v>3237.1</v>
      </c>
      <c r="AF115" s="1267">
        <v>2776.47</v>
      </c>
      <c r="AG115" s="1267">
        <v>2803</v>
      </c>
      <c r="AH115" s="1267">
        <v>2450</v>
      </c>
      <c r="AI115" s="1267">
        <v>2233.57807</v>
      </c>
      <c r="AJ115" s="1267">
        <v>1535.01268</v>
      </c>
      <c r="AK115" s="1267">
        <v>1332.4213299999999</v>
      </c>
      <c r="AL115" s="1267">
        <v>1478.1245200000001</v>
      </c>
      <c r="AM115" s="1267" t="s">
        <v>300</v>
      </c>
      <c r="AN115" s="1267">
        <v>0</v>
      </c>
      <c r="AO115" s="1267">
        <v>0</v>
      </c>
      <c r="AP115" s="1267"/>
      <c r="AQ115" s="1267"/>
      <c r="AR115" s="449"/>
      <c r="AS115" s="449"/>
      <c r="AT115" s="449"/>
      <c r="AU115" s="449"/>
      <c r="AV115" s="449"/>
      <c r="AW115" s="449"/>
      <c r="AX115" s="449"/>
      <c r="AY115" s="449"/>
      <c r="AZ115" s="449"/>
      <c r="BA115" s="319"/>
      <c r="BB115" s="319"/>
      <c r="BC115" s="319"/>
      <c r="BD115" s="319"/>
      <c r="BE115" s="319"/>
      <c r="BF115" s="449"/>
      <c r="BG115" s="450"/>
      <c r="BH115" s="450"/>
      <c r="BI115" s="319"/>
      <c r="BJ115" s="1240"/>
      <c r="BK115" s="328"/>
      <c r="BL115" s="328"/>
      <c r="BM115" s="319"/>
      <c r="BN115" s="319"/>
      <c r="BQ115" s="319"/>
    </row>
    <row r="116" spans="1:69" s="331" customFormat="1" ht="12" customHeight="1">
      <c r="A116" s="1241"/>
      <c r="B116" s="206"/>
      <c r="C116" s="319"/>
      <c r="D116" s="318"/>
      <c r="E116" s="1248"/>
      <c r="F116" s="1248"/>
      <c r="G116" s="1248"/>
      <c r="H116" s="1248"/>
      <c r="I116" s="1248"/>
      <c r="J116" s="1248"/>
      <c r="K116" s="1248"/>
      <c r="L116" s="1248"/>
      <c r="M116" s="1248"/>
      <c r="N116" s="1248"/>
      <c r="O116" s="1248"/>
      <c r="P116" s="1248"/>
      <c r="Q116" s="1248"/>
      <c r="R116" s="1248"/>
      <c r="S116" s="1248"/>
      <c r="T116" s="1248"/>
      <c r="U116" s="1248"/>
      <c r="V116" s="1249"/>
      <c r="W116" s="1249"/>
      <c r="X116" s="1267"/>
      <c r="Y116" s="1249"/>
      <c r="Z116" s="1267"/>
      <c r="AA116" s="328"/>
      <c r="AB116" s="1267"/>
      <c r="AD116" s="1267"/>
      <c r="AF116" s="1267"/>
      <c r="AG116" s="1268"/>
      <c r="AH116" s="1268"/>
      <c r="AI116" s="1268"/>
      <c r="AJ116" s="1268"/>
      <c r="AK116" s="1268"/>
      <c r="AL116" s="1268"/>
      <c r="AM116" s="449"/>
      <c r="AN116" s="1268"/>
      <c r="AO116" s="1268"/>
      <c r="AP116" s="1268"/>
      <c r="AQ116" s="1268"/>
      <c r="AR116" s="449"/>
      <c r="AS116" s="449"/>
      <c r="AT116" s="449"/>
      <c r="AU116" s="449"/>
      <c r="AV116" s="449"/>
      <c r="AW116" s="449"/>
      <c r="AX116" s="449"/>
      <c r="AY116" s="449"/>
      <c r="AZ116" s="449"/>
      <c r="BA116" s="319"/>
      <c r="BB116" s="319"/>
      <c r="BC116" s="319"/>
      <c r="BD116" s="319"/>
      <c r="BE116" s="319"/>
      <c r="BF116" s="449"/>
      <c r="BG116" s="450"/>
      <c r="BH116" s="450"/>
      <c r="BI116" s="319"/>
      <c r="BJ116" s="1240"/>
      <c r="BK116" s="328"/>
      <c r="BL116" s="328"/>
      <c r="BM116" s="319"/>
      <c r="BN116" s="319"/>
      <c r="BQ116" s="319"/>
    </row>
    <row r="117" spans="1:69" s="331" customFormat="1" ht="12" customHeight="1">
      <c r="A117" s="1241"/>
      <c r="B117" s="1239"/>
      <c r="C117" s="319" t="s">
        <v>503</v>
      </c>
      <c r="D117" s="318"/>
      <c r="E117" s="1248"/>
      <c r="F117" s="1248"/>
      <c r="G117" s="1248"/>
      <c r="H117" s="1248"/>
      <c r="I117" s="1248"/>
      <c r="J117" s="1248"/>
      <c r="K117" s="1248"/>
      <c r="L117" s="1248"/>
      <c r="M117" s="1248"/>
      <c r="N117" s="1248"/>
      <c r="O117" s="1248"/>
      <c r="P117" s="1248"/>
      <c r="Q117" s="1248"/>
      <c r="R117" s="1248"/>
      <c r="S117" s="1248"/>
      <c r="T117" s="1248"/>
      <c r="U117" s="1248"/>
      <c r="V117" s="1249"/>
      <c r="W117" s="1249"/>
      <c r="X117" s="1255" t="s">
        <v>269</v>
      </c>
      <c r="Y117" s="1249"/>
      <c r="Z117" s="1255">
        <v>2184.6999999999998</v>
      </c>
      <c r="AA117" s="328"/>
      <c r="AB117" s="1255">
        <v>2806.2</v>
      </c>
      <c r="AD117" s="1255">
        <v>3237.1</v>
      </c>
      <c r="AF117" s="1255">
        <v>2776.47</v>
      </c>
      <c r="AG117" s="1255">
        <v>2803</v>
      </c>
      <c r="AH117" s="1255">
        <v>2450</v>
      </c>
      <c r="AI117" s="1255">
        <v>2233.57807</v>
      </c>
      <c r="AJ117" s="1255">
        <v>1535.01268</v>
      </c>
      <c r="AK117" s="1255">
        <v>1332.4213299999999</v>
      </c>
      <c r="AL117" s="1255">
        <v>1478.1245200000001</v>
      </c>
      <c r="AM117" s="448">
        <v>1550</v>
      </c>
      <c r="AN117" s="1255">
        <v>1547</v>
      </c>
      <c r="AO117" s="1255">
        <v>1702</v>
      </c>
      <c r="AP117" s="1255">
        <v>1815</v>
      </c>
      <c r="AQ117" s="1255">
        <v>1705</v>
      </c>
      <c r="AR117" s="449"/>
      <c r="AS117" s="449"/>
      <c r="AT117" s="449"/>
      <c r="AU117" s="449"/>
      <c r="AV117" s="449"/>
      <c r="AW117" s="449"/>
      <c r="AX117" s="449"/>
      <c r="AY117" s="449"/>
      <c r="AZ117" s="449"/>
      <c r="BA117" s="319"/>
      <c r="BB117" s="319"/>
      <c r="BC117" s="319"/>
      <c r="BD117" s="319"/>
      <c r="BE117" s="319"/>
      <c r="BF117" s="449"/>
      <c r="BG117" s="450"/>
      <c r="BH117" s="450"/>
      <c r="BI117" s="319"/>
      <c r="BJ117" s="1240"/>
      <c r="BK117" s="328"/>
      <c r="BL117" s="328"/>
      <c r="BM117" s="319"/>
      <c r="BN117" s="319"/>
      <c r="BQ117" s="319"/>
    </row>
    <row r="118" spans="1:69" s="331" customFormat="1" ht="12" customHeight="1">
      <c r="A118" s="1241"/>
      <c r="B118" s="1239"/>
      <c r="C118" s="319"/>
      <c r="D118" s="318"/>
      <c r="E118" s="1248"/>
      <c r="F118" s="1248"/>
      <c r="G118" s="1248"/>
      <c r="H118" s="1248"/>
      <c r="I118" s="1248"/>
      <c r="J118" s="1248"/>
      <c r="K118" s="1248"/>
      <c r="L118" s="1248"/>
      <c r="M118" s="1248"/>
      <c r="N118" s="1248"/>
      <c r="O118" s="1248"/>
      <c r="P118" s="1248"/>
      <c r="Q118" s="1248"/>
      <c r="R118" s="1248"/>
      <c r="S118" s="1248"/>
      <c r="T118" s="1248"/>
      <c r="U118" s="1248"/>
      <c r="V118" s="1249"/>
      <c r="W118" s="1249"/>
      <c r="X118" s="1255"/>
      <c r="Y118" s="1249"/>
      <c r="Z118" s="1255"/>
      <c r="AA118" s="328"/>
      <c r="AB118" s="1255"/>
      <c r="AD118" s="1255"/>
      <c r="AF118" s="1255"/>
      <c r="AG118" s="1268"/>
      <c r="AH118" s="1268"/>
      <c r="AI118" s="1268"/>
      <c r="AJ118" s="1268"/>
      <c r="AK118" s="1268"/>
      <c r="AL118" s="1268"/>
      <c r="AM118" s="449"/>
      <c r="AN118" s="1268"/>
      <c r="AO118" s="1268"/>
      <c r="AP118" s="1268"/>
      <c r="AQ118" s="1268"/>
      <c r="AR118" s="449"/>
      <c r="AS118" s="449"/>
      <c r="AT118" s="449"/>
      <c r="AU118" s="449"/>
      <c r="AV118" s="449"/>
      <c r="AW118" s="449"/>
      <c r="AX118" s="449"/>
      <c r="AY118" s="449"/>
      <c r="AZ118" s="449"/>
      <c r="BA118" s="319"/>
      <c r="BB118" s="319"/>
      <c r="BC118" s="319"/>
      <c r="BD118" s="319"/>
      <c r="BE118" s="319"/>
      <c r="BF118" s="449"/>
      <c r="BG118" s="450"/>
      <c r="BH118" s="450"/>
      <c r="BI118" s="319"/>
      <c r="BJ118" s="1240"/>
      <c r="BK118" s="328"/>
      <c r="BL118" s="328"/>
      <c r="BM118" s="319"/>
      <c r="BN118" s="319"/>
      <c r="BQ118" s="319"/>
    </row>
    <row r="119" spans="1:69" s="331" customFormat="1" ht="12" customHeight="1">
      <c r="A119" s="1241"/>
      <c r="B119" s="403" t="s">
        <v>240</v>
      </c>
      <c r="C119" s="319"/>
      <c r="D119" s="318"/>
      <c r="E119" s="1248"/>
      <c r="F119" s="1248"/>
      <c r="G119" s="1248"/>
      <c r="H119" s="1248"/>
      <c r="I119" s="1248"/>
      <c r="J119" s="1248"/>
      <c r="K119" s="1248"/>
      <c r="L119" s="1248"/>
      <c r="M119" s="1248"/>
      <c r="N119" s="1248"/>
      <c r="O119" s="1248"/>
      <c r="P119" s="1248"/>
      <c r="Q119" s="1248"/>
      <c r="R119" s="1248"/>
      <c r="S119" s="1248"/>
      <c r="T119" s="1248"/>
      <c r="U119" s="1248"/>
      <c r="V119" s="1249"/>
      <c r="W119" s="1249"/>
      <c r="X119" s="1255"/>
      <c r="Y119" s="1249"/>
      <c r="Z119" s="1255"/>
      <c r="AA119" s="328"/>
      <c r="AB119" s="1255"/>
      <c r="AD119" s="1255"/>
      <c r="AF119" s="1255"/>
      <c r="AG119" s="1268"/>
      <c r="AH119" s="1268"/>
      <c r="AI119" s="1268"/>
      <c r="AJ119" s="1268"/>
      <c r="AK119" s="1268"/>
      <c r="AL119" s="1268"/>
      <c r="AM119" s="449"/>
      <c r="AN119" s="1268"/>
      <c r="AO119" s="1268"/>
      <c r="AP119" s="1268"/>
      <c r="AQ119" s="1268"/>
      <c r="AR119" s="449"/>
      <c r="AS119" s="449"/>
      <c r="AT119" s="449"/>
      <c r="AU119" s="449"/>
      <c r="AV119" s="449"/>
      <c r="AW119" s="449"/>
      <c r="AX119" s="449"/>
      <c r="AY119" s="449"/>
      <c r="AZ119" s="449"/>
      <c r="BA119" s="319"/>
      <c r="BB119" s="319"/>
      <c r="BC119" s="319"/>
      <c r="BD119" s="319"/>
      <c r="BE119" s="319"/>
      <c r="BF119" s="449"/>
      <c r="BG119" s="450"/>
      <c r="BH119" s="450"/>
      <c r="BI119" s="319"/>
      <c r="BJ119" s="1240"/>
      <c r="BK119" s="328"/>
      <c r="BL119" s="328"/>
      <c r="BM119" s="319"/>
      <c r="BN119" s="319"/>
      <c r="BQ119" s="319"/>
    </row>
    <row r="120" spans="1:69" s="331" customFormat="1">
      <c r="A120" s="1275"/>
      <c r="B120" s="206" t="s">
        <v>91</v>
      </c>
      <c r="C120" s="319"/>
      <c r="D120" s="318"/>
      <c r="E120" s="1248"/>
      <c r="F120" s="1248"/>
      <c r="G120" s="1248"/>
      <c r="H120" s="1248"/>
      <c r="I120" s="1248"/>
      <c r="J120" s="1248"/>
      <c r="K120" s="1248"/>
      <c r="L120" s="1248"/>
      <c r="M120" s="1248"/>
      <c r="N120" s="1248"/>
      <c r="O120" s="1248"/>
      <c r="P120" s="1248"/>
      <c r="Q120" s="1248"/>
      <c r="R120" s="1248"/>
      <c r="S120" s="1248"/>
      <c r="T120" s="1248"/>
      <c r="U120" s="1248"/>
      <c r="V120" s="1249"/>
      <c r="W120" s="1249"/>
      <c r="X120" s="1267">
        <v>1208</v>
      </c>
      <c r="Y120" s="1249"/>
      <c r="Z120" s="1267">
        <v>1862.2</v>
      </c>
      <c r="AA120" s="328"/>
      <c r="AB120" s="1267">
        <v>2408</v>
      </c>
      <c r="AD120" s="1267">
        <v>2419.9</v>
      </c>
      <c r="AF120" s="1267">
        <v>2148.3999999999996</v>
      </c>
      <c r="AG120" s="1267">
        <v>2122.6999999999998</v>
      </c>
      <c r="AH120" s="1267">
        <v>2058</v>
      </c>
      <c r="AI120" s="1267">
        <v>2226.5</v>
      </c>
      <c r="AJ120" s="1267">
        <v>2138.8999999999996</v>
      </c>
      <c r="AK120" s="1267">
        <v>2073.7999999999997</v>
      </c>
      <c r="AL120" s="1267">
        <v>1857.6000000000001</v>
      </c>
      <c r="AM120" s="1267">
        <v>1676.8</v>
      </c>
      <c r="AN120" s="1267">
        <v>1944.3</v>
      </c>
      <c r="AO120" s="1267">
        <v>2066.5</v>
      </c>
      <c r="AP120" s="1267">
        <v>2129.6</v>
      </c>
      <c r="AQ120" s="1267">
        <v>2143.3999999999996</v>
      </c>
      <c r="AR120" s="319"/>
      <c r="AS120" s="319"/>
      <c r="AT120" s="319"/>
      <c r="AU120" s="319"/>
      <c r="AV120" s="319"/>
      <c r="AW120" s="319"/>
      <c r="AX120" s="319"/>
      <c r="AY120" s="319"/>
      <c r="AZ120" s="319"/>
      <c r="BA120" s="319"/>
      <c r="BB120" s="319"/>
      <c r="BC120" s="319"/>
      <c r="BD120" s="319"/>
      <c r="BE120" s="319"/>
      <c r="BF120" s="319"/>
      <c r="BG120" s="328"/>
      <c r="BH120" s="328"/>
      <c r="BI120" s="319"/>
      <c r="BJ120" s="319"/>
      <c r="BK120" s="328"/>
      <c r="BL120" s="328"/>
      <c r="BM120" s="319"/>
      <c r="BN120" s="319"/>
      <c r="BQ120" s="319"/>
    </row>
    <row r="121" spans="1:69" s="331" customFormat="1">
      <c r="A121" s="1275"/>
      <c r="B121" s="405"/>
      <c r="C121" s="405"/>
      <c r="D121" s="406"/>
      <c r="E121" s="405"/>
      <c r="F121" s="405"/>
      <c r="G121" s="405"/>
      <c r="H121" s="405"/>
      <c r="I121" s="405"/>
      <c r="J121" s="405"/>
      <c r="K121" s="405"/>
      <c r="L121" s="405"/>
      <c r="M121" s="405"/>
      <c r="N121" s="405"/>
      <c r="O121" s="405"/>
      <c r="P121" s="405"/>
      <c r="Q121" s="405"/>
      <c r="R121" s="405"/>
      <c r="S121" s="405"/>
      <c r="T121" s="405"/>
      <c r="U121" s="405"/>
      <c r="V121" s="407"/>
      <c r="W121" s="407"/>
      <c r="X121" s="407"/>
      <c r="Y121" s="407"/>
      <c r="Z121" s="407"/>
      <c r="AA121" s="407"/>
      <c r="AB121" s="408"/>
      <c r="AC121" s="408"/>
      <c r="AD121" s="408"/>
      <c r="AE121" s="408"/>
      <c r="AF121" s="408"/>
      <c r="AG121" s="408"/>
      <c r="AH121" s="408"/>
      <c r="AI121" s="408"/>
      <c r="AJ121" s="408"/>
      <c r="AK121" s="408"/>
      <c r="AL121" s="408"/>
      <c r="AM121" s="408"/>
      <c r="AN121" s="408"/>
      <c r="AO121" s="408"/>
      <c r="AP121" s="408"/>
      <c r="AQ121" s="408"/>
      <c r="AR121" s="319"/>
      <c r="AS121" s="319"/>
      <c r="AT121" s="319"/>
      <c r="AU121" s="319"/>
      <c r="AV121" s="319"/>
      <c r="AW121" s="319"/>
      <c r="AX121" s="319"/>
      <c r="AY121" s="319"/>
      <c r="AZ121" s="319"/>
      <c r="BA121" s="319"/>
      <c r="BB121" s="319"/>
      <c r="BC121" s="319"/>
      <c r="BD121" s="319"/>
      <c r="BE121" s="319"/>
      <c r="BF121" s="319"/>
      <c r="BG121" s="328"/>
      <c r="BH121" s="328"/>
      <c r="BI121" s="319"/>
      <c r="BJ121" s="319"/>
      <c r="BK121" s="328"/>
      <c r="BL121" s="328"/>
      <c r="BM121" s="319"/>
      <c r="BN121" s="319"/>
      <c r="BQ121" s="319"/>
    </row>
    <row r="122" spans="1:69" s="331" customFormat="1">
      <c r="A122" s="1275"/>
      <c r="B122" s="319" t="s">
        <v>1790</v>
      </c>
      <c r="C122" s="319"/>
      <c r="D122" s="318"/>
      <c r="E122" s="319"/>
      <c r="F122" s="319"/>
      <c r="G122" s="319"/>
      <c r="H122" s="319"/>
      <c r="I122" s="319"/>
      <c r="J122" s="319"/>
      <c r="K122" s="319"/>
      <c r="L122" s="319"/>
      <c r="M122" s="319"/>
      <c r="N122" s="319"/>
      <c r="O122" s="319"/>
      <c r="P122" s="319"/>
      <c r="Q122" s="319"/>
      <c r="R122" s="319"/>
      <c r="S122" s="319"/>
      <c r="T122" s="319"/>
      <c r="U122" s="319"/>
      <c r="V122" s="328"/>
      <c r="W122" s="328"/>
      <c r="X122" s="328"/>
      <c r="Y122" s="328"/>
      <c r="Z122" s="328"/>
      <c r="AA122" s="328"/>
      <c r="AB122" s="1244"/>
      <c r="AC122" s="1244"/>
      <c r="AD122" s="1244"/>
      <c r="AE122" s="1244"/>
      <c r="AF122" s="1244"/>
      <c r="AG122" s="1244"/>
      <c r="AH122" s="1244"/>
      <c r="AI122" s="1244"/>
      <c r="AJ122" s="1244"/>
      <c r="AK122" s="1244"/>
      <c r="AL122" s="1244"/>
      <c r="AM122" s="1244"/>
      <c r="AN122" s="1244"/>
      <c r="AO122" s="1244"/>
      <c r="AP122" s="1244"/>
      <c r="AQ122" s="1244"/>
      <c r="AR122" s="319"/>
      <c r="AS122" s="319"/>
      <c r="AT122" s="319"/>
      <c r="AU122" s="319"/>
      <c r="AV122" s="319"/>
      <c r="AW122" s="319"/>
      <c r="AX122" s="319"/>
      <c r="AY122" s="319"/>
      <c r="AZ122" s="319"/>
      <c r="BA122" s="319"/>
      <c r="BB122" s="319"/>
      <c r="BC122" s="319"/>
      <c r="BD122" s="319"/>
      <c r="BE122" s="319"/>
      <c r="BF122" s="319"/>
      <c r="BG122" s="328"/>
      <c r="BH122" s="328"/>
      <c r="BI122" s="319"/>
      <c r="BJ122" s="319"/>
      <c r="BK122" s="328"/>
      <c r="BL122" s="328"/>
      <c r="BM122" s="319"/>
      <c r="BN122" s="319"/>
      <c r="BQ122" s="319"/>
    </row>
    <row r="123" spans="1:69" ht="12" customHeight="1">
      <c r="B123" s="319" t="s">
        <v>504</v>
      </c>
    </row>
    <row r="124" spans="1:69" s="331" customFormat="1" ht="12" customHeight="1">
      <c r="A124" s="1275"/>
      <c r="B124" s="1266" t="s">
        <v>1619</v>
      </c>
      <c r="C124" s="319"/>
      <c r="D124" s="318"/>
      <c r="E124" s="319"/>
      <c r="F124" s="319"/>
      <c r="G124" s="319"/>
      <c r="H124" s="319"/>
      <c r="I124" s="319"/>
      <c r="J124" s="319"/>
      <c r="K124" s="319"/>
      <c r="L124" s="319"/>
      <c r="M124" s="319"/>
      <c r="N124" s="319"/>
      <c r="O124" s="319"/>
      <c r="P124" s="319"/>
      <c r="Q124" s="319"/>
      <c r="R124" s="319"/>
      <c r="S124" s="319"/>
      <c r="T124" s="319"/>
      <c r="U124" s="319"/>
      <c r="V124" s="328"/>
      <c r="W124" s="328"/>
      <c r="X124" s="328"/>
      <c r="Y124" s="328"/>
      <c r="Z124" s="328"/>
      <c r="AA124" s="328"/>
      <c r="AB124" s="1244"/>
      <c r="AC124" s="1244"/>
      <c r="AD124" s="1244"/>
      <c r="AE124" s="1244"/>
      <c r="AF124" s="1244"/>
      <c r="AG124" s="319"/>
      <c r="AH124" s="319"/>
      <c r="AI124" s="319"/>
      <c r="AJ124" s="319"/>
      <c r="AK124" s="319"/>
      <c r="AL124" s="319"/>
      <c r="AM124" s="319"/>
      <c r="AN124" s="319"/>
      <c r="AO124" s="319"/>
      <c r="AP124" s="319"/>
      <c r="AQ124" s="319"/>
      <c r="AR124" s="319"/>
      <c r="AS124" s="319"/>
      <c r="AT124" s="319"/>
      <c r="AU124" s="319"/>
      <c r="AV124" s="319"/>
      <c r="AW124" s="319"/>
      <c r="AX124" s="319"/>
      <c r="AY124" s="319"/>
      <c r="AZ124" s="319"/>
      <c r="BA124" s="319"/>
      <c r="BB124" s="319"/>
      <c r="BC124" s="319"/>
      <c r="BD124" s="319"/>
      <c r="BE124" s="319"/>
      <c r="BF124" s="319"/>
      <c r="BG124" s="328"/>
      <c r="BH124" s="328"/>
      <c r="BI124" s="319"/>
      <c r="BJ124" s="319"/>
      <c r="BK124" s="328"/>
      <c r="BL124" s="328"/>
      <c r="BM124" s="319"/>
      <c r="BN124" s="319"/>
      <c r="BQ124" s="319"/>
    </row>
    <row r="125" spans="1:69" s="331" customFormat="1" ht="12" customHeight="1">
      <c r="A125" s="1275"/>
      <c r="B125" s="623"/>
      <c r="C125" s="319"/>
      <c r="D125" s="318"/>
      <c r="E125" s="319"/>
      <c r="F125" s="319"/>
      <c r="G125" s="319"/>
      <c r="H125" s="319"/>
      <c r="I125" s="319"/>
      <c r="J125" s="319"/>
      <c r="K125" s="319"/>
      <c r="L125" s="319"/>
      <c r="M125" s="319"/>
      <c r="N125" s="319"/>
      <c r="O125" s="319"/>
      <c r="P125" s="319"/>
      <c r="Q125" s="319"/>
      <c r="R125" s="319"/>
      <c r="S125" s="319"/>
      <c r="T125" s="319"/>
      <c r="U125" s="319"/>
      <c r="V125" s="328"/>
      <c r="W125" s="328"/>
      <c r="X125" s="328"/>
      <c r="Y125" s="328"/>
      <c r="Z125" s="328"/>
      <c r="AA125" s="328"/>
      <c r="AB125" s="1244"/>
      <c r="AC125" s="1244"/>
      <c r="AD125" s="1244"/>
      <c r="AE125" s="1244"/>
      <c r="AF125" s="1244"/>
      <c r="AG125" s="319"/>
      <c r="AH125" s="319"/>
      <c r="AI125" s="319"/>
      <c r="AJ125" s="319"/>
      <c r="AK125" s="319"/>
      <c r="AL125" s="319"/>
      <c r="AM125" s="319"/>
      <c r="AN125" s="319"/>
      <c r="AO125" s="319"/>
      <c r="AP125" s="319"/>
      <c r="AQ125" s="319"/>
      <c r="AR125" s="319"/>
      <c r="AS125" s="319"/>
      <c r="AT125" s="319"/>
      <c r="AU125" s="319"/>
      <c r="AV125" s="319"/>
      <c r="AW125" s="319"/>
      <c r="AX125" s="319"/>
      <c r="AY125" s="319"/>
      <c r="AZ125" s="319"/>
      <c r="BA125" s="319"/>
      <c r="BB125" s="319"/>
      <c r="BC125" s="319"/>
      <c r="BD125" s="319"/>
      <c r="BE125" s="319"/>
      <c r="BF125" s="319"/>
      <c r="BG125" s="328"/>
      <c r="BH125" s="328"/>
      <c r="BI125" s="319"/>
      <c r="BJ125" s="319"/>
      <c r="BK125" s="328"/>
      <c r="BL125" s="328"/>
      <c r="BM125" s="319"/>
      <c r="BN125" s="319"/>
      <c r="BQ125" s="319"/>
    </row>
    <row r="126" spans="1:69" ht="12" customHeight="1">
      <c r="A126" s="327"/>
      <c r="B126" s="316"/>
      <c r="C126" s="317"/>
      <c r="D126" s="319"/>
      <c r="AB126" s="329"/>
      <c r="AC126" s="329"/>
      <c r="AD126" s="329"/>
      <c r="AE126" s="329"/>
      <c r="AF126" s="329"/>
      <c r="AG126" s="330"/>
      <c r="AH126" s="330"/>
      <c r="AI126" s="330"/>
      <c r="AJ126" s="330"/>
      <c r="AK126" s="330"/>
      <c r="AL126" s="330"/>
      <c r="AM126" s="330"/>
      <c r="AN126" s="330"/>
      <c r="AO126" s="330"/>
      <c r="AP126" s="330"/>
      <c r="AQ126" s="330"/>
      <c r="AR126" s="330"/>
      <c r="AS126" s="330"/>
      <c r="AT126" s="330"/>
      <c r="AU126" s="330"/>
      <c r="AV126" s="330"/>
      <c r="AW126" s="330"/>
      <c r="AX126" s="330"/>
      <c r="AY126" s="330"/>
      <c r="AZ126" s="330"/>
      <c r="BF126" s="1247"/>
      <c r="BG126" s="325"/>
      <c r="BH126" s="323"/>
      <c r="BJ126" s="1240"/>
      <c r="BK126" s="323"/>
      <c r="BL126" s="323"/>
      <c r="BO126" s="323"/>
      <c r="BP126" s="323"/>
    </row>
    <row r="127" spans="1:69" ht="12" customHeight="1">
      <c r="A127" s="1238"/>
      <c r="B127" s="1239"/>
      <c r="C127" s="1276"/>
      <c r="D127" s="319"/>
      <c r="AB127" s="448"/>
      <c r="AC127" s="448"/>
      <c r="AD127" s="448"/>
      <c r="AE127" s="448"/>
      <c r="AF127" s="448"/>
      <c r="AG127" s="449"/>
      <c r="AH127" s="449"/>
      <c r="AI127" s="449"/>
      <c r="AJ127" s="449"/>
      <c r="AK127" s="449"/>
      <c r="AL127" s="449"/>
      <c r="AM127" s="449"/>
      <c r="AN127" s="449"/>
      <c r="AO127" s="449"/>
      <c r="AP127" s="449"/>
      <c r="AQ127" s="449"/>
      <c r="AR127" s="449"/>
      <c r="AS127" s="449"/>
      <c r="AT127" s="449"/>
      <c r="AU127" s="449"/>
      <c r="AV127" s="449"/>
      <c r="AW127" s="449"/>
      <c r="AX127" s="449"/>
      <c r="AY127" s="449"/>
      <c r="AZ127" s="449"/>
      <c r="BF127" s="1247"/>
      <c r="BH127" s="450"/>
      <c r="BJ127" s="1240"/>
      <c r="BK127" s="450"/>
      <c r="BL127" s="450"/>
      <c r="BO127" s="450"/>
      <c r="BP127" s="450"/>
    </row>
    <row r="128" spans="1:69" ht="12" customHeight="1">
      <c r="A128" s="1277"/>
      <c r="B128" s="1278"/>
      <c r="C128" s="1279"/>
      <c r="D128" s="319"/>
      <c r="E128" s="1280"/>
      <c r="F128" s="1280"/>
      <c r="G128" s="1280"/>
      <c r="H128" s="1280"/>
      <c r="I128" s="1280"/>
      <c r="J128" s="1280"/>
      <c r="K128" s="1280"/>
      <c r="L128" s="1280"/>
      <c r="M128" s="1280"/>
      <c r="N128" s="1280"/>
      <c r="O128" s="1280"/>
      <c r="P128" s="1280"/>
      <c r="Q128" s="1280"/>
      <c r="R128" s="1280"/>
      <c r="S128" s="1280"/>
      <c r="T128" s="1280"/>
      <c r="U128" s="1280"/>
      <c r="AB128" s="448"/>
      <c r="AC128" s="448"/>
      <c r="AD128" s="448"/>
      <c r="AE128" s="448"/>
      <c r="AF128" s="448"/>
      <c r="AG128" s="449"/>
      <c r="AH128" s="449"/>
      <c r="AI128" s="449"/>
      <c r="AJ128" s="449"/>
      <c r="AK128" s="449"/>
      <c r="AL128" s="449"/>
      <c r="AM128" s="449"/>
      <c r="AN128" s="449"/>
      <c r="AO128" s="449"/>
      <c r="AP128" s="449"/>
      <c r="AQ128" s="449"/>
      <c r="AR128" s="449"/>
      <c r="AS128" s="449"/>
      <c r="AT128" s="449"/>
      <c r="AU128" s="449"/>
      <c r="AV128" s="449"/>
      <c r="AW128" s="449"/>
      <c r="AX128" s="449"/>
      <c r="AY128" s="449"/>
      <c r="AZ128" s="449"/>
      <c r="BF128" s="1247"/>
      <c r="BH128" s="450"/>
      <c r="BJ128" s="1240"/>
    </row>
    <row r="129" spans="1:68" ht="12" customHeight="1">
      <c r="A129" s="1277"/>
      <c r="B129" s="1278"/>
      <c r="C129" s="1279"/>
      <c r="D129" s="319"/>
      <c r="E129" s="1280"/>
      <c r="F129" s="1280"/>
      <c r="G129" s="1280"/>
      <c r="H129" s="1280"/>
      <c r="I129" s="1280"/>
      <c r="J129" s="1280"/>
      <c r="K129" s="1280"/>
      <c r="L129" s="1280"/>
      <c r="M129" s="1280"/>
      <c r="N129" s="1280"/>
      <c r="O129" s="1280"/>
      <c r="P129" s="1280"/>
      <c r="Q129" s="1280"/>
      <c r="R129" s="1280"/>
      <c r="S129" s="1280"/>
      <c r="T129" s="1280"/>
      <c r="U129" s="1280"/>
      <c r="AB129" s="448"/>
      <c r="AC129" s="448"/>
      <c r="AD129" s="448"/>
      <c r="AE129" s="448"/>
      <c r="AF129" s="448"/>
      <c r="AG129" s="449"/>
      <c r="AH129" s="449"/>
      <c r="AI129" s="449"/>
      <c r="AJ129" s="449"/>
      <c r="AK129" s="449"/>
      <c r="AL129" s="449"/>
      <c r="AM129" s="449"/>
      <c r="AN129" s="449"/>
      <c r="AO129" s="449"/>
      <c r="AP129" s="449"/>
      <c r="AQ129" s="449"/>
      <c r="AR129" s="449"/>
      <c r="AS129" s="449"/>
      <c r="AT129" s="449"/>
      <c r="AU129" s="449"/>
      <c r="AV129" s="449"/>
      <c r="AW129" s="449"/>
      <c r="AX129" s="449"/>
      <c r="AY129" s="449"/>
      <c r="AZ129" s="449"/>
      <c r="BF129" s="1247"/>
      <c r="BH129" s="450"/>
      <c r="BJ129" s="1240"/>
    </row>
    <row r="130" spans="1:68" ht="12" customHeight="1">
      <c r="A130" s="1241"/>
      <c r="B130" s="1245"/>
      <c r="D130" s="319"/>
      <c r="E130" s="1248"/>
      <c r="F130" s="1248"/>
      <c r="G130" s="1248"/>
      <c r="H130" s="1248"/>
      <c r="I130" s="1248"/>
      <c r="J130" s="1248"/>
      <c r="K130" s="1248"/>
      <c r="L130" s="1248"/>
      <c r="M130" s="1248"/>
      <c r="N130" s="1248"/>
      <c r="O130" s="1248"/>
      <c r="P130" s="1248"/>
      <c r="Q130" s="1248"/>
      <c r="R130" s="1248"/>
      <c r="S130" s="1248"/>
      <c r="T130" s="1248"/>
      <c r="U130" s="1248"/>
      <c r="AB130" s="448"/>
      <c r="AC130" s="448"/>
      <c r="AD130" s="448"/>
      <c r="AE130" s="448"/>
      <c r="AF130" s="448"/>
      <c r="AG130" s="449"/>
      <c r="AH130" s="449"/>
      <c r="AI130" s="449"/>
      <c r="AJ130" s="449"/>
      <c r="AK130" s="449"/>
      <c r="AL130" s="449"/>
      <c r="AM130" s="449"/>
      <c r="AN130" s="449"/>
      <c r="AO130" s="449"/>
      <c r="AP130" s="449"/>
      <c r="AQ130" s="449"/>
      <c r="AR130" s="449"/>
      <c r="AS130" s="449"/>
      <c r="AT130" s="449"/>
      <c r="AU130" s="449"/>
      <c r="AV130" s="449"/>
      <c r="AW130" s="449"/>
      <c r="AX130" s="449"/>
      <c r="AY130" s="449"/>
      <c r="AZ130" s="449"/>
      <c r="BF130" s="1247"/>
      <c r="BH130" s="450"/>
      <c r="BJ130" s="1240"/>
    </row>
    <row r="131" spans="1:68" ht="12" customHeight="1">
      <c r="A131" s="1281"/>
      <c r="B131" s="317"/>
      <c r="D131" s="319"/>
      <c r="E131" s="1282"/>
      <c r="F131" s="1282"/>
      <c r="G131" s="1282"/>
      <c r="H131" s="1282"/>
      <c r="I131" s="1282"/>
      <c r="J131" s="1282"/>
      <c r="K131" s="1282"/>
      <c r="L131" s="1282"/>
      <c r="M131" s="1282"/>
      <c r="N131" s="1282"/>
      <c r="O131" s="1282"/>
      <c r="P131" s="1282"/>
      <c r="Q131" s="1282"/>
      <c r="R131" s="1282"/>
      <c r="S131" s="1282"/>
      <c r="T131" s="1282"/>
      <c r="U131" s="1282"/>
      <c r="AB131" s="448"/>
      <c r="AC131" s="448"/>
      <c r="AD131" s="448"/>
      <c r="AE131" s="448"/>
      <c r="AF131" s="448"/>
      <c r="AG131" s="449"/>
      <c r="AH131" s="449"/>
      <c r="AI131" s="449"/>
      <c r="AJ131" s="449"/>
      <c r="AK131" s="449"/>
      <c r="AL131" s="449"/>
      <c r="AM131" s="449"/>
      <c r="AN131" s="449"/>
      <c r="AO131" s="449"/>
      <c r="AP131" s="449"/>
      <c r="AQ131" s="449"/>
      <c r="AR131" s="449"/>
      <c r="AS131" s="449"/>
      <c r="AT131" s="449"/>
      <c r="AU131" s="449"/>
      <c r="AV131" s="449"/>
      <c r="AW131" s="449"/>
      <c r="AX131" s="449"/>
      <c r="AY131" s="449"/>
      <c r="AZ131" s="449"/>
      <c r="BF131" s="1247"/>
      <c r="BH131" s="450"/>
      <c r="BJ131" s="1240"/>
      <c r="BK131" s="450"/>
      <c r="BL131" s="450"/>
      <c r="BO131" s="450"/>
      <c r="BP131" s="450"/>
    </row>
    <row r="132" spans="1:68" ht="12" customHeight="1">
      <c r="A132" s="1281"/>
      <c r="B132" s="317"/>
      <c r="C132" s="317"/>
      <c r="D132" s="319"/>
      <c r="AB132" s="448"/>
      <c r="AC132" s="448"/>
      <c r="AD132" s="448"/>
      <c r="AE132" s="448"/>
      <c r="AF132" s="448"/>
      <c r="AG132" s="449"/>
      <c r="AH132" s="449"/>
      <c r="AI132" s="449"/>
      <c r="AJ132" s="449"/>
      <c r="AK132" s="449"/>
      <c r="AL132" s="449"/>
      <c r="AM132" s="449"/>
      <c r="AN132" s="449"/>
      <c r="AO132" s="449"/>
      <c r="AP132" s="449"/>
      <c r="AQ132" s="449"/>
      <c r="AR132" s="449"/>
      <c r="AS132" s="449"/>
      <c r="AT132" s="449"/>
      <c r="AU132" s="449"/>
      <c r="AV132" s="449"/>
      <c r="AW132" s="449"/>
      <c r="AX132" s="449"/>
      <c r="AY132" s="449"/>
      <c r="AZ132" s="449"/>
      <c r="BF132" s="1247"/>
      <c r="BH132" s="450"/>
      <c r="BJ132" s="1240"/>
    </row>
    <row r="133" spans="1:68" ht="12" customHeight="1">
      <c r="A133" s="1281"/>
      <c r="B133" s="317"/>
      <c r="C133" s="317"/>
      <c r="D133" s="319"/>
      <c r="AB133" s="448"/>
      <c r="AC133" s="448"/>
      <c r="AD133" s="448"/>
      <c r="AE133" s="448"/>
      <c r="AF133" s="448"/>
      <c r="AG133" s="449"/>
      <c r="AH133" s="449"/>
      <c r="AI133" s="449"/>
      <c r="AJ133" s="449"/>
      <c r="AK133" s="449"/>
      <c r="AL133" s="449"/>
      <c r="AM133" s="449"/>
      <c r="AN133" s="449"/>
      <c r="AO133" s="449"/>
      <c r="AP133" s="449"/>
      <c r="AQ133" s="449"/>
      <c r="AR133" s="449"/>
      <c r="AS133" s="449"/>
      <c r="AT133" s="449"/>
      <c r="AU133" s="449"/>
      <c r="AV133" s="449"/>
      <c r="AW133" s="449"/>
      <c r="AX133" s="449"/>
      <c r="AY133" s="449"/>
      <c r="AZ133" s="449"/>
      <c r="BF133" s="1247"/>
      <c r="BH133" s="450"/>
      <c r="BJ133" s="1240"/>
    </row>
    <row r="134" spans="1:68" ht="12" customHeight="1">
      <c r="A134" s="1281"/>
      <c r="B134" s="317"/>
      <c r="C134" s="317"/>
      <c r="D134" s="319"/>
      <c r="AB134" s="448"/>
      <c r="AC134" s="448"/>
      <c r="AD134" s="448"/>
      <c r="AE134" s="448"/>
      <c r="AF134" s="448"/>
      <c r="AG134" s="449"/>
      <c r="AH134" s="449"/>
      <c r="AI134" s="449"/>
      <c r="AJ134" s="449"/>
      <c r="AK134" s="449"/>
      <c r="AL134" s="449"/>
      <c r="AM134" s="449"/>
      <c r="AN134" s="449"/>
      <c r="AO134" s="449"/>
      <c r="AP134" s="449"/>
      <c r="AQ134" s="449"/>
      <c r="AR134" s="449"/>
      <c r="AS134" s="449"/>
      <c r="AT134" s="449"/>
      <c r="AU134" s="449"/>
      <c r="AV134" s="449"/>
      <c r="AW134" s="449"/>
      <c r="AX134" s="449"/>
      <c r="AY134" s="449"/>
      <c r="AZ134" s="449"/>
      <c r="BF134" s="1247"/>
      <c r="BH134" s="450"/>
      <c r="BJ134" s="1240"/>
    </row>
    <row r="135" spans="1:68" ht="12" customHeight="1">
      <c r="A135" s="1281"/>
      <c r="B135" s="317"/>
      <c r="C135" s="317"/>
      <c r="D135" s="319"/>
      <c r="AB135" s="448"/>
      <c r="AC135" s="448"/>
      <c r="AD135" s="448"/>
      <c r="AE135" s="448"/>
      <c r="AF135" s="448"/>
      <c r="AG135" s="449"/>
      <c r="AH135" s="449"/>
      <c r="AI135" s="449"/>
      <c r="AJ135" s="449"/>
      <c r="AK135" s="449"/>
      <c r="AL135" s="449"/>
      <c r="AM135" s="449"/>
      <c r="AN135" s="449"/>
      <c r="AO135" s="449"/>
      <c r="AP135" s="449"/>
      <c r="AQ135" s="449"/>
      <c r="AR135" s="449"/>
      <c r="AS135" s="449"/>
      <c r="AT135" s="449"/>
      <c r="AU135" s="449"/>
      <c r="AV135" s="449"/>
      <c r="AW135" s="449"/>
      <c r="AX135" s="449"/>
      <c r="AY135" s="449"/>
      <c r="AZ135" s="449"/>
      <c r="BF135" s="1247"/>
      <c r="BH135" s="450"/>
      <c r="BJ135" s="1240"/>
    </row>
    <row r="136" spans="1:68" ht="12" customHeight="1">
      <c r="A136" s="1281"/>
      <c r="B136" s="317"/>
      <c r="C136" s="317"/>
      <c r="D136" s="319"/>
      <c r="AB136" s="448"/>
      <c r="AC136" s="448"/>
      <c r="AD136" s="448"/>
      <c r="AE136" s="448"/>
      <c r="AF136" s="448"/>
      <c r="AG136" s="449"/>
      <c r="AH136" s="449"/>
      <c r="AI136" s="449"/>
      <c r="AJ136" s="449"/>
      <c r="AK136" s="449"/>
      <c r="AL136" s="449"/>
      <c r="AM136" s="449"/>
      <c r="AN136" s="449"/>
      <c r="AO136" s="449"/>
      <c r="AP136" s="449"/>
      <c r="AQ136" s="449"/>
      <c r="AR136" s="449"/>
      <c r="AS136" s="449"/>
      <c r="AT136" s="449"/>
      <c r="AU136" s="449"/>
      <c r="AV136" s="449"/>
      <c r="AW136" s="449"/>
      <c r="AX136" s="449"/>
      <c r="AY136" s="449"/>
      <c r="AZ136" s="449"/>
      <c r="BF136" s="1247"/>
      <c r="BH136" s="450"/>
      <c r="BJ136" s="1240"/>
    </row>
    <row r="137" spans="1:68" ht="12" customHeight="1">
      <c r="A137" s="1281"/>
      <c r="B137" s="317"/>
      <c r="C137" s="317"/>
      <c r="D137" s="319"/>
      <c r="AB137" s="448"/>
      <c r="AC137" s="448"/>
      <c r="AD137" s="448"/>
      <c r="AE137" s="448"/>
      <c r="AF137" s="448"/>
      <c r="AG137" s="449"/>
      <c r="AH137" s="449"/>
      <c r="AI137" s="449"/>
      <c r="AJ137" s="449"/>
      <c r="AK137" s="449"/>
      <c r="AL137" s="449"/>
      <c r="AM137" s="449"/>
      <c r="AN137" s="449"/>
      <c r="AO137" s="449"/>
      <c r="AP137" s="449"/>
      <c r="AQ137" s="449"/>
      <c r="AR137" s="449"/>
      <c r="AS137" s="449"/>
      <c r="AT137" s="449"/>
      <c r="AU137" s="449"/>
      <c r="AV137" s="449"/>
      <c r="AW137" s="449"/>
      <c r="AX137" s="449"/>
      <c r="AY137" s="449"/>
      <c r="AZ137" s="449"/>
      <c r="BF137" s="1247"/>
      <c r="BH137" s="450"/>
      <c r="BJ137" s="1240"/>
    </row>
    <row r="138" spans="1:68" ht="12" customHeight="1">
      <c r="A138" s="1281"/>
      <c r="B138" s="317"/>
      <c r="C138" s="317"/>
      <c r="D138" s="319"/>
      <c r="AB138" s="448"/>
      <c r="AC138" s="448"/>
      <c r="AD138" s="448"/>
      <c r="AE138" s="448"/>
      <c r="AF138" s="448"/>
      <c r="AG138" s="449"/>
      <c r="AH138" s="449"/>
      <c r="AI138" s="449"/>
      <c r="AJ138" s="449"/>
      <c r="AK138" s="449"/>
      <c r="AL138" s="449"/>
      <c r="AM138" s="449"/>
      <c r="AN138" s="449"/>
      <c r="AO138" s="449"/>
      <c r="AP138" s="449"/>
      <c r="AQ138" s="449"/>
      <c r="AR138" s="449"/>
      <c r="AS138" s="449"/>
      <c r="AT138" s="449"/>
      <c r="AU138" s="449"/>
      <c r="AV138" s="449"/>
      <c r="AW138" s="449"/>
      <c r="AX138" s="449"/>
      <c r="AY138" s="449"/>
      <c r="AZ138" s="449"/>
      <c r="BF138" s="1247"/>
      <c r="BH138" s="450"/>
      <c r="BJ138" s="1240"/>
    </row>
    <row r="139" spans="1:68" ht="12" customHeight="1">
      <c r="A139" s="1281"/>
      <c r="B139" s="317"/>
      <c r="C139" s="317"/>
      <c r="D139" s="319"/>
      <c r="AB139" s="448"/>
      <c r="AC139" s="448"/>
      <c r="AD139" s="448"/>
      <c r="AE139" s="448"/>
      <c r="AF139" s="448"/>
      <c r="AG139" s="449"/>
      <c r="AH139" s="449"/>
      <c r="AI139" s="449"/>
      <c r="AJ139" s="449"/>
      <c r="AK139" s="449"/>
      <c r="AL139" s="449"/>
      <c r="AM139" s="449"/>
      <c r="AN139" s="449"/>
      <c r="AO139" s="449"/>
      <c r="AP139" s="449"/>
      <c r="AQ139" s="449"/>
      <c r="AR139" s="449"/>
      <c r="AS139" s="449"/>
      <c r="AT139" s="449"/>
      <c r="AU139" s="449"/>
      <c r="AV139" s="449"/>
      <c r="AW139" s="449"/>
      <c r="AX139" s="449"/>
      <c r="AY139" s="449"/>
      <c r="AZ139" s="449"/>
      <c r="BF139" s="1247"/>
      <c r="BH139" s="450"/>
      <c r="BJ139" s="1240"/>
    </row>
    <row r="140" spans="1:68" ht="12" customHeight="1">
      <c r="A140" s="1281"/>
      <c r="B140" s="317"/>
      <c r="C140" s="317"/>
      <c r="D140" s="319"/>
      <c r="AB140" s="448"/>
      <c r="AC140" s="448"/>
      <c r="AD140" s="448"/>
      <c r="AE140" s="448"/>
      <c r="AF140" s="448"/>
      <c r="AG140" s="449"/>
      <c r="AH140" s="449"/>
      <c r="AI140" s="449"/>
      <c r="AJ140" s="449"/>
      <c r="AK140" s="449"/>
      <c r="AL140" s="449"/>
      <c r="AM140" s="449"/>
      <c r="AN140" s="449"/>
      <c r="AO140" s="449"/>
      <c r="AP140" s="449"/>
      <c r="AQ140" s="449"/>
      <c r="AR140" s="449"/>
      <c r="AS140" s="449"/>
      <c r="AT140" s="449"/>
      <c r="AU140" s="449"/>
      <c r="AV140" s="449"/>
      <c r="AW140" s="449"/>
      <c r="AX140" s="449"/>
      <c r="AY140" s="449"/>
      <c r="AZ140" s="449"/>
      <c r="BF140" s="1247"/>
      <c r="BH140" s="450"/>
      <c r="BJ140" s="1240"/>
    </row>
    <row r="141" spans="1:68" ht="12" customHeight="1">
      <c r="A141" s="1281"/>
      <c r="B141" s="317"/>
      <c r="C141" s="317"/>
      <c r="D141" s="319"/>
      <c r="AB141" s="448"/>
      <c r="AC141" s="448"/>
      <c r="AD141" s="448"/>
      <c r="AE141" s="448"/>
      <c r="AF141" s="448"/>
      <c r="AG141" s="449"/>
      <c r="AH141" s="449"/>
      <c r="AI141" s="449"/>
      <c r="AJ141" s="449"/>
      <c r="AK141" s="449"/>
      <c r="AL141" s="449"/>
      <c r="AM141" s="449"/>
      <c r="AN141" s="449"/>
      <c r="AO141" s="449"/>
      <c r="AP141" s="449"/>
      <c r="AQ141" s="449"/>
      <c r="AR141" s="449"/>
      <c r="AS141" s="449"/>
      <c r="AT141" s="449"/>
      <c r="AU141" s="449"/>
      <c r="AV141" s="449"/>
      <c r="AW141" s="449"/>
      <c r="AX141" s="449"/>
      <c r="AY141" s="449"/>
      <c r="AZ141" s="449"/>
      <c r="BF141" s="1247"/>
      <c r="BH141" s="450"/>
      <c r="BJ141" s="1240"/>
    </row>
    <row r="142" spans="1:68" ht="12" customHeight="1">
      <c r="A142" s="1281"/>
      <c r="B142" s="317"/>
      <c r="C142" s="317"/>
      <c r="D142" s="319"/>
      <c r="AB142" s="448"/>
      <c r="AC142" s="448"/>
      <c r="AD142" s="448"/>
      <c r="AE142" s="448"/>
      <c r="AF142" s="448"/>
      <c r="AG142" s="449"/>
      <c r="AH142" s="449"/>
      <c r="AI142" s="449"/>
      <c r="AJ142" s="449"/>
      <c r="AK142" s="449"/>
      <c r="AL142" s="449"/>
      <c r="AM142" s="449"/>
      <c r="AN142" s="449"/>
      <c r="AO142" s="449"/>
      <c r="AP142" s="449"/>
      <c r="AQ142" s="449"/>
      <c r="AR142" s="449"/>
      <c r="AS142" s="449"/>
      <c r="AT142" s="449"/>
      <c r="AU142" s="449"/>
      <c r="AV142" s="449"/>
      <c r="AW142" s="449"/>
      <c r="AX142" s="449"/>
      <c r="AY142" s="449"/>
      <c r="AZ142" s="449"/>
      <c r="BF142" s="1247"/>
      <c r="BH142" s="450"/>
      <c r="BJ142" s="1240"/>
    </row>
    <row r="143" spans="1:68" ht="12" customHeight="1">
      <c r="A143" s="1281"/>
      <c r="B143" s="317"/>
      <c r="C143" s="317"/>
      <c r="D143" s="319"/>
      <c r="AB143" s="448"/>
      <c r="AC143" s="448"/>
      <c r="AD143" s="448"/>
      <c r="AE143" s="448"/>
      <c r="AF143" s="448"/>
      <c r="AG143" s="449"/>
      <c r="AH143" s="449"/>
      <c r="AI143" s="449"/>
      <c r="AJ143" s="449"/>
      <c r="AK143" s="449"/>
      <c r="AL143" s="449"/>
      <c r="AM143" s="449"/>
      <c r="AN143" s="449"/>
      <c r="AO143" s="449"/>
      <c r="AP143" s="449"/>
      <c r="AQ143" s="449"/>
      <c r="AR143" s="449"/>
      <c r="AS143" s="449"/>
      <c r="AT143" s="449"/>
      <c r="AU143" s="449"/>
      <c r="AV143" s="449"/>
      <c r="AW143" s="449"/>
      <c r="AX143" s="449"/>
      <c r="AY143" s="449"/>
      <c r="AZ143" s="449"/>
      <c r="BF143" s="1247"/>
      <c r="BH143" s="450"/>
      <c r="BJ143" s="1240"/>
    </row>
    <row r="144" spans="1:68" ht="12" customHeight="1">
      <c r="A144" s="1281"/>
      <c r="B144" s="317"/>
      <c r="C144" s="317"/>
      <c r="D144" s="319"/>
      <c r="AB144" s="448"/>
      <c r="AC144" s="448"/>
      <c r="AD144" s="448"/>
      <c r="AE144" s="448"/>
      <c r="AF144" s="448"/>
      <c r="AG144" s="449"/>
      <c r="AH144" s="449"/>
      <c r="AI144" s="449"/>
      <c r="AJ144" s="449"/>
      <c r="AK144" s="449"/>
      <c r="AL144" s="449"/>
      <c r="AM144" s="449"/>
      <c r="AN144" s="449"/>
      <c r="AO144" s="449"/>
      <c r="AP144" s="449"/>
      <c r="AQ144" s="449"/>
      <c r="AR144" s="449"/>
      <c r="AS144" s="449"/>
      <c r="AT144" s="449"/>
      <c r="AU144" s="449"/>
      <c r="AV144" s="449"/>
      <c r="AW144" s="449"/>
      <c r="AX144" s="449"/>
      <c r="AY144" s="449"/>
      <c r="AZ144" s="449"/>
      <c r="BH144" s="450"/>
      <c r="BJ144" s="1240"/>
    </row>
    <row r="145" spans="1:68" ht="12" customHeight="1">
      <c r="A145" s="1281"/>
      <c r="B145" s="317"/>
      <c r="C145" s="317"/>
      <c r="D145" s="319"/>
      <c r="AB145" s="448"/>
      <c r="AC145" s="448"/>
      <c r="AD145" s="448"/>
      <c r="AE145" s="448"/>
      <c r="AF145" s="448"/>
      <c r="AG145" s="449"/>
      <c r="AH145" s="449"/>
      <c r="AI145" s="449"/>
      <c r="AJ145" s="449"/>
      <c r="AK145" s="449"/>
      <c r="AL145" s="449"/>
      <c r="AM145" s="449"/>
      <c r="AN145" s="449"/>
      <c r="AO145" s="449"/>
      <c r="AP145" s="449"/>
      <c r="AQ145" s="449"/>
      <c r="AR145" s="449"/>
      <c r="AS145" s="449"/>
      <c r="AT145" s="449"/>
      <c r="AU145" s="449"/>
      <c r="AV145" s="449"/>
      <c r="AW145" s="449"/>
      <c r="AX145" s="449"/>
      <c r="AY145" s="449"/>
      <c r="AZ145" s="449"/>
      <c r="BF145" s="1247"/>
      <c r="BH145" s="450"/>
      <c r="BJ145" s="1240"/>
    </row>
    <row r="146" spans="1:68" ht="12" customHeight="1">
      <c r="A146" s="1281"/>
      <c r="B146" s="317"/>
      <c r="C146" s="317"/>
      <c r="D146" s="319"/>
      <c r="AB146" s="448"/>
      <c r="AC146" s="448"/>
      <c r="AD146" s="448"/>
      <c r="AE146" s="448"/>
      <c r="AF146" s="448"/>
      <c r="AG146" s="449"/>
      <c r="AH146" s="449"/>
      <c r="AI146" s="449"/>
      <c r="AJ146" s="449"/>
      <c r="AK146" s="449"/>
      <c r="AL146" s="449"/>
      <c r="AM146" s="449"/>
      <c r="AN146" s="449"/>
      <c r="AO146" s="449"/>
      <c r="AP146" s="449"/>
      <c r="AQ146" s="449"/>
      <c r="AR146" s="449"/>
      <c r="AS146" s="449"/>
      <c r="AT146" s="449"/>
      <c r="AU146" s="449"/>
      <c r="AV146" s="449"/>
      <c r="AW146" s="449"/>
      <c r="AX146" s="449"/>
      <c r="AY146" s="449"/>
      <c r="AZ146" s="449"/>
      <c r="BF146" s="1247"/>
      <c r="BH146" s="450"/>
      <c r="BJ146" s="1240"/>
    </row>
    <row r="147" spans="1:68" ht="12" customHeight="1">
      <c r="A147" s="1281"/>
      <c r="B147" s="317"/>
      <c r="C147" s="317"/>
      <c r="D147" s="319"/>
      <c r="AB147" s="448"/>
      <c r="AC147" s="448"/>
      <c r="AD147" s="448"/>
      <c r="AE147" s="448"/>
      <c r="AF147" s="448"/>
      <c r="AG147" s="449"/>
      <c r="AH147" s="449"/>
      <c r="AI147" s="449"/>
      <c r="AJ147" s="449"/>
      <c r="AK147" s="449"/>
      <c r="AL147" s="449"/>
      <c r="AM147" s="449"/>
      <c r="AN147" s="449"/>
      <c r="AO147" s="449"/>
      <c r="AP147" s="449"/>
      <c r="AQ147" s="449"/>
      <c r="AR147" s="449"/>
      <c r="AS147" s="449"/>
      <c r="AT147" s="449"/>
      <c r="AU147" s="449"/>
      <c r="AV147" s="449"/>
      <c r="AW147" s="449"/>
      <c r="AX147" s="449"/>
      <c r="AY147" s="449"/>
      <c r="AZ147" s="449"/>
      <c r="BF147" s="1247"/>
      <c r="BH147" s="450"/>
      <c r="BJ147" s="1240"/>
    </row>
    <row r="148" spans="1:68" ht="12" customHeight="1">
      <c r="A148" s="1281"/>
      <c r="B148" s="317"/>
      <c r="C148" s="317"/>
      <c r="D148" s="319"/>
      <c r="AB148" s="448"/>
      <c r="AC148" s="448"/>
      <c r="AD148" s="448"/>
      <c r="AE148" s="448"/>
      <c r="AF148" s="448"/>
      <c r="AG148" s="449"/>
      <c r="AH148" s="449"/>
      <c r="AI148" s="449"/>
      <c r="AJ148" s="449"/>
      <c r="AK148" s="449"/>
      <c r="AL148" s="449"/>
      <c r="AM148" s="449"/>
      <c r="AN148" s="449"/>
      <c r="AO148" s="449"/>
      <c r="AP148" s="449"/>
      <c r="AQ148" s="449"/>
      <c r="AR148" s="449"/>
      <c r="AS148" s="449"/>
      <c r="AT148" s="449"/>
      <c r="AU148" s="449"/>
      <c r="AV148" s="449"/>
      <c r="AW148" s="449"/>
      <c r="AX148" s="449"/>
      <c r="AY148" s="449"/>
      <c r="AZ148" s="449"/>
      <c r="BF148" s="1247"/>
      <c r="BH148" s="450"/>
      <c r="BJ148" s="1240"/>
    </row>
    <row r="149" spans="1:68" ht="12" customHeight="1">
      <c r="A149" s="327"/>
      <c r="B149" s="317"/>
      <c r="C149" s="316"/>
      <c r="D149" s="319"/>
      <c r="AB149" s="448"/>
      <c r="AC149" s="448"/>
      <c r="AD149" s="448"/>
      <c r="AE149" s="448"/>
      <c r="AF149" s="448"/>
      <c r="AG149" s="449"/>
      <c r="AH149" s="449"/>
      <c r="AI149" s="449"/>
      <c r="AJ149" s="449"/>
      <c r="AK149" s="449"/>
      <c r="AL149" s="449"/>
      <c r="AM149" s="449"/>
      <c r="AN149" s="449"/>
      <c r="AO149" s="449"/>
      <c r="AP149" s="449"/>
      <c r="AQ149" s="449"/>
      <c r="AR149" s="449"/>
      <c r="AS149" s="449"/>
      <c r="AT149" s="449"/>
      <c r="AU149" s="449"/>
      <c r="AV149" s="449"/>
      <c r="AW149" s="449"/>
      <c r="AX149" s="449"/>
      <c r="AY149" s="449"/>
      <c r="AZ149" s="449"/>
      <c r="BF149" s="1247"/>
      <c r="BH149" s="450"/>
      <c r="BJ149" s="1240"/>
      <c r="BK149" s="450"/>
      <c r="BL149" s="450"/>
      <c r="BO149" s="450"/>
      <c r="BP149" s="450"/>
    </row>
    <row r="150" spans="1:68" ht="12" customHeight="1">
      <c r="A150" s="1281"/>
      <c r="B150" s="317"/>
      <c r="C150" s="317"/>
      <c r="D150" s="319"/>
      <c r="AB150" s="448"/>
      <c r="AC150" s="448"/>
      <c r="AD150" s="448"/>
      <c r="AE150" s="448"/>
      <c r="AF150" s="448"/>
      <c r="AG150" s="449"/>
      <c r="AH150" s="449"/>
      <c r="AI150" s="449"/>
      <c r="AJ150" s="449"/>
      <c r="AK150" s="449"/>
      <c r="AL150" s="449"/>
      <c r="AM150" s="449"/>
      <c r="AN150" s="449"/>
      <c r="AO150" s="449"/>
      <c r="AP150" s="449"/>
      <c r="AQ150" s="449"/>
      <c r="AR150" s="449"/>
      <c r="AS150" s="449"/>
      <c r="AT150" s="449"/>
      <c r="AU150" s="449"/>
      <c r="AV150" s="449"/>
      <c r="AW150" s="449"/>
      <c r="AX150" s="449"/>
      <c r="AY150" s="449"/>
      <c r="AZ150" s="449"/>
      <c r="BF150" s="1247"/>
      <c r="BH150" s="450"/>
      <c r="BJ150" s="1240"/>
    </row>
    <row r="151" spans="1:68" ht="12" customHeight="1">
      <c r="A151" s="1281"/>
      <c r="B151" s="317"/>
      <c r="C151" s="317"/>
      <c r="D151" s="319"/>
      <c r="AB151" s="448"/>
      <c r="AC151" s="448"/>
      <c r="AD151" s="448"/>
      <c r="AE151" s="448"/>
      <c r="AF151" s="448"/>
      <c r="AG151" s="449"/>
      <c r="AH151" s="449"/>
      <c r="AI151" s="449"/>
      <c r="AJ151" s="449"/>
      <c r="AK151" s="449"/>
      <c r="AL151" s="449"/>
      <c r="AM151" s="449"/>
      <c r="AN151" s="449"/>
      <c r="AO151" s="449"/>
      <c r="AP151" s="449"/>
      <c r="AQ151" s="449"/>
      <c r="AR151" s="449"/>
      <c r="AS151" s="449"/>
      <c r="AT151" s="449"/>
      <c r="AU151" s="449"/>
      <c r="AV151" s="449"/>
      <c r="AW151" s="449"/>
      <c r="AX151" s="449"/>
      <c r="AY151" s="449"/>
      <c r="AZ151" s="449"/>
      <c r="BF151" s="1247"/>
      <c r="BH151" s="450"/>
      <c r="BJ151" s="1240"/>
    </row>
    <row r="152" spans="1:68" ht="12" customHeight="1">
      <c r="A152" s="1238"/>
      <c r="B152" s="1283"/>
      <c r="C152" s="1284"/>
      <c r="D152" s="319"/>
      <c r="E152" s="1283"/>
      <c r="F152" s="1283"/>
      <c r="G152" s="1283"/>
      <c r="H152" s="1283"/>
      <c r="I152" s="1283"/>
      <c r="J152" s="1283"/>
      <c r="K152" s="1283"/>
      <c r="L152" s="1283"/>
      <c r="M152" s="1283"/>
      <c r="N152" s="1283"/>
      <c r="O152" s="1283"/>
      <c r="P152" s="1283"/>
      <c r="Q152" s="1283"/>
      <c r="R152" s="1283"/>
      <c r="S152" s="1283"/>
      <c r="T152" s="1283"/>
      <c r="U152" s="1283"/>
      <c r="AB152" s="448"/>
      <c r="AC152" s="448"/>
      <c r="AD152" s="448"/>
      <c r="AE152" s="448"/>
      <c r="AF152" s="448"/>
      <c r="AG152" s="449"/>
      <c r="AH152" s="449"/>
      <c r="AI152" s="449"/>
      <c r="AJ152" s="449"/>
      <c r="AK152" s="449"/>
      <c r="AL152" s="449"/>
      <c r="AM152" s="449"/>
      <c r="AN152" s="449"/>
      <c r="AO152" s="449"/>
      <c r="AP152" s="449"/>
      <c r="AQ152" s="449"/>
      <c r="AR152" s="449"/>
      <c r="AS152" s="449"/>
      <c r="AT152" s="449"/>
      <c r="AU152" s="449"/>
      <c r="AV152" s="449"/>
      <c r="AW152" s="449"/>
      <c r="AX152" s="449"/>
      <c r="AY152" s="449"/>
      <c r="AZ152" s="449"/>
      <c r="BF152" s="1247"/>
      <c r="BH152" s="450"/>
      <c r="BJ152" s="1240"/>
    </row>
    <row r="153" spans="1:68" ht="12" customHeight="1">
      <c r="A153" s="1238"/>
      <c r="B153" s="1239"/>
      <c r="C153" s="1276"/>
      <c r="D153" s="319"/>
      <c r="AB153" s="448"/>
      <c r="AC153" s="448"/>
      <c r="AD153" s="448"/>
      <c r="AE153" s="448"/>
      <c r="AF153" s="448"/>
      <c r="AG153" s="449"/>
      <c r="AH153" s="449"/>
      <c r="AI153" s="449"/>
      <c r="AJ153" s="449"/>
      <c r="AK153" s="449"/>
      <c r="AL153" s="449"/>
      <c r="AM153" s="449"/>
      <c r="AN153" s="449"/>
      <c r="AO153" s="449"/>
      <c r="AP153" s="449"/>
      <c r="AQ153" s="449"/>
      <c r="AR153" s="449"/>
      <c r="AS153" s="449"/>
      <c r="AT153" s="449"/>
      <c r="AU153" s="449"/>
      <c r="AV153" s="449"/>
      <c r="AW153" s="449"/>
      <c r="AX153" s="449"/>
      <c r="AY153" s="449"/>
      <c r="AZ153" s="449"/>
      <c r="BF153" s="1247"/>
      <c r="BH153" s="450"/>
      <c r="BJ153" s="1240"/>
    </row>
    <row r="154" spans="1:68" ht="12" customHeight="1">
      <c r="A154" s="327"/>
      <c r="B154" s="317"/>
      <c r="C154" s="316"/>
      <c r="D154" s="319"/>
      <c r="AB154" s="448"/>
      <c r="AC154" s="448"/>
      <c r="AD154" s="448"/>
      <c r="AE154" s="448"/>
      <c r="AF154" s="448"/>
      <c r="AG154" s="449"/>
      <c r="AH154" s="449"/>
      <c r="AI154" s="449"/>
      <c r="AJ154" s="449"/>
      <c r="AK154" s="449"/>
      <c r="AL154" s="449"/>
      <c r="AM154" s="449"/>
      <c r="AN154" s="449"/>
      <c r="AO154" s="449"/>
      <c r="AP154" s="449"/>
      <c r="AQ154" s="449"/>
      <c r="AR154" s="449"/>
      <c r="AS154" s="449"/>
      <c r="AT154" s="449"/>
      <c r="AU154" s="449"/>
      <c r="AV154" s="449"/>
      <c r="AW154" s="449"/>
      <c r="AX154" s="449"/>
      <c r="AY154" s="449"/>
      <c r="AZ154" s="449"/>
      <c r="BF154" s="1247"/>
      <c r="BH154" s="450"/>
      <c r="BJ154" s="1240"/>
    </row>
    <row r="155" spans="1:68" ht="12" customHeight="1">
      <c r="A155" s="327"/>
      <c r="B155" s="317"/>
      <c r="C155" s="316"/>
      <c r="D155" s="319"/>
      <c r="AB155" s="329"/>
      <c r="AC155" s="329"/>
      <c r="AD155" s="329"/>
      <c r="AE155" s="329"/>
      <c r="AF155" s="329"/>
      <c r="AG155" s="330"/>
      <c r="AH155" s="330"/>
      <c r="AI155" s="330"/>
      <c r="AJ155" s="330"/>
      <c r="AK155" s="330"/>
      <c r="AL155" s="330"/>
      <c r="AM155" s="330"/>
      <c r="AN155" s="330"/>
      <c r="AO155" s="330"/>
      <c r="AP155" s="330"/>
      <c r="AQ155" s="330"/>
      <c r="AR155" s="330"/>
      <c r="AS155" s="330"/>
      <c r="AT155" s="330"/>
      <c r="AU155" s="330"/>
      <c r="AV155" s="330"/>
      <c r="AW155" s="330"/>
      <c r="AX155" s="330"/>
      <c r="AY155" s="330"/>
      <c r="AZ155" s="330"/>
      <c r="BG155" s="323"/>
      <c r="BH155" s="323"/>
      <c r="BJ155" s="1339"/>
      <c r="BK155" s="323"/>
      <c r="BL155" s="323"/>
      <c r="BO155" s="323"/>
      <c r="BP155" s="323"/>
    </row>
    <row r="156" spans="1:68" ht="12" customHeight="1">
      <c r="A156" s="327"/>
      <c r="B156" s="1285"/>
      <c r="C156" s="1285"/>
      <c r="D156" s="319"/>
      <c r="AB156" s="329"/>
      <c r="AC156" s="329"/>
      <c r="AD156" s="329"/>
      <c r="AE156" s="329"/>
      <c r="AF156" s="329"/>
      <c r="AG156" s="330"/>
      <c r="AH156" s="330"/>
      <c r="AI156" s="330"/>
      <c r="AJ156" s="330"/>
      <c r="AK156" s="330"/>
      <c r="AL156" s="330"/>
      <c r="AM156" s="330"/>
      <c r="AN156" s="330"/>
      <c r="AO156" s="330"/>
      <c r="AP156" s="330"/>
      <c r="AQ156" s="330"/>
      <c r="AR156" s="330"/>
      <c r="AS156" s="330"/>
      <c r="AT156" s="330"/>
      <c r="AU156" s="330"/>
      <c r="AV156" s="330"/>
      <c r="AW156" s="330"/>
      <c r="AX156" s="330"/>
      <c r="AY156" s="330"/>
      <c r="AZ156" s="330"/>
      <c r="BF156" s="1247"/>
      <c r="BH156" s="323"/>
      <c r="BJ156" s="1240"/>
    </row>
    <row r="157" spans="1:68" ht="12" customHeight="1">
      <c r="A157" s="1286"/>
      <c r="B157" s="316"/>
      <c r="D157" s="319"/>
      <c r="AB157" s="329"/>
      <c r="AC157" s="329"/>
      <c r="AD157" s="329"/>
      <c r="AE157" s="329"/>
      <c r="AF157" s="329"/>
      <c r="AG157" s="330"/>
      <c r="AH157" s="330"/>
      <c r="AI157" s="330"/>
      <c r="AJ157" s="330"/>
      <c r="AK157" s="330"/>
      <c r="AL157" s="330"/>
      <c r="AM157" s="330"/>
      <c r="AN157" s="330"/>
      <c r="AO157" s="330"/>
      <c r="AP157" s="330"/>
      <c r="AQ157" s="330"/>
      <c r="AR157" s="330"/>
      <c r="AS157" s="330"/>
      <c r="AT157" s="330"/>
      <c r="AU157" s="330"/>
      <c r="AV157" s="330"/>
      <c r="AW157" s="330"/>
      <c r="AX157" s="330"/>
      <c r="AY157" s="330"/>
      <c r="AZ157" s="330"/>
      <c r="BF157" s="1247"/>
      <c r="BG157" s="325"/>
      <c r="BH157" s="325"/>
      <c r="BJ157" s="1240"/>
      <c r="BK157" s="325"/>
      <c r="BL157" s="325"/>
      <c r="BO157" s="325"/>
      <c r="BP157" s="325"/>
    </row>
    <row r="158" spans="1:68" ht="12" customHeight="1">
      <c r="A158" s="1281"/>
      <c r="B158" s="317"/>
      <c r="C158" s="316"/>
      <c r="D158" s="319"/>
      <c r="AB158" s="448"/>
      <c r="AC158" s="448"/>
      <c r="AD158" s="448"/>
      <c r="AE158" s="448"/>
      <c r="AF158" s="448"/>
      <c r="AG158" s="449"/>
      <c r="AH158" s="449"/>
      <c r="AI158" s="449"/>
      <c r="AJ158" s="449"/>
      <c r="AK158" s="449"/>
      <c r="AL158" s="449"/>
      <c r="AM158" s="449"/>
      <c r="AN158" s="449"/>
      <c r="AO158" s="449"/>
      <c r="AP158" s="449"/>
      <c r="AQ158" s="449"/>
      <c r="AR158" s="449"/>
      <c r="AS158" s="449"/>
      <c r="AT158" s="449"/>
      <c r="AU158" s="449"/>
      <c r="AV158" s="449"/>
      <c r="AW158" s="449"/>
      <c r="AX158" s="449"/>
      <c r="AY158" s="1287"/>
      <c r="AZ158" s="1287"/>
      <c r="BF158" s="1247"/>
      <c r="BH158" s="450"/>
    </row>
    <row r="159" spans="1:68" ht="12" customHeight="1">
      <c r="A159" s="1281"/>
      <c r="B159" s="317"/>
      <c r="C159" s="317"/>
      <c r="D159" s="319"/>
      <c r="AB159" s="1288"/>
      <c r="AC159" s="1288"/>
      <c r="AD159" s="1288"/>
      <c r="AE159" s="1288"/>
      <c r="AF159" s="1288"/>
      <c r="AG159" s="1287"/>
      <c r="AH159" s="1287"/>
      <c r="AI159" s="1287"/>
      <c r="AJ159" s="1287"/>
      <c r="AK159" s="1287"/>
      <c r="AL159" s="1287"/>
      <c r="AM159" s="1287"/>
      <c r="AN159" s="1287"/>
      <c r="AO159" s="1287"/>
      <c r="AP159" s="1287"/>
      <c r="AQ159" s="1287"/>
      <c r="AR159" s="1287"/>
      <c r="AS159" s="1287"/>
      <c r="AT159" s="1287"/>
      <c r="AU159" s="1287"/>
      <c r="AV159" s="1287"/>
      <c r="AW159" s="1287"/>
      <c r="AX159" s="1287"/>
      <c r="AY159" s="1287"/>
      <c r="AZ159" s="1287"/>
      <c r="BA159" s="1287"/>
      <c r="BF159" s="1247"/>
      <c r="BH159" s="450"/>
      <c r="BJ159" s="1289"/>
    </row>
    <row r="160" spans="1:68" ht="12" customHeight="1">
      <c r="A160" s="1281"/>
      <c r="B160" s="317"/>
      <c r="C160" s="316"/>
      <c r="D160" s="319"/>
      <c r="AB160" s="448"/>
      <c r="AC160" s="448"/>
      <c r="AD160" s="448"/>
      <c r="AE160" s="448"/>
      <c r="AF160" s="448"/>
      <c r="AG160" s="449"/>
      <c r="AH160" s="449"/>
      <c r="AI160" s="449"/>
      <c r="AJ160" s="449"/>
      <c r="AK160" s="449"/>
      <c r="AL160" s="449"/>
      <c r="AM160" s="449"/>
      <c r="AN160" s="449"/>
      <c r="AO160" s="449"/>
      <c r="AP160" s="449"/>
      <c r="AQ160" s="449"/>
      <c r="AR160" s="449"/>
      <c r="AS160" s="449"/>
      <c r="AT160" s="449"/>
      <c r="AU160" s="449"/>
      <c r="AV160" s="449"/>
      <c r="AW160" s="449"/>
      <c r="AX160" s="449"/>
      <c r="AY160" s="1287"/>
      <c r="AZ160" s="1287"/>
      <c r="BF160" s="1247"/>
      <c r="BH160" s="450"/>
      <c r="BJ160" s="1289"/>
    </row>
    <row r="161" spans="1:68" ht="12" customHeight="1">
      <c r="A161" s="1281"/>
      <c r="B161" s="317"/>
      <c r="C161" s="316"/>
      <c r="D161" s="319"/>
      <c r="AB161" s="448"/>
      <c r="AC161" s="448"/>
      <c r="AD161" s="448"/>
      <c r="AE161" s="448"/>
      <c r="AF161" s="448"/>
      <c r="AG161" s="449"/>
      <c r="AH161" s="449"/>
      <c r="AI161" s="449"/>
      <c r="AJ161" s="449"/>
      <c r="AK161" s="449"/>
      <c r="AL161" s="449"/>
      <c r="AM161" s="449"/>
      <c r="AN161" s="449"/>
      <c r="AO161" s="449"/>
      <c r="AP161" s="449"/>
      <c r="AQ161" s="449"/>
      <c r="AR161" s="449"/>
      <c r="AS161" s="449"/>
      <c r="AT161" s="449"/>
      <c r="AU161" s="449"/>
      <c r="AV161" s="449"/>
      <c r="AW161" s="449"/>
      <c r="AX161" s="449"/>
      <c r="AY161" s="1287"/>
      <c r="AZ161" s="1287"/>
      <c r="BF161" s="1247"/>
      <c r="BH161" s="450"/>
      <c r="BJ161" s="1289"/>
    </row>
    <row r="162" spans="1:68" ht="12" customHeight="1">
      <c r="A162" s="1281"/>
      <c r="B162" s="317"/>
      <c r="C162" s="317"/>
      <c r="D162" s="319"/>
      <c r="AB162" s="448"/>
      <c r="AC162" s="448"/>
      <c r="AD162" s="448"/>
      <c r="AE162" s="448"/>
      <c r="AF162" s="448"/>
      <c r="AG162" s="449"/>
      <c r="AH162" s="449"/>
      <c r="AI162" s="449"/>
      <c r="AJ162" s="449"/>
      <c r="AK162" s="449"/>
      <c r="AL162" s="449"/>
      <c r="AM162" s="449"/>
      <c r="AN162" s="449"/>
      <c r="AO162" s="449"/>
      <c r="AP162" s="449"/>
      <c r="AQ162" s="449"/>
      <c r="AR162" s="449"/>
      <c r="AS162" s="449"/>
      <c r="AT162" s="449"/>
      <c r="AU162" s="449"/>
      <c r="AV162" s="449"/>
      <c r="AW162" s="449"/>
      <c r="AX162" s="449"/>
      <c r="AY162" s="1287"/>
      <c r="AZ162" s="1287"/>
      <c r="BF162" s="1247"/>
      <c r="BH162" s="450"/>
      <c r="BJ162" s="1240"/>
    </row>
    <row r="163" spans="1:68" ht="12" customHeight="1">
      <c r="A163" s="1281"/>
      <c r="B163" s="317"/>
      <c r="C163" s="316"/>
      <c r="D163" s="319"/>
      <c r="AB163" s="448"/>
      <c r="AC163" s="448"/>
      <c r="AD163" s="448"/>
      <c r="AE163" s="448"/>
      <c r="AF163" s="448"/>
      <c r="AG163" s="449"/>
      <c r="AH163" s="449"/>
      <c r="AI163" s="449"/>
      <c r="AJ163" s="449"/>
      <c r="AK163" s="449"/>
      <c r="AL163" s="449"/>
      <c r="AM163" s="449"/>
      <c r="AN163" s="449"/>
      <c r="AO163" s="449"/>
      <c r="AP163" s="449"/>
      <c r="AQ163" s="449"/>
      <c r="AR163" s="449"/>
      <c r="AS163" s="449"/>
      <c r="AT163" s="449"/>
      <c r="AU163" s="449"/>
      <c r="AV163" s="449"/>
      <c r="AW163" s="449"/>
      <c r="AX163" s="449"/>
      <c r="AY163" s="449"/>
      <c r="AZ163" s="449"/>
      <c r="BG163" s="325"/>
      <c r="BH163" s="323"/>
      <c r="BJ163" s="1240"/>
      <c r="BK163" s="325"/>
      <c r="BL163" s="325"/>
      <c r="BO163" s="1290"/>
      <c r="BP163" s="1290"/>
    </row>
    <row r="164" spans="1:68" ht="12" customHeight="1">
      <c r="A164" s="1281"/>
      <c r="B164" s="317"/>
      <c r="C164" s="316"/>
      <c r="D164" s="319"/>
      <c r="AB164" s="448"/>
      <c r="AC164" s="448"/>
      <c r="AD164" s="448"/>
      <c r="AE164" s="448"/>
      <c r="AF164" s="448"/>
      <c r="AG164" s="449"/>
      <c r="AH164" s="449"/>
      <c r="AI164" s="449"/>
      <c r="AJ164" s="449"/>
      <c r="AK164" s="449"/>
      <c r="AL164" s="449"/>
      <c r="AM164" s="449"/>
      <c r="AN164" s="449"/>
      <c r="AO164" s="449"/>
      <c r="AP164" s="449"/>
      <c r="AQ164" s="449"/>
      <c r="AR164" s="449"/>
      <c r="AS164" s="449"/>
      <c r="AT164" s="449"/>
      <c r="AU164" s="449"/>
      <c r="AV164" s="449"/>
      <c r="AW164" s="449"/>
      <c r="AX164" s="449"/>
      <c r="AY164" s="449"/>
      <c r="AZ164" s="449"/>
      <c r="BJ164" s="1240"/>
    </row>
    <row r="165" spans="1:68" ht="12" customHeight="1">
      <c r="A165" s="1281"/>
      <c r="B165" s="317"/>
      <c r="C165" s="316"/>
      <c r="D165" s="319"/>
      <c r="AB165" s="448"/>
      <c r="AC165" s="448"/>
      <c r="AD165" s="448"/>
      <c r="AE165" s="448"/>
      <c r="AF165" s="448"/>
      <c r="AG165" s="449"/>
      <c r="AH165" s="449"/>
      <c r="AI165" s="449"/>
      <c r="AJ165" s="449"/>
      <c r="AK165" s="449"/>
      <c r="AL165" s="449"/>
      <c r="AM165" s="449"/>
      <c r="AN165" s="449"/>
      <c r="AO165" s="449"/>
      <c r="AP165" s="449"/>
      <c r="AQ165" s="449"/>
      <c r="AR165" s="449"/>
      <c r="AS165" s="449"/>
      <c r="AT165" s="449"/>
      <c r="AU165" s="449"/>
      <c r="AV165" s="449"/>
      <c r="AW165" s="449"/>
      <c r="AX165" s="449"/>
      <c r="AY165" s="449"/>
      <c r="AZ165" s="449"/>
      <c r="BJ165" s="1240"/>
    </row>
    <row r="166" spans="1:68" ht="12" customHeight="1">
      <c r="A166" s="1281"/>
      <c r="B166" s="317"/>
      <c r="C166" s="316"/>
      <c r="D166" s="319"/>
      <c r="AB166" s="448"/>
      <c r="AC166" s="448"/>
      <c r="AD166" s="448"/>
      <c r="AE166" s="448"/>
      <c r="AF166" s="448"/>
      <c r="AG166" s="449"/>
      <c r="AH166" s="449"/>
      <c r="AI166" s="449"/>
      <c r="AJ166" s="449"/>
      <c r="AK166" s="449"/>
      <c r="AL166" s="449"/>
      <c r="AM166" s="449"/>
      <c r="AN166" s="449"/>
      <c r="AO166" s="449"/>
      <c r="AP166" s="449"/>
      <c r="AQ166" s="449"/>
      <c r="AR166" s="449"/>
      <c r="AS166" s="449"/>
      <c r="AT166" s="449"/>
      <c r="AU166" s="449"/>
      <c r="AV166" s="449"/>
      <c r="AW166" s="449"/>
      <c r="AX166" s="449"/>
      <c r="AY166" s="449"/>
      <c r="AZ166" s="449"/>
      <c r="BJ166" s="1240"/>
    </row>
    <row r="167" spans="1:68" ht="12" customHeight="1">
      <c r="A167" s="1281"/>
      <c r="B167" s="317"/>
      <c r="C167" s="316"/>
      <c r="D167" s="319"/>
      <c r="AB167" s="448"/>
      <c r="AC167" s="448"/>
      <c r="AD167" s="448"/>
      <c r="AE167" s="448"/>
      <c r="AF167" s="448"/>
      <c r="AG167" s="449"/>
      <c r="AH167" s="449"/>
      <c r="AI167" s="449"/>
      <c r="AJ167" s="449"/>
      <c r="AK167" s="449"/>
      <c r="AL167" s="449"/>
      <c r="AM167" s="449"/>
      <c r="AN167" s="449"/>
      <c r="AO167" s="449"/>
      <c r="AP167" s="449"/>
      <c r="AQ167" s="449"/>
      <c r="AR167" s="449"/>
      <c r="AS167" s="449"/>
      <c r="AT167" s="449"/>
      <c r="AU167" s="449"/>
      <c r="AV167" s="449"/>
      <c r="AW167" s="449"/>
      <c r="AX167" s="449"/>
      <c r="AY167" s="449"/>
      <c r="AZ167" s="449"/>
      <c r="BF167" s="1247"/>
      <c r="BG167" s="325"/>
      <c r="BH167" s="323"/>
      <c r="BJ167" s="1339"/>
      <c r="BK167" s="325"/>
      <c r="BL167" s="325"/>
      <c r="BO167" s="1290"/>
      <c r="BP167" s="1290"/>
    </row>
    <row r="168" spans="1:68" ht="12" customHeight="1">
      <c r="A168" s="327"/>
      <c r="B168" s="316"/>
      <c r="C168" s="317"/>
      <c r="D168" s="319"/>
      <c r="AB168" s="329"/>
      <c r="AC168" s="329"/>
      <c r="AD168" s="329"/>
      <c r="AE168" s="329"/>
      <c r="AF168" s="329"/>
      <c r="AG168" s="330"/>
      <c r="AH168" s="330"/>
      <c r="AI168" s="330"/>
      <c r="AJ168" s="330"/>
      <c r="AK168" s="330"/>
      <c r="AL168" s="330"/>
      <c r="AM168" s="330"/>
      <c r="AN168" s="330"/>
      <c r="AO168" s="330"/>
      <c r="AP168" s="330"/>
      <c r="AQ168" s="330"/>
      <c r="AR168" s="330"/>
      <c r="AS168" s="330"/>
      <c r="AT168" s="330"/>
      <c r="AU168" s="330"/>
      <c r="AV168" s="330"/>
      <c r="AW168" s="330"/>
      <c r="AX168" s="330"/>
      <c r="AY168" s="330"/>
      <c r="AZ168" s="330"/>
      <c r="BF168" s="1247"/>
      <c r="BH168" s="323"/>
      <c r="BJ168" s="1240"/>
      <c r="BK168" s="325"/>
      <c r="BL168" s="325"/>
      <c r="BO168" s="1290"/>
      <c r="BP168" s="1290"/>
    </row>
    <row r="169" spans="1:68" ht="12" customHeight="1">
      <c r="A169" s="1238"/>
      <c r="B169" s="1291"/>
      <c r="C169" s="1284"/>
      <c r="D169" s="319"/>
      <c r="E169" s="1269"/>
      <c r="F169" s="1269"/>
      <c r="G169" s="1269"/>
      <c r="H169" s="1269"/>
      <c r="I169" s="1269"/>
      <c r="J169" s="1269"/>
      <c r="K169" s="1269"/>
      <c r="L169" s="1269"/>
      <c r="M169" s="1269"/>
      <c r="N169" s="1269"/>
      <c r="O169" s="1269"/>
      <c r="P169" s="1269"/>
      <c r="Q169" s="1269"/>
      <c r="R169" s="1269"/>
      <c r="S169" s="1269"/>
      <c r="T169" s="1269"/>
      <c r="U169" s="1269"/>
      <c r="AB169" s="448"/>
      <c r="AC169" s="448"/>
      <c r="AD169" s="448"/>
      <c r="AE169" s="448"/>
      <c r="AF169" s="448"/>
      <c r="AG169" s="449"/>
      <c r="AH169" s="449"/>
      <c r="AI169" s="449"/>
      <c r="AJ169" s="449"/>
      <c r="AK169" s="449"/>
      <c r="AL169" s="449"/>
      <c r="AM169" s="449"/>
      <c r="AN169" s="449"/>
      <c r="AO169" s="449"/>
      <c r="AP169" s="449"/>
      <c r="AQ169" s="449"/>
      <c r="AR169" s="449"/>
      <c r="AS169" s="449"/>
      <c r="AT169" s="449"/>
      <c r="AU169" s="449"/>
      <c r="AV169" s="449"/>
      <c r="AW169" s="449"/>
      <c r="AX169" s="449"/>
      <c r="AY169" s="449"/>
      <c r="AZ169" s="449"/>
      <c r="BF169" s="1247"/>
      <c r="BH169" s="450"/>
      <c r="BJ169" s="1240"/>
    </row>
    <row r="170" spans="1:68" ht="12" customHeight="1">
      <c r="A170" s="1277"/>
      <c r="B170" s="1278"/>
      <c r="C170" s="1279"/>
      <c r="D170" s="319"/>
      <c r="E170" s="1280"/>
      <c r="F170" s="1280"/>
      <c r="G170" s="1280"/>
      <c r="H170" s="1280"/>
      <c r="I170" s="1280"/>
      <c r="J170" s="1280"/>
      <c r="K170" s="1280"/>
      <c r="L170" s="1280"/>
      <c r="M170" s="1280"/>
      <c r="N170" s="1280"/>
      <c r="O170" s="1280"/>
      <c r="P170" s="1280"/>
      <c r="Q170" s="1280"/>
      <c r="R170" s="1280"/>
      <c r="S170" s="1280"/>
      <c r="T170" s="1280"/>
      <c r="U170" s="1280"/>
      <c r="AB170" s="448"/>
      <c r="AC170" s="448"/>
      <c r="AD170" s="448"/>
      <c r="AE170" s="448"/>
      <c r="AF170" s="448"/>
      <c r="AG170" s="449"/>
      <c r="AH170" s="449"/>
      <c r="AI170" s="449"/>
      <c r="AJ170" s="449"/>
      <c r="AK170" s="449"/>
      <c r="AL170" s="449"/>
      <c r="AM170" s="449"/>
      <c r="AN170" s="449"/>
      <c r="AO170" s="449"/>
      <c r="AP170" s="449"/>
      <c r="AQ170" s="449"/>
      <c r="AR170" s="449"/>
      <c r="AS170" s="449"/>
      <c r="AT170" s="449"/>
      <c r="AU170" s="449"/>
      <c r="AV170" s="449"/>
      <c r="AW170" s="449"/>
      <c r="AX170" s="449"/>
      <c r="AY170" s="449"/>
      <c r="AZ170" s="449"/>
      <c r="BF170" s="1247"/>
      <c r="BH170" s="450"/>
      <c r="BJ170" s="1240"/>
    </row>
    <row r="171" spans="1:68" ht="12" customHeight="1">
      <c r="A171" s="1277"/>
      <c r="B171" s="1278"/>
      <c r="C171" s="1279"/>
      <c r="D171" s="319"/>
      <c r="E171" s="1280"/>
      <c r="F171" s="1280"/>
      <c r="G171" s="1280"/>
      <c r="H171" s="1280"/>
      <c r="I171" s="1280"/>
      <c r="J171" s="1280"/>
      <c r="K171" s="1280"/>
      <c r="L171" s="1280"/>
      <c r="M171" s="1280"/>
      <c r="N171" s="1280"/>
      <c r="O171" s="1280"/>
      <c r="P171" s="1280"/>
      <c r="Q171" s="1280"/>
      <c r="R171" s="1280"/>
      <c r="S171" s="1280"/>
      <c r="T171" s="1280"/>
      <c r="U171" s="1280"/>
      <c r="AB171" s="448"/>
      <c r="AC171" s="448"/>
      <c r="AD171" s="448"/>
      <c r="AE171" s="448"/>
      <c r="AF171" s="448"/>
      <c r="AG171" s="449"/>
      <c r="AH171" s="449"/>
      <c r="AI171" s="449"/>
      <c r="AJ171" s="449"/>
      <c r="AK171" s="449"/>
      <c r="AL171" s="449"/>
      <c r="AM171" s="449"/>
      <c r="AN171" s="449"/>
      <c r="AO171" s="449"/>
      <c r="AP171" s="449"/>
      <c r="AQ171" s="449"/>
      <c r="AR171" s="449"/>
      <c r="AS171" s="449"/>
      <c r="AT171" s="449"/>
      <c r="AU171" s="449"/>
      <c r="AV171" s="449"/>
      <c r="AW171" s="449"/>
      <c r="AX171" s="449"/>
      <c r="AY171" s="449"/>
      <c r="AZ171" s="449"/>
      <c r="BF171" s="1247"/>
      <c r="BH171" s="450"/>
      <c r="BJ171" s="1240"/>
    </row>
    <row r="172" spans="1:68" ht="12" customHeight="1">
      <c r="A172" s="1281"/>
      <c r="B172" s="317"/>
      <c r="D172" s="319"/>
      <c r="E172" s="1282"/>
      <c r="F172" s="1282"/>
      <c r="G172" s="1282"/>
      <c r="H172" s="1282"/>
      <c r="I172" s="1282"/>
      <c r="J172" s="1282"/>
      <c r="K172" s="1282"/>
      <c r="L172" s="1282"/>
      <c r="M172" s="1282"/>
      <c r="N172" s="1282"/>
      <c r="O172" s="1282"/>
      <c r="P172" s="1282"/>
      <c r="Q172" s="1282"/>
      <c r="R172" s="1282"/>
      <c r="S172" s="1282"/>
      <c r="T172" s="1282"/>
      <c r="U172" s="1282"/>
      <c r="AB172" s="448"/>
      <c r="AC172" s="448"/>
      <c r="AD172" s="448"/>
      <c r="AE172" s="448"/>
      <c r="AF172" s="448"/>
      <c r="AG172" s="449"/>
      <c r="AH172" s="449"/>
      <c r="AI172" s="449"/>
      <c r="AJ172" s="449"/>
      <c r="AK172" s="449"/>
      <c r="AL172" s="449"/>
      <c r="AM172" s="449"/>
      <c r="AN172" s="449"/>
      <c r="AO172" s="449"/>
      <c r="AP172" s="449"/>
      <c r="AQ172" s="449"/>
      <c r="AR172" s="449"/>
      <c r="AS172" s="449"/>
      <c r="AT172" s="449"/>
      <c r="AU172" s="449"/>
      <c r="AV172" s="449"/>
      <c r="AW172" s="449"/>
      <c r="AX172" s="449"/>
      <c r="AY172" s="449"/>
      <c r="AZ172" s="449"/>
      <c r="BF172" s="1247"/>
      <c r="BH172" s="450"/>
      <c r="BJ172" s="1240"/>
    </row>
    <row r="173" spans="1:68" ht="12" customHeight="1">
      <c r="A173" s="1281"/>
      <c r="B173" s="317"/>
      <c r="C173" s="317"/>
      <c r="D173" s="319"/>
      <c r="AB173" s="448"/>
      <c r="AC173" s="448"/>
      <c r="AD173" s="448"/>
      <c r="AE173" s="448"/>
      <c r="AF173" s="448"/>
      <c r="AG173" s="449"/>
      <c r="AH173" s="449"/>
      <c r="AI173" s="449"/>
      <c r="AJ173" s="449"/>
      <c r="AK173" s="449"/>
      <c r="AL173" s="449"/>
      <c r="AM173" s="449"/>
      <c r="AN173" s="449"/>
      <c r="AO173" s="449"/>
      <c r="AP173" s="449"/>
      <c r="AQ173" s="449"/>
      <c r="AR173" s="449"/>
      <c r="AS173" s="449"/>
      <c r="AT173" s="449"/>
      <c r="AU173" s="449"/>
      <c r="AV173" s="449"/>
      <c r="AW173" s="449"/>
      <c r="AX173" s="449"/>
      <c r="AY173" s="449"/>
      <c r="AZ173" s="449"/>
      <c r="BF173" s="1247"/>
      <c r="BH173" s="450"/>
      <c r="BJ173" s="1240"/>
    </row>
    <row r="174" spans="1:68" ht="12" customHeight="1">
      <c r="A174" s="1241"/>
      <c r="B174" s="1283"/>
      <c r="C174" s="1283"/>
      <c r="D174" s="319"/>
      <c r="E174" s="1292"/>
      <c r="F174" s="1292"/>
      <c r="G174" s="1292"/>
      <c r="H174" s="1292"/>
      <c r="I174" s="1292"/>
      <c r="J174" s="1292"/>
      <c r="K174" s="1292"/>
      <c r="L174" s="1292"/>
      <c r="M174" s="1292"/>
      <c r="N174" s="1292"/>
      <c r="O174" s="1292"/>
      <c r="P174" s="1292"/>
      <c r="Q174" s="1292"/>
      <c r="R174" s="1292"/>
      <c r="S174" s="1292"/>
      <c r="T174" s="1292"/>
      <c r="U174" s="1292"/>
      <c r="AB174" s="448"/>
      <c r="AC174" s="448"/>
      <c r="AD174" s="448"/>
      <c r="AE174" s="448"/>
      <c r="AF174" s="448"/>
      <c r="AG174" s="449"/>
      <c r="AH174" s="449"/>
      <c r="AI174" s="449"/>
      <c r="AJ174" s="449"/>
      <c r="AK174" s="449"/>
      <c r="AL174" s="449"/>
      <c r="AM174" s="449"/>
      <c r="AN174" s="449"/>
      <c r="AO174" s="449"/>
      <c r="AP174" s="449"/>
      <c r="AQ174" s="449"/>
      <c r="AR174" s="449"/>
      <c r="AS174" s="449"/>
      <c r="AT174" s="449"/>
      <c r="AU174" s="449"/>
      <c r="AV174" s="449"/>
      <c r="AW174" s="449"/>
      <c r="AX174" s="449"/>
      <c r="AY174" s="449"/>
      <c r="AZ174" s="449"/>
      <c r="BF174" s="1247"/>
      <c r="BH174" s="450"/>
      <c r="BJ174" s="1240"/>
    </row>
    <row r="175" spans="1:68" ht="12" customHeight="1">
      <c r="A175" s="1293"/>
      <c r="B175" s="1294"/>
      <c r="C175" s="1295"/>
      <c r="D175" s="319"/>
      <c r="E175" s="1296"/>
      <c r="F175" s="1296"/>
      <c r="G175" s="1296"/>
      <c r="H175" s="1296"/>
      <c r="I175" s="1296"/>
      <c r="J175" s="1296"/>
      <c r="K175" s="1296"/>
      <c r="L175" s="1296"/>
      <c r="M175" s="1296"/>
      <c r="N175" s="1296"/>
      <c r="O175" s="1296"/>
      <c r="P175" s="1296"/>
      <c r="Q175" s="1296"/>
      <c r="R175" s="1296"/>
      <c r="S175" s="1296"/>
      <c r="T175" s="1296"/>
      <c r="U175" s="1296"/>
      <c r="AB175" s="448"/>
      <c r="AC175" s="448"/>
      <c r="AD175" s="448"/>
      <c r="AE175" s="448"/>
      <c r="AF175" s="448"/>
      <c r="AG175" s="449"/>
      <c r="AH175" s="449"/>
      <c r="AI175" s="449"/>
      <c r="AJ175" s="449"/>
      <c r="AK175" s="449"/>
      <c r="AL175" s="449"/>
      <c r="AM175" s="449"/>
      <c r="AN175" s="449"/>
      <c r="AO175" s="449"/>
      <c r="AP175" s="449"/>
      <c r="AQ175" s="449"/>
      <c r="AR175" s="449"/>
      <c r="AS175" s="449"/>
      <c r="AT175" s="449"/>
      <c r="AU175" s="449"/>
      <c r="AV175" s="449"/>
      <c r="AW175" s="449"/>
      <c r="AX175" s="449"/>
      <c r="AY175" s="449"/>
      <c r="AZ175" s="449"/>
      <c r="BF175" s="1247"/>
      <c r="BH175" s="450"/>
      <c r="BJ175" s="1240"/>
    </row>
    <row r="176" spans="1:68" ht="12" customHeight="1">
      <c r="A176" s="1277"/>
      <c r="B176" s="1278"/>
      <c r="C176" s="1279"/>
      <c r="D176" s="319"/>
      <c r="E176" s="1280"/>
      <c r="F176" s="1280"/>
      <c r="G176" s="1280"/>
      <c r="H176" s="1280"/>
      <c r="I176" s="1280"/>
      <c r="J176" s="1280"/>
      <c r="K176" s="1280"/>
      <c r="L176" s="1280"/>
      <c r="M176" s="1280"/>
      <c r="N176" s="1280"/>
      <c r="O176" s="1280"/>
      <c r="P176" s="1280"/>
      <c r="Q176" s="1280"/>
      <c r="R176" s="1280"/>
      <c r="S176" s="1280"/>
      <c r="T176" s="1280"/>
      <c r="U176" s="1280"/>
      <c r="AB176" s="448"/>
      <c r="AC176" s="448"/>
      <c r="AD176" s="448"/>
      <c r="AE176" s="448"/>
      <c r="AF176" s="448"/>
      <c r="AG176" s="449"/>
      <c r="AH176" s="449"/>
      <c r="AI176" s="449"/>
      <c r="AJ176" s="449"/>
      <c r="AK176" s="449"/>
      <c r="AL176" s="449"/>
      <c r="AM176" s="449"/>
      <c r="AN176" s="449"/>
      <c r="AO176" s="449"/>
      <c r="AP176" s="449"/>
      <c r="AQ176" s="449"/>
      <c r="AR176" s="449"/>
      <c r="AS176" s="449"/>
      <c r="AT176" s="449"/>
      <c r="AU176" s="449"/>
      <c r="AV176" s="449"/>
      <c r="AW176" s="449"/>
      <c r="AX176" s="449"/>
      <c r="AY176" s="449"/>
      <c r="AZ176" s="449"/>
      <c r="BH176" s="450"/>
      <c r="BJ176" s="1240"/>
    </row>
    <row r="177" spans="1:68" ht="12" customHeight="1">
      <c r="A177" s="1277"/>
      <c r="B177" s="1278"/>
      <c r="C177" s="1279"/>
      <c r="D177" s="319"/>
      <c r="E177" s="1280"/>
      <c r="F177" s="1280"/>
      <c r="G177" s="1280"/>
      <c r="H177" s="1280"/>
      <c r="I177" s="1280"/>
      <c r="J177" s="1280"/>
      <c r="K177" s="1280"/>
      <c r="L177" s="1280"/>
      <c r="M177" s="1280"/>
      <c r="N177" s="1280"/>
      <c r="O177" s="1280"/>
      <c r="P177" s="1280"/>
      <c r="Q177" s="1280"/>
      <c r="R177" s="1280"/>
      <c r="S177" s="1280"/>
      <c r="T177" s="1280"/>
      <c r="U177" s="1280"/>
      <c r="AB177" s="448"/>
      <c r="AC177" s="448"/>
      <c r="AD177" s="448"/>
      <c r="AE177" s="448"/>
      <c r="AF177" s="448"/>
      <c r="AG177" s="449"/>
      <c r="AH177" s="449"/>
      <c r="AI177" s="449"/>
      <c r="AJ177" s="449"/>
      <c r="AK177" s="449"/>
      <c r="AL177" s="449"/>
      <c r="AM177" s="449"/>
      <c r="AN177" s="449"/>
      <c r="AO177" s="449"/>
      <c r="AP177" s="449"/>
      <c r="AQ177" s="449"/>
      <c r="AR177" s="449"/>
      <c r="AS177" s="449"/>
      <c r="AT177" s="449"/>
      <c r="AU177" s="449"/>
      <c r="AV177" s="449"/>
      <c r="AW177" s="449"/>
      <c r="AX177" s="449"/>
      <c r="AY177" s="449"/>
      <c r="AZ177" s="449"/>
      <c r="BF177" s="1247"/>
      <c r="BH177" s="450"/>
      <c r="BJ177" s="1240"/>
    </row>
    <row r="178" spans="1:68" ht="12" customHeight="1">
      <c r="A178" s="1281"/>
      <c r="B178" s="317"/>
      <c r="D178" s="319"/>
      <c r="E178" s="1282"/>
      <c r="F178" s="1282"/>
      <c r="G178" s="1282"/>
      <c r="H178" s="1282"/>
      <c r="I178" s="1282"/>
      <c r="J178" s="1282"/>
      <c r="K178" s="1282"/>
      <c r="L178" s="1282"/>
      <c r="M178" s="1282"/>
      <c r="N178" s="1282"/>
      <c r="O178" s="1282"/>
      <c r="P178" s="1282"/>
      <c r="Q178" s="1282"/>
      <c r="R178" s="1282"/>
      <c r="S178" s="1282"/>
      <c r="T178" s="1282"/>
      <c r="U178" s="1282"/>
      <c r="AB178" s="448"/>
      <c r="AC178" s="448"/>
      <c r="AD178" s="448"/>
      <c r="AE178" s="448"/>
      <c r="AF178" s="448"/>
      <c r="AG178" s="449"/>
      <c r="AH178" s="449"/>
      <c r="AI178" s="449"/>
      <c r="AJ178" s="449"/>
      <c r="AK178" s="449"/>
      <c r="AL178" s="449"/>
      <c r="AM178" s="449"/>
      <c r="AN178" s="449"/>
      <c r="AO178" s="449"/>
      <c r="AP178" s="449"/>
      <c r="AQ178" s="449"/>
      <c r="AR178" s="449"/>
      <c r="AS178" s="449"/>
      <c r="AT178" s="449"/>
      <c r="AU178" s="449"/>
      <c r="AV178" s="449"/>
      <c r="AW178" s="449"/>
      <c r="AX178" s="449"/>
      <c r="AY178" s="449"/>
      <c r="AZ178" s="449"/>
      <c r="BF178" s="1247"/>
      <c r="BH178" s="450"/>
      <c r="BJ178" s="1240"/>
    </row>
    <row r="179" spans="1:68" ht="12" customHeight="1">
      <c r="A179" s="1281"/>
      <c r="B179" s="317"/>
      <c r="C179" s="317"/>
      <c r="D179" s="319"/>
      <c r="AB179" s="448"/>
      <c r="AC179" s="448"/>
      <c r="AD179" s="448"/>
      <c r="AE179" s="448"/>
      <c r="AF179" s="448"/>
      <c r="AG179" s="449"/>
      <c r="AH179" s="449"/>
      <c r="AI179" s="449"/>
      <c r="AJ179" s="449"/>
      <c r="AK179" s="449"/>
      <c r="AL179" s="449"/>
      <c r="AM179" s="449"/>
      <c r="AN179" s="449"/>
      <c r="AO179" s="449"/>
      <c r="AP179" s="449"/>
      <c r="AQ179" s="449"/>
      <c r="AR179" s="449"/>
      <c r="AS179" s="449"/>
      <c r="AT179" s="449"/>
      <c r="AU179" s="449"/>
      <c r="AV179" s="449"/>
      <c r="AW179" s="449"/>
      <c r="AX179" s="449"/>
      <c r="AY179" s="449"/>
      <c r="AZ179" s="449"/>
      <c r="BF179" s="1247"/>
      <c r="BH179" s="450"/>
      <c r="BJ179" s="1240"/>
    </row>
    <row r="180" spans="1:68" ht="12" customHeight="1">
      <c r="A180" s="1277"/>
      <c r="B180" s="1278"/>
      <c r="C180" s="1279"/>
      <c r="D180" s="319"/>
      <c r="E180" s="1280"/>
      <c r="F180" s="1280"/>
      <c r="G180" s="1280"/>
      <c r="H180" s="1280"/>
      <c r="I180" s="1280"/>
      <c r="J180" s="1280"/>
      <c r="K180" s="1280"/>
      <c r="L180" s="1280"/>
      <c r="M180" s="1280"/>
      <c r="N180" s="1280"/>
      <c r="O180" s="1280"/>
      <c r="P180" s="1280"/>
      <c r="Q180" s="1280"/>
      <c r="R180" s="1280"/>
      <c r="S180" s="1280"/>
      <c r="T180" s="1280"/>
      <c r="U180" s="1280"/>
      <c r="AB180" s="448"/>
      <c r="AC180" s="448"/>
      <c r="AD180" s="448"/>
      <c r="AE180" s="448"/>
      <c r="AF180" s="448"/>
      <c r="AG180" s="449"/>
      <c r="AH180" s="449"/>
      <c r="AI180" s="449"/>
      <c r="AJ180" s="449"/>
      <c r="AK180" s="449"/>
      <c r="AL180" s="449"/>
      <c r="AM180" s="449"/>
      <c r="AN180" s="449"/>
      <c r="AO180" s="449"/>
      <c r="AP180" s="449"/>
      <c r="AQ180" s="449"/>
      <c r="AR180" s="449"/>
      <c r="AS180" s="449"/>
      <c r="AT180" s="449"/>
      <c r="AU180" s="449"/>
      <c r="AV180" s="449"/>
      <c r="AW180" s="449"/>
      <c r="AX180" s="449"/>
      <c r="AY180" s="449"/>
      <c r="AZ180" s="449"/>
      <c r="BF180" s="1247"/>
      <c r="BH180" s="450"/>
      <c r="BJ180" s="1240"/>
    </row>
    <row r="181" spans="1:68" ht="12" customHeight="1">
      <c r="A181" s="327"/>
      <c r="B181" s="1285"/>
      <c r="C181" s="1285"/>
      <c r="D181" s="319"/>
      <c r="AB181" s="448"/>
      <c r="AC181" s="448"/>
      <c r="AD181" s="448"/>
      <c r="AE181" s="448"/>
      <c r="AF181" s="448"/>
      <c r="AG181" s="449"/>
      <c r="AH181" s="449"/>
      <c r="AI181" s="449"/>
      <c r="AJ181" s="449"/>
      <c r="AK181" s="449"/>
      <c r="AL181" s="449"/>
      <c r="AM181" s="449"/>
      <c r="AN181" s="449"/>
      <c r="AO181" s="449"/>
      <c r="AP181" s="449"/>
      <c r="AQ181" s="449"/>
      <c r="AR181" s="449"/>
      <c r="AS181" s="449"/>
      <c r="AT181" s="449"/>
      <c r="AU181" s="449"/>
      <c r="AV181" s="449"/>
      <c r="AW181" s="449"/>
      <c r="AX181" s="449"/>
      <c r="AY181" s="449"/>
      <c r="AZ181" s="449"/>
      <c r="BF181" s="1247"/>
      <c r="BH181" s="450"/>
      <c r="BJ181" s="1240"/>
    </row>
    <row r="182" spans="1:68" ht="12" customHeight="1">
      <c r="A182" s="1277"/>
      <c r="B182" s="1278"/>
      <c r="C182" s="1279"/>
      <c r="D182" s="319"/>
      <c r="E182" s="1280"/>
      <c r="F182" s="1280"/>
      <c r="G182" s="1280"/>
      <c r="H182" s="1280"/>
      <c r="I182" s="1280"/>
      <c r="J182" s="1280"/>
      <c r="K182" s="1280"/>
      <c r="L182" s="1280"/>
      <c r="M182" s="1280"/>
      <c r="N182" s="1280"/>
      <c r="O182" s="1280"/>
      <c r="P182" s="1280"/>
      <c r="Q182" s="1280"/>
      <c r="R182" s="1280"/>
      <c r="S182" s="1280"/>
      <c r="T182" s="1280"/>
      <c r="U182" s="1280"/>
      <c r="AB182" s="448"/>
      <c r="AC182" s="448"/>
      <c r="AD182" s="448"/>
      <c r="AE182" s="448"/>
      <c r="AF182" s="448"/>
      <c r="AG182" s="449"/>
      <c r="AH182" s="449"/>
      <c r="AI182" s="449"/>
      <c r="AJ182" s="449"/>
      <c r="AK182" s="449"/>
      <c r="AL182" s="449"/>
      <c r="AM182" s="449"/>
      <c r="AN182" s="449"/>
      <c r="AO182" s="449"/>
      <c r="AP182" s="449"/>
      <c r="AQ182" s="449"/>
      <c r="AR182" s="449"/>
      <c r="AS182" s="449"/>
      <c r="AT182" s="449"/>
      <c r="AU182" s="449"/>
      <c r="AV182" s="449"/>
      <c r="AW182" s="449"/>
      <c r="AX182" s="449"/>
      <c r="AY182" s="449"/>
      <c r="AZ182" s="449"/>
      <c r="BF182" s="1247"/>
      <c r="BH182" s="450"/>
      <c r="BJ182" s="1240"/>
    </row>
    <row r="183" spans="1:68" ht="12" customHeight="1">
      <c r="A183" s="1277"/>
      <c r="B183" s="1278"/>
      <c r="C183" s="1279"/>
      <c r="D183" s="319"/>
      <c r="E183" s="1280"/>
      <c r="F183" s="1280"/>
      <c r="G183" s="1280"/>
      <c r="H183" s="1280"/>
      <c r="I183" s="1280"/>
      <c r="J183" s="1280"/>
      <c r="K183" s="1280"/>
      <c r="L183" s="1280"/>
      <c r="M183" s="1280"/>
      <c r="N183" s="1280"/>
      <c r="O183" s="1280"/>
      <c r="P183" s="1280"/>
      <c r="Q183" s="1280"/>
      <c r="R183" s="1280"/>
      <c r="S183" s="1280"/>
      <c r="T183" s="1280"/>
      <c r="U183" s="1280"/>
      <c r="AB183" s="448"/>
      <c r="AC183" s="448"/>
      <c r="AD183" s="448"/>
      <c r="AE183" s="448"/>
      <c r="AF183" s="448"/>
      <c r="AG183" s="449"/>
      <c r="AH183" s="449"/>
      <c r="AI183" s="449"/>
      <c r="AJ183" s="449"/>
      <c r="AK183" s="449"/>
      <c r="AL183" s="449"/>
      <c r="AM183" s="449"/>
      <c r="AN183" s="449"/>
      <c r="AO183" s="449"/>
      <c r="AP183" s="449"/>
      <c r="AQ183" s="449"/>
      <c r="AR183" s="449"/>
      <c r="AS183" s="449"/>
      <c r="AT183" s="449"/>
      <c r="AU183" s="449"/>
      <c r="AV183" s="449"/>
      <c r="AW183" s="449"/>
      <c r="AX183" s="449"/>
      <c r="AY183" s="449"/>
      <c r="AZ183" s="449"/>
      <c r="BF183" s="1247"/>
      <c r="BH183" s="450"/>
      <c r="BJ183" s="1240"/>
    </row>
    <row r="184" spans="1:68" ht="12" customHeight="1">
      <c r="A184" s="1241"/>
      <c r="B184" s="1283"/>
      <c r="C184" s="1283"/>
      <c r="D184" s="319"/>
      <c r="E184" s="1292"/>
      <c r="F184" s="1292"/>
      <c r="G184" s="1292"/>
      <c r="H184" s="1292"/>
      <c r="I184" s="1292"/>
      <c r="J184" s="1292"/>
      <c r="K184" s="1292"/>
      <c r="L184" s="1292"/>
      <c r="M184" s="1292"/>
      <c r="N184" s="1292"/>
      <c r="O184" s="1292"/>
      <c r="P184" s="1292"/>
      <c r="Q184" s="1292"/>
      <c r="R184" s="1292"/>
      <c r="S184" s="1292"/>
      <c r="T184" s="1292"/>
      <c r="U184" s="1292"/>
      <c r="AB184" s="448"/>
      <c r="AC184" s="448"/>
      <c r="AD184" s="448"/>
      <c r="AE184" s="448"/>
      <c r="AF184" s="448"/>
      <c r="AG184" s="449"/>
      <c r="AH184" s="449"/>
      <c r="AI184" s="449"/>
      <c r="AJ184" s="449"/>
      <c r="AK184" s="449"/>
      <c r="AL184" s="449"/>
      <c r="AM184" s="449"/>
      <c r="AN184" s="449"/>
      <c r="AO184" s="449"/>
      <c r="AP184" s="449"/>
      <c r="AQ184" s="449"/>
      <c r="AR184" s="449"/>
      <c r="AS184" s="449"/>
      <c r="AT184" s="449"/>
      <c r="AU184" s="449"/>
      <c r="AV184" s="449"/>
      <c r="AW184" s="449"/>
      <c r="AX184" s="449"/>
      <c r="AY184" s="449"/>
      <c r="AZ184" s="449"/>
      <c r="BF184" s="1247"/>
      <c r="BH184" s="450"/>
      <c r="BJ184" s="1240"/>
    </row>
    <row r="185" spans="1:68" ht="12" customHeight="1">
      <c r="A185" s="1241"/>
      <c r="B185" s="1283"/>
      <c r="C185" s="1283"/>
      <c r="D185" s="319"/>
      <c r="E185" s="1292"/>
      <c r="F185" s="1292"/>
      <c r="G185" s="1292"/>
      <c r="H185" s="1292"/>
      <c r="I185" s="1292"/>
      <c r="J185" s="1292"/>
      <c r="K185" s="1292"/>
      <c r="L185" s="1292"/>
      <c r="M185" s="1292"/>
      <c r="N185" s="1292"/>
      <c r="O185" s="1292"/>
      <c r="P185" s="1292"/>
      <c r="Q185" s="1292"/>
      <c r="R185" s="1292"/>
      <c r="S185" s="1292"/>
      <c r="T185" s="1292"/>
      <c r="U185" s="1292"/>
      <c r="AB185" s="448"/>
      <c r="AC185" s="448"/>
      <c r="AD185" s="448"/>
      <c r="AE185" s="448"/>
      <c r="AF185" s="448"/>
      <c r="AG185" s="449"/>
      <c r="AH185" s="449"/>
      <c r="AI185" s="449"/>
      <c r="AJ185" s="449"/>
      <c r="AK185" s="449"/>
      <c r="AL185" s="449"/>
      <c r="AM185" s="449"/>
      <c r="AN185" s="449"/>
      <c r="AO185" s="449"/>
      <c r="AP185" s="449"/>
      <c r="AQ185" s="449"/>
      <c r="AR185" s="449"/>
      <c r="AS185" s="449"/>
      <c r="AT185" s="449"/>
      <c r="AU185" s="449"/>
      <c r="AV185" s="449"/>
      <c r="AW185" s="449"/>
      <c r="AX185" s="449"/>
      <c r="AY185" s="449"/>
      <c r="AZ185" s="449"/>
      <c r="BF185" s="1247"/>
      <c r="BH185" s="450"/>
      <c r="BJ185" s="1240"/>
    </row>
    <row r="186" spans="1:68" ht="12" customHeight="1">
      <c r="A186" s="1293"/>
      <c r="B186" s="1294"/>
      <c r="C186" s="1295"/>
      <c r="D186" s="319"/>
      <c r="E186" s="1296"/>
      <c r="F186" s="1296"/>
      <c r="G186" s="1296"/>
      <c r="H186" s="1296"/>
      <c r="I186" s="1296"/>
      <c r="J186" s="1296"/>
      <c r="K186" s="1296"/>
      <c r="L186" s="1296"/>
      <c r="M186" s="1296"/>
      <c r="N186" s="1296"/>
      <c r="O186" s="1296"/>
      <c r="P186" s="1296"/>
      <c r="Q186" s="1296"/>
      <c r="R186" s="1296"/>
      <c r="S186" s="1296"/>
      <c r="T186" s="1296"/>
      <c r="U186" s="1296"/>
      <c r="AB186" s="448"/>
      <c r="AC186" s="448"/>
      <c r="AD186" s="448"/>
      <c r="AE186" s="448"/>
      <c r="AF186" s="448"/>
      <c r="AG186" s="449"/>
      <c r="AH186" s="449"/>
      <c r="AI186" s="449"/>
      <c r="AJ186" s="449"/>
      <c r="AK186" s="449"/>
      <c r="AL186" s="449"/>
      <c r="AM186" s="449"/>
      <c r="AN186" s="449"/>
      <c r="AO186" s="449"/>
      <c r="AP186" s="449"/>
      <c r="AQ186" s="449"/>
      <c r="AR186" s="449"/>
      <c r="AS186" s="449"/>
      <c r="AT186" s="449"/>
      <c r="AU186" s="449"/>
      <c r="AV186" s="449"/>
      <c r="AW186" s="449"/>
      <c r="AX186" s="449"/>
      <c r="AY186" s="449"/>
      <c r="AZ186" s="449"/>
      <c r="BF186" s="1247"/>
      <c r="BH186" s="450"/>
      <c r="BJ186" s="1240"/>
    </row>
    <row r="187" spans="1:68" ht="12" customHeight="1">
      <c r="A187" s="1277"/>
      <c r="B187" s="1278"/>
      <c r="C187" s="1279"/>
      <c r="D187" s="319"/>
      <c r="E187" s="1279"/>
      <c r="F187" s="1279"/>
      <c r="G187" s="1279"/>
      <c r="H187" s="1279"/>
      <c r="I187" s="1279"/>
      <c r="J187" s="1279"/>
      <c r="K187" s="1279"/>
      <c r="L187" s="1279"/>
      <c r="M187" s="1279"/>
      <c r="N187" s="1279"/>
      <c r="O187" s="1279"/>
      <c r="P187" s="1279"/>
      <c r="Q187" s="1279"/>
      <c r="R187" s="1279"/>
      <c r="S187" s="1279"/>
      <c r="T187" s="1279"/>
      <c r="U187" s="1279"/>
      <c r="AB187" s="448"/>
      <c r="AC187" s="448"/>
      <c r="AD187" s="448"/>
      <c r="AE187" s="448"/>
      <c r="AF187" s="448"/>
      <c r="AG187" s="449"/>
      <c r="AH187" s="449"/>
      <c r="AI187" s="449"/>
      <c r="AJ187" s="449"/>
      <c r="AK187" s="449"/>
      <c r="AL187" s="449"/>
      <c r="AM187" s="449"/>
      <c r="AN187" s="449"/>
      <c r="AO187" s="449"/>
      <c r="AP187" s="449"/>
      <c r="AQ187" s="449"/>
      <c r="AR187" s="449"/>
      <c r="AS187" s="449"/>
      <c r="AT187" s="449"/>
      <c r="AU187" s="449"/>
      <c r="AV187" s="449"/>
      <c r="AW187" s="449"/>
      <c r="AX187" s="449"/>
      <c r="AY187" s="449"/>
      <c r="AZ187" s="449"/>
      <c r="BF187" s="1247"/>
      <c r="BH187" s="450"/>
      <c r="BJ187" s="1240"/>
    </row>
    <row r="188" spans="1:68" ht="12" customHeight="1">
      <c r="A188" s="1241"/>
      <c r="B188" s="1245"/>
      <c r="D188" s="319"/>
      <c r="E188" s="1245"/>
      <c r="F188" s="1245"/>
      <c r="G188" s="1245"/>
      <c r="H188" s="1245"/>
      <c r="I188" s="1245"/>
      <c r="J188" s="1245"/>
      <c r="K188" s="1245"/>
      <c r="L188" s="1245"/>
      <c r="M188" s="1245"/>
      <c r="N188" s="1245"/>
      <c r="O188" s="1245"/>
      <c r="P188" s="1245"/>
      <c r="Q188" s="1245"/>
      <c r="R188" s="1245"/>
      <c r="S188" s="1245"/>
      <c r="T188" s="1245"/>
      <c r="U188" s="1245"/>
      <c r="AB188" s="448"/>
      <c r="AC188" s="448"/>
      <c r="AD188" s="448"/>
      <c r="AE188" s="448"/>
      <c r="AF188" s="448"/>
      <c r="AG188" s="449"/>
      <c r="AH188" s="449"/>
      <c r="AI188" s="449"/>
      <c r="AJ188" s="449"/>
      <c r="AK188" s="449"/>
      <c r="AL188" s="449"/>
      <c r="AM188" s="449"/>
      <c r="AN188" s="449"/>
      <c r="AO188" s="449"/>
      <c r="AP188" s="449"/>
      <c r="AQ188" s="449"/>
      <c r="AR188" s="449"/>
      <c r="AS188" s="449"/>
      <c r="AT188" s="449"/>
      <c r="AU188" s="449"/>
      <c r="AV188" s="449"/>
      <c r="AW188" s="449"/>
      <c r="AX188" s="449"/>
      <c r="AY188" s="449"/>
      <c r="AZ188" s="449"/>
      <c r="BF188" s="1247"/>
      <c r="BH188" s="450"/>
      <c r="BJ188" s="1240"/>
    </row>
    <row r="189" spans="1:68" ht="12" customHeight="1">
      <c r="A189" s="1281"/>
      <c r="B189" s="1297"/>
      <c r="D189" s="319"/>
      <c r="E189" s="1297"/>
      <c r="F189" s="1297"/>
      <c r="G189" s="1297"/>
      <c r="H189" s="1297"/>
      <c r="I189" s="1297"/>
      <c r="J189" s="1297"/>
      <c r="K189" s="1297"/>
      <c r="L189" s="1297"/>
      <c r="M189" s="1297"/>
      <c r="N189" s="1297"/>
      <c r="O189" s="1297"/>
      <c r="P189" s="1297"/>
      <c r="Q189" s="1297"/>
      <c r="R189" s="1297"/>
      <c r="S189" s="1297"/>
      <c r="T189" s="1297"/>
      <c r="U189" s="1297"/>
      <c r="AB189" s="448"/>
      <c r="AC189" s="448"/>
      <c r="AD189" s="448"/>
      <c r="AE189" s="448"/>
      <c r="AF189" s="448"/>
      <c r="AG189" s="449"/>
      <c r="AH189" s="449"/>
      <c r="AI189" s="449"/>
      <c r="AJ189" s="449"/>
      <c r="AK189" s="449"/>
      <c r="AL189" s="449"/>
      <c r="AM189" s="449"/>
      <c r="AN189" s="449"/>
      <c r="AO189" s="449"/>
      <c r="AP189" s="449"/>
      <c r="AQ189" s="449"/>
      <c r="AR189" s="449"/>
      <c r="AS189" s="449"/>
      <c r="AT189" s="449"/>
      <c r="AU189" s="449"/>
      <c r="AV189" s="449"/>
      <c r="AW189" s="449"/>
      <c r="AX189" s="449"/>
      <c r="AY189" s="449"/>
      <c r="AZ189" s="449"/>
      <c r="BF189" s="1247"/>
      <c r="BH189" s="450"/>
      <c r="BJ189" s="1240"/>
    </row>
    <row r="190" spans="1:68" ht="12" customHeight="1">
      <c r="A190" s="1241"/>
      <c r="B190" s="1283"/>
      <c r="C190" s="1283"/>
      <c r="D190" s="319"/>
      <c r="E190" s="1292"/>
      <c r="F190" s="1292"/>
      <c r="G190" s="1292"/>
      <c r="H190" s="1292"/>
      <c r="I190" s="1292"/>
      <c r="J190" s="1292"/>
      <c r="K190" s="1292"/>
      <c r="L190" s="1292"/>
      <c r="M190" s="1292"/>
      <c r="N190" s="1292"/>
      <c r="O190" s="1292"/>
      <c r="P190" s="1292"/>
      <c r="Q190" s="1292"/>
      <c r="R190" s="1292"/>
      <c r="S190" s="1292"/>
      <c r="T190" s="1292"/>
      <c r="U190" s="1292"/>
      <c r="AB190" s="448"/>
      <c r="AC190" s="448"/>
      <c r="AD190" s="448"/>
      <c r="AE190" s="448"/>
      <c r="AF190" s="448"/>
      <c r="AG190" s="449"/>
      <c r="AH190" s="449"/>
      <c r="AI190" s="449"/>
      <c r="AJ190" s="449"/>
      <c r="AK190" s="449"/>
      <c r="AL190" s="449"/>
      <c r="AM190" s="449"/>
      <c r="AN190" s="449"/>
      <c r="AO190" s="449"/>
      <c r="AP190" s="449"/>
      <c r="AQ190" s="449"/>
      <c r="AR190" s="449"/>
      <c r="AS190" s="449"/>
      <c r="AT190" s="449"/>
      <c r="AU190" s="449"/>
      <c r="AV190" s="449"/>
      <c r="AW190" s="449"/>
      <c r="AX190" s="449"/>
      <c r="AY190" s="449"/>
      <c r="AZ190" s="449"/>
      <c r="BF190" s="1247"/>
      <c r="BH190" s="450"/>
      <c r="BJ190" s="1240"/>
    </row>
    <row r="191" spans="1:68" ht="12" customHeight="1">
      <c r="A191" s="1241"/>
      <c r="B191" s="1283"/>
      <c r="C191" s="1283"/>
      <c r="D191" s="319"/>
      <c r="E191" s="1292"/>
      <c r="F191" s="1292"/>
      <c r="G191" s="1292"/>
      <c r="H191" s="1292"/>
      <c r="I191" s="1292"/>
      <c r="J191" s="1292"/>
      <c r="K191" s="1292"/>
      <c r="L191" s="1292"/>
      <c r="M191" s="1292"/>
      <c r="N191" s="1292"/>
      <c r="O191" s="1292"/>
      <c r="P191" s="1292"/>
      <c r="Q191" s="1292"/>
      <c r="R191" s="1292"/>
      <c r="S191" s="1292"/>
      <c r="T191" s="1292"/>
      <c r="U191" s="1292"/>
      <c r="AB191" s="448"/>
      <c r="AC191" s="448"/>
      <c r="AD191" s="448"/>
      <c r="AE191" s="448"/>
      <c r="AF191" s="448"/>
      <c r="AG191" s="449"/>
      <c r="AH191" s="449"/>
      <c r="AI191" s="449"/>
      <c r="AJ191" s="449"/>
      <c r="AK191" s="449"/>
      <c r="AL191" s="449"/>
      <c r="AM191" s="449"/>
      <c r="AN191" s="449"/>
      <c r="AO191" s="449"/>
      <c r="AP191" s="449"/>
      <c r="AQ191" s="449"/>
      <c r="AR191" s="449"/>
      <c r="AS191" s="449"/>
      <c r="AT191" s="449"/>
      <c r="AU191" s="449"/>
      <c r="AV191" s="449"/>
      <c r="AW191" s="449"/>
      <c r="AX191" s="449"/>
      <c r="AY191" s="449"/>
      <c r="AZ191" s="449"/>
      <c r="BF191" s="1298"/>
      <c r="BH191" s="450"/>
      <c r="BJ191" s="1240"/>
    </row>
    <row r="192" spans="1:68" ht="12" customHeight="1">
      <c r="A192" s="327"/>
      <c r="B192" s="316"/>
      <c r="C192" s="317"/>
      <c r="D192" s="319"/>
      <c r="AB192" s="329"/>
      <c r="AC192" s="329"/>
      <c r="AD192" s="329"/>
      <c r="AE192" s="329"/>
      <c r="AF192" s="329"/>
      <c r="AG192" s="330"/>
      <c r="AH192" s="330"/>
      <c r="AI192" s="330"/>
      <c r="AJ192" s="330"/>
      <c r="AK192" s="330"/>
      <c r="AL192" s="330"/>
      <c r="AM192" s="330"/>
      <c r="AN192" s="330"/>
      <c r="AO192" s="330"/>
      <c r="AP192" s="330"/>
      <c r="AQ192" s="330"/>
      <c r="AR192" s="330"/>
      <c r="AS192" s="330"/>
      <c r="AT192" s="330"/>
      <c r="AU192" s="330"/>
      <c r="AV192" s="330"/>
      <c r="AW192" s="330"/>
      <c r="AX192" s="330"/>
      <c r="AY192" s="330"/>
      <c r="AZ192" s="330"/>
      <c r="BG192" s="323"/>
      <c r="BH192" s="323"/>
      <c r="BJ192" s="1240"/>
      <c r="BK192" s="323"/>
      <c r="BL192" s="323"/>
      <c r="BO192" s="323"/>
      <c r="BP192" s="323"/>
    </row>
    <row r="193" spans="1:68" ht="12" customHeight="1">
      <c r="A193" s="327"/>
      <c r="B193" s="1299"/>
      <c r="C193" s="316"/>
      <c r="D193" s="319"/>
      <c r="E193" s="1269"/>
      <c r="F193" s="1269"/>
      <c r="G193" s="1269"/>
      <c r="H193" s="1269"/>
      <c r="I193" s="1269"/>
      <c r="J193" s="1269"/>
      <c r="K193" s="1269"/>
      <c r="L193" s="1269"/>
      <c r="M193" s="1269"/>
      <c r="N193" s="1269"/>
      <c r="O193" s="1269"/>
      <c r="P193" s="1269"/>
      <c r="Q193" s="1269"/>
      <c r="R193" s="1269"/>
      <c r="S193" s="1269"/>
      <c r="T193" s="1269"/>
      <c r="U193" s="1269"/>
      <c r="AB193" s="448"/>
      <c r="AC193" s="448"/>
      <c r="AD193" s="448"/>
      <c r="AE193" s="448"/>
      <c r="AF193" s="448"/>
      <c r="AG193" s="449"/>
      <c r="AH193" s="449"/>
      <c r="AI193" s="449"/>
      <c r="AJ193" s="449"/>
      <c r="AK193" s="449"/>
      <c r="AL193" s="449"/>
      <c r="AM193" s="449"/>
      <c r="AN193" s="449"/>
      <c r="AO193" s="449"/>
      <c r="AP193" s="449"/>
      <c r="AQ193" s="449"/>
      <c r="AR193" s="449"/>
      <c r="AS193" s="449"/>
      <c r="AT193" s="449"/>
      <c r="AU193" s="449"/>
      <c r="AV193" s="449"/>
      <c r="AW193" s="449"/>
      <c r="AX193" s="449"/>
      <c r="AY193" s="449"/>
      <c r="AZ193" s="449"/>
      <c r="BF193" s="1300"/>
      <c r="BH193" s="450"/>
      <c r="BJ193" s="1240"/>
      <c r="BK193" s="450"/>
      <c r="BL193" s="450"/>
      <c r="BO193" s="450"/>
      <c r="BP193" s="450"/>
    </row>
    <row r="194" spans="1:68" ht="12" customHeight="1">
      <c r="A194" s="1277"/>
      <c r="B194" s="1278"/>
      <c r="D194" s="319"/>
      <c r="E194" s="1279"/>
      <c r="F194" s="1279"/>
      <c r="G194" s="1279"/>
      <c r="H194" s="1279"/>
      <c r="I194" s="1279"/>
      <c r="J194" s="1279"/>
      <c r="K194" s="1279"/>
      <c r="L194" s="1279"/>
      <c r="M194" s="1279"/>
      <c r="N194" s="1279"/>
      <c r="O194" s="1279"/>
      <c r="P194" s="1279"/>
      <c r="Q194" s="1279"/>
      <c r="R194" s="1279"/>
      <c r="S194" s="1279"/>
      <c r="T194" s="1279"/>
      <c r="U194" s="1279"/>
      <c r="AB194" s="448"/>
      <c r="AC194" s="448"/>
      <c r="AD194" s="448"/>
      <c r="AE194" s="448"/>
      <c r="AF194" s="448"/>
      <c r="AG194" s="449"/>
      <c r="AH194" s="449"/>
      <c r="AI194" s="449"/>
      <c r="AJ194" s="449"/>
      <c r="AK194" s="449"/>
      <c r="AL194" s="449"/>
      <c r="AM194" s="449"/>
      <c r="AN194" s="449"/>
      <c r="AO194" s="449"/>
      <c r="AP194" s="449"/>
      <c r="AQ194" s="449"/>
      <c r="AR194" s="449"/>
      <c r="AS194" s="449"/>
      <c r="AT194" s="449"/>
      <c r="AU194" s="449"/>
      <c r="AV194" s="449"/>
      <c r="AW194" s="449"/>
      <c r="AX194" s="449"/>
      <c r="AY194" s="449"/>
      <c r="AZ194" s="449"/>
      <c r="BH194" s="450"/>
      <c r="BJ194" s="1240"/>
    </row>
    <row r="195" spans="1:68" ht="12" customHeight="1">
      <c r="A195" s="1281"/>
      <c r="B195" s="317"/>
      <c r="C195" s="317"/>
      <c r="D195" s="319"/>
      <c r="AA195" s="331"/>
      <c r="AB195" s="448"/>
      <c r="AC195" s="448"/>
      <c r="AD195" s="448"/>
      <c r="AE195" s="448"/>
      <c r="AF195" s="448"/>
      <c r="AG195" s="449"/>
      <c r="AH195" s="449"/>
      <c r="AI195" s="449"/>
      <c r="AJ195" s="449"/>
      <c r="AK195" s="449"/>
      <c r="AL195" s="449"/>
      <c r="AM195" s="449"/>
      <c r="AN195" s="449"/>
      <c r="AO195" s="449"/>
      <c r="AP195" s="449"/>
      <c r="AQ195" s="449"/>
      <c r="AR195" s="449"/>
      <c r="AS195" s="449"/>
      <c r="AT195" s="449"/>
      <c r="AU195" s="449"/>
      <c r="AV195" s="449"/>
      <c r="AW195" s="449"/>
      <c r="AX195" s="449"/>
      <c r="AY195" s="449"/>
      <c r="AZ195" s="449"/>
      <c r="BH195" s="450"/>
      <c r="BJ195" s="1240"/>
    </row>
    <row r="196" spans="1:68" ht="12" customHeight="1">
      <c r="A196" s="1281"/>
      <c r="B196" s="1285"/>
      <c r="D196" s="319"/>
      <c r="E196" s="1297"/>
      <c r="F196" s="1297"/>
      <c r="G196" s="1297"/>
      <c r="H196" s="1297"/>
      <c r="I196" s="1297"/>
      <c r="J196" s="1297"/>
      <c r="K196" s="1297"/>
      <c r="L196" s="1297"/>
      <c r="M196" s="1297"/>
      <c r="N196" s="1297"/>
      <c r="O196" s="1297"/>
      <c r="P196" s="1297"/>
      <c r="Q196" s="1297"/>
      <c r="R196" s="1297"/>
      <c r="S196" s="1297"/>
      <c r="T196" s="1297"/>
      <c r="U196" s="1297"/>
      <c r="AB196" s="448"/>
      <c r="AC196" s="448"/>
      <c r="AD196" s="448"/>
      <c r="AE196" s="448"/>
      <c r="AF196" s="448"/>
      <c r="AG196" s="449"/>
      <c r="AH196" s="449"/>
      <c r="AI196" s="449"/>
      <c r="AJ196" s="449"/>
      <c r="AK196" s="449"/>
      <c r="AL196" s="449"/>
      <c r="AM196" s="449"/>
      <c r="AN196" s="449"/>
      <c r="AO196" s="449"/>
      <c r="AP196" s="449"/>
      <c r="AQ196" s="449"/>
      <c r="AR196" s="449"/>
      <c r="AS196" s="449"/>
      <c r="AT196" s="449"/>
      <c r="AU196" s="449"/>
      <c r="AV196" s="449"/>
      <c r="AW196" s="449"/>
      <c r="AX196" s="449"/>
      <c r="AY196" s="449"/>
      <c r="AZ196" s="449"/>
      <c r="BH196" s="450"/>
      <c r="BJ196" s="1240"/>
    </row>
    <row r="197" spans="1:68" ht="12" customHeight="1">
      <c r="A197" s="1277"/>
      <c r="B197" s="1278"/>
      <c r="C197" s="1279"/>
      <c r="D197" s="319"/>
      <c r="E197" s="1280"/>
      <c r="F197" s="1280"/>
      <c r="G197" s="1280"/>
      <c r="H197" s="1280"/>
      <c r="I197" s="1280"/>
      <c r="J197" s="1280"/>
      <c r="K197" s="1280"/>
      <c r="L197" s="1280"/>
      <c r="M197" s="1280"/>
      <c r="N197" s="1280"/>
      <c r="O197" s="1280"/>
      <c r="P197" s="1280"/>
      <c r="Q197" s="1280"/>
      <c r="R197" s="1280"/>
      <c r="S197" s="1280"/>
      <c r="T197" s="1280"/>
      <c r="U197" s="1280"/>
      <c r="AB197" s="448"/>
      <c r="AC197" s="448"/>
      <c r="AD197" s="448"/>
      <c r="AE197" s="448"/>
      <c r="AF197" s="448"/>
      <c r="AG197" s="449"/>
      <c r="AH197" s="449"/>
      <c r="AI197" s="449"/>
      <c r="AJ197" s="449"/>
      <c r="AK197" s="449"/>
      <c r="AL197" s="449"/>
      <c r="AM197" s="449"/>
      <c r="AN197" s="449"/>
      <c r="AO197" s="449"/>
      <c r="AP197" s="449"/>
      <c r="AQ197" s="449"/>
      <c r="AR197" s="449"/>
      <c r="AS197" s="449"/>
      <c r="AT197" s="449"/>
      <c r="AU197" s="449"/>
      <c r="AV197" s="449"/>
      <c r="AW197" s="449"/>
      <c r="AX197" s="449"/>
      <c r="AY197" s="449"/>
      <c r="AZ197" s="449"/>
      <c r="BF197" s="1247"/>
      <c r="BH197" s="450"/>
      <c r="BJ197" s="1240"/>
    </row>
    <row r="198" spans="1:68" ht="12" customHeight="1">
      <c r="A198" s="1277"/>
      <c r="B198" s="1278"/>
      <c r="D198" s="319"/>
      <c r="E198" s="1279"/>
      <c r="F198" s="1279"/>
      <c r="G198" s="1279"/>
      <c r="H198" s="1279"/>
      <c r="I198" s="1279"/>
      <c r="J198" s="1279"/>
      <c r="K198" s="1279"/>
      <c r="L198" s="1279"/>
      <c r="M198" s="1279"/>
      <c r="N198" s="1279"/>
      <c r="O198" s="1279"/>
      <c r="P198" s="1279"/>
      <c r="Q198" s="1279"/>
      <c r="R198" s="1279"/>
      <c r="S198" s="1279"/>
      <c r="T198" s="1279"/>
      <c r="U198" s="1279"/>
      <c r="AB198" s="448"/>
      <c r="AC198" s="448"/>
      <c r="AD198" s="448"/>
      <c r="AE198" s="448"/>
      <c r="AF198" s="448"/>
      <c r="AG198" s="449"/>
      <c r="AH198" s="449"/>
      <c r="AI198" s="449"/>
      <c r="AJ198" s="449"/>
      <c r="AK198" s="449"/>
      <c r="AL198" s="449"/>
      <c r="AM198" s="449"/>
      <c r="AN198" s="449"/>
      <c r="AO198" s="449"/>
      <c r="AP198" s="449"/>
      <c r="AQ198" s="449"/>
      <c r="AR198" s="449"/>
      <c r="AS198" s="449"/>
      <c r="AT198" s="449"/>
      <c r="AU198" s="449"/>
      <c r="AV198" s="449"/>
      <c r="AW198" s="449"/>
      <c r="AX198" s="449"/>
      <c r="AY198" s="449"/>
      <c r="AZ198" s="449"/>
      <c r="BF198" s="1247"/>
      <c r="BH198" s="450"/>
      <c r="BJ198" s="1240"/>
      <c r="BK198" s="450"/>
      <c r="BL198" s="450"/>
      <c r="BO198" s="450"/>
      <c r="BP198" s="450"/>
    </row>
    <row r="199" spans="1:68" ht="12" customHeight="1">
      <c r="A199" s="1281"/>
      <c r="B199" s="317"/>
      <c r="C199" s="317"/>
      <c r="D199" s="319"/>
      <c r="AB199" s="448"/>
      <c r="AC199" s="448"/>
      <c r="AD199" s="448"/>
      <c r="AE199" s="448"/>
      <c r="AF199" s="448"/>
      <c r="AG199" s="449"/>
      <c r="AH199" s="449"/>
      <c r="AI199" s="449"/>
      <c r="AJ199" s="449"/>
      <c r="AK199" s="449"/>
      <c r="AL199" s="449"/>
      <c r="AM199" s="449"/>
      <c r="AN199" s="449"/>
      <c r="AO199" s="449"/>
      <c r="AP199" s="449"/>
      <c r="AQ199" s="449"/>
      <c r="AR199" s="449"/>
      <c r="AS199" s="449"/>
      <c r="AT199" s="449"/>
      <c r="AU199" s="449"/>
      <c r="AV199" s="449"/>
      <c r="AW199" s="449"/>
      <c r="AX199" s="449"/>
      <c r="AY199" s="1301"/>
      <c r="AZ199" s="1301"/>
      <c r="BF199" s="1247"/>
      <c r="BH199" s="450"/>
      <c r="BJ199" s="1240"/>
    </row>
    <row r="200" spans="1:68" ht="12" customHeight="1">
      <c r="A200" s="1281"/>
      <c r="B200" s="317"/>
      <c r="C200" s="317"/>
      <c r="D200" s="319"/>
      <c r="AB200" s="448"/>
      <c r="AC200" s="448"/>
      <c r="AD200" s="448"/>
      <c r="AE200" s="448"/>
      <c r="AF200" s="448"/>
      <c r="AG200" s="449"/>
      <c r="AH200" s="449"/>
      <c r="AI200" s="449"/>
      <c r="AJ200" s="449"/>
      <c r="AK200" s="449"/>
      <c r="AL200" s="449"/>
      <c r="AM200" s="449"/>
      <c r="AN200" s="449"/>
      <c r="AO200" s="449"/>
      <c r="AP200" s="449"/>
      <c r="AQ200" s="449"/>
      <c r="AR200" s="449"/>
      <c r="AS200" s="449"/>
      <c r="AT200" s="449"/>
      <c r="AU200" s="449"/>
      <c r="AV200" s="449"/>
      <c r="AW200" s="449"/>
      <c r="AX200" s="449"/>
      <c r="AY200" s="1301"/>
      <c r="AZ200" s="1301"/>
      <c r="BF200" s="1247"/>
      <c r="BH200" s="450"/>
      <c r="BJ200" s="1240"/>
    </row>
    <row r="201" spans="1:68" ht="12" customHeight="1">
      <c r="A201" s="1281"/>
      <c r="B201" s="317"/>
      <c r="C201" s="317"/>
      <c r="D201" s="319"/>
      <c r="AB201" s="448"/>
      <c r="AC201" s="448"/>
      <c r="AD201" s="448"/>
      <c r="AE201" s="448"/>
      <c r="AF201" s="448"/>
      <c r="AG201" s="449"/>
      <c r="AH201" s="449"/>
      <c r="AI201" s="449"/>
      <c r="AJ201" s="449"/>
      <c r="AK201" s="449"/>
      <c r="AL201" s="449"/>
      <c r="AM201" s="449"/>
      <c r="AN201" s="449"/>
      <c r="AO201" s="449"/>
      <c r="AP201" s="449"/>
      <c r="AQ201" s="449"/>
      <c r="AR201" s="449"/>
      <c r="AS201" s="449"/>
      <c r="AT201" s="449"/>
      <c r="AU201" s="449"/>
      <c r="AV201" s="449"/>
      <c r="AW201" s="449"/>
      <c r="AX201" s="449"/>
      <c r="AY201" s="1301"/>
      <c r="AZ201" s="1301"/>
      <c r="BF201" s="1247"/>
      <c r="BH201" s="450"/>
      <c r="BJ201" s="1240"/>
    </row>
    <row r="202" spans="1:68" ht="12" customHeight="1">
      <c r="A202" s="1281"/>
      <c r="B202" s="317"/>
      <c r="C202" s="317"/>
      <c r="D202" s="319"/>
      <c r="AB202" s="448"/>
      <c r="AC202" s="448"/>
      <c r="AD202" s="448"/>
      <c r="AE202" s="448"/>
      <c r="AF202" s="448"/>
      <c r="AG202" s="449"/>
      <c r="AH202" s="449"/>
      <c r="AI202" s="449"/>
      <c r="AJ202" s="449"/>
      <c r="AK202" s="449"/>
      <c r="AL202" s="449"/>
      <c r="AM202" s="449"/>
      <c r="AN202" s="449"/>
      <c r="AO202" s="449"/>
      <c r="AP202" s="449"/>
      <c r="AQ202" s="449"/>
      <c r="AR202" s="449"/>
      <c r="AS202" s="449"/>
      <c r="AT202" s="449"/>
      <c r="AU202" s="449"/>
      <c r="AV202" s="449"/>
      <c r="AW202" s="449"/>
      <c r="AX202" s="449"/>
      <c r="AY202" s="1301"/>
      <c r="AZ202" s="1301"/>
      <c r="BF202" s="1247"/>
      <c r="BH202" s="450"/>
      <c r="BJ202" s="1240"/>
    </row>
    <row r="203" spans="1:68" ht="12" customHeight="1">
      <c r="A203" s="1281"/>
      <c r="B203" s="317"/>
      <c r="C203" s="317"/>
      <c r="D203" s="319"/>
      <c r="AB203" s="448"/>
      <c r="AC203" s="448"/>
      <c r="AD203" s="448"/>
      <c r="AE203" s="448"/>
      <c r="AF203" s="448"/>
      <c r="AG203" s="449"/>
      <c r="AH203" s="449"/>
      <c r="AI203" s="449"/>
      <c r="AJ203" s="449"/>
      <c r="AK203" s="449"/>
      <c r="AL203" s="449"/>
      <c r="AM203" s="449"/>
      <c r="AN203" s="449"/>
      <c r="AO203" s="449"/>
      <c r="AP203" s="449"/>
      <c r="AQ203" s="449"/>
      <c r="AR203" s="449"/>
      <c r="AS203" s="449"/>
      <c r="AT203" s="449"/>
      <c r="AU203" s="449"/>
      <c r="AV203" s="449"/>
      <c r="AW203" s="449"/>
      <c r="AX203" s="449"/>
      <c r="AY203" s="1301"/>
      <c r="AZ203" s="1301"/>
      <c r="BF203" s="1247"/>
      <c r="BH203" s="450"/>
      <c r="BJ203" s="1240"/>
    </row>
    <row r="204" spans="1:68" ht="12" customHeight="1">
      <c r="A204" s="1281"/>
      <c r="B204" s="317"/>
      <c r="C204" s="317"/>
      <c r="D204" s="319"/>
      <c r="AB204" s="448"/>
      <c r="AC204" s="448"/>
      <c r="AD204" s="448"/>
      <c r="AE204" s="448"/>
      <c r="AF204" s="448"/>
      <c r="AG204" s="449"/>
      <c r="AH204" s="449"/>
      <c r="AI204" s="449"/>
      <c r="AJ204" s="449"/>
      <c r="AK204" s="449"/>
      <c r="AL204" s="449"/>
      <c r="AM204" s="449"/>
      <c r="AN204" s="449"/>
      <c r="AO204" s="449"/>
      <c r="AP204" s="449"/>
      <c r="AQ204" s="449"/>
      <c r="AR204" s="449"/>
      <c r="AS204" s="449"/>
      <c r="AT204" s="449"/>
      <c r="AU204" s="449"/>
      <c r="AV204" s="449"/>
      <c r="AW204" s="449"/>
      <c r="AX204" s="449"/>
      <c r="AY204" s="1301"/>
      <c r="AZ204" s="1301"/>
      <c r="BF204" s="1247"/>
      <c r="BH204" s="450"/>
      <c r="BJ204" s="1240"/>
    </row>
    <row r="205" spans="1:68" ht="12" customHeight="1">
      <c r="A205" s="1281"/>
      <c r="B205" s="317"/>
      <c r="C205" s="317"/>
      <c r="D205" s="319"/>
      <c r="AB205" s="448"/>
      <c r="AC205" s="448"/>
      <c r="AD205" s="448"/>
      <c r="AE205" s="448"/>
      <c r="AF205" s="448"/>
      <c r="AG205" s="449"/>
      <c r="AH205" s="449"/>
      <c r="AI205" s="449"/>
      <c r="AJ205" s="449"/>
      <c r="AK205" s="449"/>
      <c r="AL205" s="449"/>
      <c r="AM205" s="449"/>
      <c r="AN205" s="449"/>
      <c r="AO205" s="449"/>
      <c r="AP205" s="449"/>
      <c r="AQ205" s="449"/>
      <c r="AR205" s="449"/>
      <c r="AS205" s="449"/>
      <c r="AT205" s="449"/>
      <c r="AU205" s="449"/>
      <c r="AV205" s="449"/>
      <c r="AW205" s="449"/>
      <c r="AX205" s="449"/>
      <c r="AY205" s="1301"/>
      <c r="AZ205" s="1301"/>
      <c r="BF205" s="1247"/>
      <c r="BH205" s="450"/>
      <c r="BJ205" s="1240"/>
    </row>
    <row r="206" spans="1:68" ht="12" customHeight="1">
      <c r="A206" s="1281"/>
      <c r="B206" s="317"/>
      <c r="C206" s="317"/>
      <c r="D206" s="319"/>
      <c r="AB206" s="448"/>
      <c r="AC206" s="448"/>
      <c r="AD206" s="448"/>
      <c r="AE206" s="448"/>
      <c r="AF206" s="448"/>
      <c r="AG206" s="449"/>
      <c r="AH206" s="449"/>
      <c r="AI206" s="449"/>
      <c r="AJ206" s="449"/>
      <c r="AK206" s="449"/>
      <c r="AL206" s="449"/>
      <c r="AM206" s="449"/>
      <c r="AN206" s="449"/>
      <c r="AO206" s="449"/>
      <c r="AP206" s="449"/>
      <c r="AQ206" s="449"/>
      <c r="AR206" s="449"/>
      <c r="AS206" s="449"/>
      <c r="AT206" s="449"/>
      <c r="AU206" s="449"/>
      <c r="AV206" s="449"/>
      <c r="AW206" s="449"/>
      <c r="AX206" s="449"/>
      <c r="AY206" s="1301"/>
      <c r="AZ206" s="1301"/>
      <c r="BF206" s="1247"/>
      <c r="BH206" s="450"/>
      <c r="BJ206" s="1240"/>
    </row>
    <row r="207" spans="1:68" ht="12" customHeight="1">
      <c r="A207" s="1281"/>
      <c r="B207" s="317"/>
      <c r="C207" s="317"/>
      <c r="D207" s="319"/>
      <c r="AB207" s="448"/>
      <c r="AC207" s="448"/>
      <c r="AD207" s="448"/>
      <c r="AE207" s="448"/>
      <c r="AF207" s="448"/>
      <c r="AG207" s="449"/>
      <c r="AH207" s="449"/>
      <c r="AI207" s="449"/>
      <c r="AJ207" s="449"/>
      <c r="AK207" s="449"/>
      <c r="AL207" s="449"/>
      <c r="AM207" s="449"/>
      <c r="AN207" s="449"/>
      <c r="AO207" s="449"/>
      <c r="AP207" s="449"/>
      <c r="AQ207" s="449"/>
      <c r="AR207" s="449"/>
      <c r="AS207" s="449"/>
      <c r="AT207" s="449"/>
      <c r="AU207" s="449"/>
      <c r="AV207" s="449"/>
      <c r="AW207" s="449"/>
      <c r="AX207" s="449"/>
      <c r="AY207" s="1301"/>
      <c r="AZ207" s="1301"/>
      <c r="BF207" s="1247"/>
      <c r="BH207" s="450"/>
      <c r="BJ207" s="1240"/>
    </row>
    <row r="208" spans="1:68" ht="12" customHeight="1">
      <c r="A208" s="1281"/>
      <c r="B208" s="317"/>
      <c r="C208" s="317"/>
      <c r="D208" s="319"/>
      <c r="AB208" s="448"/>
      <c r="AC208" s="448"/>
      <c r="AD208" s="448"/>
      <c r="AE208" s="448"/>
      <c r="AF208" s="448"/>
      <c r="AG208" s="449"/>
      <c r="AH208" s="449"/>
      <c r="AI208" s="449"/>
      <c r="AJ208" s="449"/>
      <c r="AK208" s="449"/>
      <c r="AL208" s="449"/>
      <c r="AM208" s="449"/>
      <c r="AN208" s="449"/>
      <c r="AO208" s="449"/>
      <c r="AP208" s="449"/>
      <c r="AQ208" s="449"/>
      <c r="AR208" s="449"/>
      <c r="AS208" s="449"/>
      <c r="AT208" s="449"/>
      <c r="AU208" s="449"/>
      <c r="AV208" s="449"/>
      <c r="AW208" s="449"/>
      <c r="AX208" s="449"/>
      <c r="AY208" s="449"/>
      <c r="AZ208" s="449"/>
      <c r="BF208" s="1247"/>
      <c r="BH208" s="450"/>
      <c r="BJ208" s="1240"/>
    </row>
    <row r="209" spans="1:68" ht="12" customHeight="1">
      <c r="A209" s="1281"/>
      <c r="B209" s="317"/>
      <c r="C209" s="317"/>
      <c r="D209" s="319"/>
      <c r="AB209" s="448"/>
      <c r="AC209" s="448"/>
      <c r="AD209" s="448"/>
      <c r="AE209" s="448"/>
      <c r="AF209" s="448"/>
      <c r="AG209" s="449"/>
      <c r="AH209" s="449"/>
      <c r="AI209" s="449"/>
      <c r="AJ209" s="449"/>
      <c r="AK209" s="449"/>
      <c r="AL209" s="449"/>
      <c r="AM209" s="449"/>
      <c r="AN209" s="449"/>
      <c r="AO209" s="449"/>
      <c r="AP209" s="449"/>
      <c r="AQ209" s="449"/>
      <c r="AR209" s="449"/>
      <c r="AS209" s="449"/>
      <c r="AT209" s="449"/>
      <c r="AU209" s="449"/>
      <c r="AV209" s="449"/>
      <c r="AW209" s="449"/>
      <c r="AX209" s="449"/>
      <c r="AY209" s="449"/>
      <c r="AZ209" s="449"/>
      <c r="BF209" s="1247"/>
      <c r="BH209" s="450"/>
      <c r="BJ209" s="1240"/>
    </row>
    <row r="210" spans="1:68" ht="12" customHeight="1">
      <c r="A210" s="1281"/>
      <c r="B210" s="317"/>
      <c r="C210" s="317"/>
      <c r="D210" s="319"/>
      <c r="AB210" s="448"/>
      <c r="AC210" s="448"/>
      <c r="AD210" s="448"/>
      <c r="AE210" s="448"/>
      <c r="AF210" s="448"/>
      <c r="AG210" s="449"/>
      <c r="AH210" s="449"/>
      <c r="AI210" s="449"/>
      <c r="AJ210" s="449"/>
      <c r="AK210" s="449"/>
      <c r="AL210" s="449"/>
      <c r="AM210" s="449"/>
      <c r="AN210" s="449"/>
      <c r="AO210" s="449"/>
      <c r="AP210" s="449"/>
      <c r="AQ210" s="449"/>
      <c r="AR210" s="449"/>
      <c r="AS210" s="449"/>
      <c r="AT210" s="449"/>
      <c r="AU210" s="449"/>
      <c r="AV210" s="449"/>
      <c r="AW210" s="449"/>
      <c r="AX210" s="449"/>
      <c r="AY210" s="449"/>
      <c r="AZ210" s="449"/>
      <c r="BF210" s="1247"/>
      <c r="BH210" s="450"/>
      <c r="BJ210" s="1240"/>
    </row>
    <row r="211" spans="1:68" ht="12" customHeight="1">
      <c r="A211" s="1281"/>
      <c r="B211" s="317"/>
      <c r="C211" s="317"/>
      <c r="D211" s="319"/>
      <c r="AB211" s="448"/>
      <c r="AC211" s="448"/>
      <c r="AD211" s="448"/>
      <c r="AE211" s="448"/>
      <c r="AF211" s="448"/>
      <c r="AG211" s="449"/>
      <c r="AH211" s="449"/>
      <c r="AI211" s="449"/>
      <c r="AJ211" s="449"/>
      <c r="AK211" s="449"/>
      <c r="AL211" s="449"/>
      <c r="AM211" s="449"/>
      <c r="AN211" s="449"/>
      <c r="AO211" s="449"/>
      <c r="AP211" s="449"/>
      <c r="AQ211" s="449"/>
      <c r="AR211" s="449"/>
      <c r="AS211" s="449"/>
      <c r="AT211" s="449"/>
      <c r="AU211" s="449"/>
      <c r="AV211" s="449"/>
      <c r="AW211" s="449"/>
      <c r="AX211" s="449"/>
      <c r="AY211" s="449"/>
      <c r="AZ211" s="449"/>
      <c r="BF211" s="1247"/>
      <c r="BH211" s="450"/>
      <c r="BJ211" s="1240"/>
    </row>
    <row r="212" spans="1:68" ht="12" customHeight="1">
      <c r="A212" s="1281"/>
      <c r="B212" s="317"/>
      <c r="C212" s="317"/>
      <c r="D212" s="319"/>
      <c r="AB212" s="448"/>
      <c r="AC212" s="448"/>
      <c r="AD212" s="448"/>
      <c r="AE212" s="448"/>
      <c r="AF212" s="448"/>
      <c r="AG212" s="449"/>
      <c r="AH212" s="449"/>
      <c r="AI212" s="449"/>
      <c r="AJ212" s="449"/>
      <c r="AK212" s="449"/>
      <c r="AL212" s="449"/>
      <c r="AM212" s="449"/>
      <c r="AN212" s="449"/>
      <c r="AO212" s="449"/>
      <c r="AP212" s="449"/>
      <c r="AQ212" s="449"/>
      <c r="AR212" s="449"/>
      <c r="AS212" s="449"/>
      <c r="AT212" s="449"/>
      <c r="AU212" s="449"/>
      <c r="AV212" s="449"/>
      <c r="AW212" s="449"/>
      <c r="AX212" s="449"/>
      <c r="AY212" s="449"/>
      <c r="AZ212" s="449"/>
      <c r="BF212" s="1247"/>
      <c r="BH212" s="450"/>
      <c r="BJ212" s="1240"/>
    </row>
    <row r="213" spans="1:68" ht="12" customHeight="1">
      <c r="A213" s="1281"/>
      <c r="B213" s="317"/>
      <c r="C213" s="317"/>
      <c r="D213" s="319"/>
      <c r="AB213" s="448"/>
      <c r="AC213" s="448"/>
      <c r="AD213" s="448"/>
      <c r="AE213" s="448"/>
      <c r="AF213" s="448"/>
      <c r="AG213" s="449"/>
      <c r="AH213" s="449"/>
      <c r="AI213" s="449"/>
      <c r="AJ213" s="449"/>
      <c r="AK213" s="449"/>
      <c r="AL213" s="449"/>
      <c r="AM213" s="449"/>
      <c r="AN213" s="449"/>
      <c r="AO213" s="449"/>
      <c r="AP213" s="449"/>
      <c r="AQ213" s="449"/>
      <c r="AR213" s="449"/>
      <c r="AS213" s="449"/>
      <c r="AT213" s="449"/>
      <c r="AU213" s="449"/>
      <c r="AV213" s="449"/>
      <c r="AW213" s="449"/>
      <c r="AX213" s="449"/>
      <c r="AY213" s="449"/>
      <c r="AZ213" s="449"/>
      <c r="BF213" s="1247"/>
      <c r="BH213" s="450"/>
      <c r="BJ213" s="1240"/>
    </row>
    <row r="214" spans="1:68" ht="12" customHeight="1">
      <c r="A214" s="327"/>
      <c r="B214" s="317"/>
      <c r="C214" s="316"/>
      <c r="D214" s="319"/>
      <c r="AB214" s="448"/>
      <c r="AC214" s="448"/>
      <c r="AD214" s="448"/>
      <c r="AE214" s="448"/>
      <c r="AF214" s="448"/>
      <c r="AG214" s="449"/>
      <c r="AH214" s="449"/>
      <c r="AI214" s="449"/>
      <c r="AJ214" s="449"/>
      <c r="AK214" s="449"/>
      <c r="AL214" s="449"/>
      <c r="AM214" s="449"/>
      <c r="AN214" s="449"/>
      <c r="AO214" s="449"/>
      <c r="AP214" s="449"/>
      <c r="AQ214" s="449"/>
      <c r="AR214" s="449"/>
      <c r="AS214" s="449"/>
      <c r="AT214" s="449"/>
      <c r="AU214" s="449"/>
      <c r="AV214" s="449"/>
      <c r="AW214" s="449"/>
      <c r="AX214" s="449"/>
      <c r="AY214" s="449"/>
      <c r="AZ214" s="449"/>
      <c r="BF214" s="1247"/>
      <c r="BG214" s="450"/>
      <c r="BH214" s="450"/>
      <c r="BJ214" s="1240"/>
      <c r="BK214" s="450"/>
      <c r="BL214" s="450"/>
      <c r="BO214" s="450"/>
      <c r="BP214" s="450"/>
    </row>
    <row r="215" spans="1:68" ht="12" customHeight="1">
      <c r="A215" s="1281"/>
      <c r="B215" s="317"/>
      <c r="C215" s="317"/>
      <c r="D215" s="319"/>
      <c r="AB215" s="487"/>
      <c r="AC215" s="487"/>
      <c r="AD215" s="487"/>
      <c r="AE215" s="487"/>
      <c r="AF215" s="487"/>
      <c r="AG215" s="488"/>
      <c r="AH215" s="488"/>
      <c r="AI215" s="488"/>
      <c r="AJ215" s="488"/>
      <c r="AK215" s="488"/>
      <c r="AL215" s="488"/>
      <c r="AM215" s="488"/>
      <c r="AN215" s="488"/>
      <c r="AO215" s="488"/>
      <c r="AP215" s="488"/>
      <c r="AQ215" s="488"/>
      <c r="AR215" s="488"/>
      <c r="AS215" s="488"/>
      <c r="AT215" s="488"/>
      <c r="AU215" s="488"/>
      <c r="AV215" s="488"/>
      <c r="AW215" s="488"/>
      <c r="AX215" s="488"/>
      <c r="AY215" s="1301"/>
      <c r="AZ215" s="1301"/>
      <c r="BF215" s="1247"/>
      <c r="BH215" s="450"/>
      <c r="BJ215" s="1240"/>
    </row>
    <row r="216" spans="1:68" ht="12" customHeight="1">
      <c r="A216" s="1281"/>
      <c r="B216" s="317"/>
      <c r="C216" s="317"/>
      <c r="D216" s="319"/>
      <c r="AB216" s="448"/>
      <c r="AC216" s="448"/>
      <c r="AD216" s="448"/>
      <c r="AE216" s="448"/>
      <c r="AF216" s="448"/>
      <c r="AG216" s="449"/>
      <c r="AH216" s="449"/>
      <c r="AI216" s="449"/>
      <c r="AJ216" s="449"/>
      <c r="AK216" s="449"/>
      <c r="AL216" s="449"/>
      <c r="AM216" s="449"/>
      <c r="AN216" s="449"/>
      <c r="AO216" s="449"/>
      <c r="AP216" s="449"/>
      <c r="AQ216" s="449"/>
      <c r="AR216" s="449"/>
      <c r="AS216" s="449"/>
      <c r="AT216" s="449"/>
      <c r="AU216" s="449"/>
      <c r="AV216" s="449"/>
      <c r="AW216" s="449"/>
      <c r="AX216" s="449"/>
      <c r="AY216" s="1301"/>
      <c r="AZ216" s="1301"/>
      <c r="BF216" s="1247"/>
      <c r="BH216" s="450"/>
      <c r="BJ216" s="1240"/>
    </row>
    <row r="217" spans="1:68" ht="12" customHeight="1">
      <c r="A217" s="1238"/>
      <c r="B217" s="1239"/>
      <c r="C217" s="1269"/>
      <c r="D217" s="319"/>
      <c r="AB217" s="448"/>
      <c r="AC217" s="448"/>
      <c r="AD217" s="448"/>
      <c r="AE217" s="448"/>
      <c r="AF217" s="448"/>
      <c r="AG217" s="449"/>
      <c r="AH217" s="449"/>
      <c r="AI217" s="449"/>
      <c r="AJ217" s="449"/>
      <c r="AK217" s="449"/>
      <c r="AL217" s="449"/>
      <c r="AM217" s="449"/>
      <c r="AN217" s="449"/>
      <c r="AO217" s="449"/>
      <c r="AP217" s="449"/>
      <c r="AQ217" s="449"/>
      <c r="AR217" s="449"/>
      <c r="AS217" s="449"/>
      <c r="AT217" s="449"/>
      <c r="AU217" s="449"/>
      <c r="AV217" s="449"/>
      <c r="AW217" s="449"/>
      <c r="AX217" s="449"/>
      <c r="AY217" s="449"/>
      <c r="AZ217" s="449"/>
      <c r="BF217" s="1247"/>
      <c r="BH217" s="450"/>
      <c r="BJ217" s="1240"/>
    </row>
    <row r="218" spans="1:68" ht="12" customHeight="1">
      <c r="A218" s="327"/>
      <c r="B218" s="317"/>
      <c r="C218" s="316"/>
      <c r="D218" s="319"/>
      <c r="AB218" s="448"/>
      <c r="AC218" s="448"/>
      <c r="AD218" s="448"/>
      <c r="AE218" s="448"/>
      <c r="AF218" s="448"/>
      <c r="AG218" s="449"/>
      <c r="AH218" s="449"/>
      <c r="AI218" s="449"/>
      <c r="AJ218" s="449"/>
      <c r="AK218" s="449"/>
      <c r="AL218" s="449"/>
      <c r="AM218" s="449"/>
      <c r="AN218" s="449"/>
      <c r="AO218" s="449"/>
      <c r="AP218" s="449"/>
      <c r="AQ218" s="449"/>
      <c r="AR218" s="449"/>
      <c r="AS218" s="449"/>
      <c r="AT218" s="449"/>
      <c r="AU218" s="449"/>
      <c r="AV218" s="449"/>
      <c r="AW218" s="449"/>
      <c r="AX218" s="449"/>
      <c r="AY218" s="449"/>
      <c r="AZ218" s="449"/>
      <c r="BF218" s="1247"/>
      <c r="BH218" s="450"/>
      <c r="BJ218" s="1240"/>
    </row>
    <row r="219" spans="1:68" ht="12" customHeight="1">
      <c r="A219" s="327"/>
      <c r="B219" s="1299"/>
      <c r="C219" s="316"/>
      <c r="D219" s="319"/>
      <c r="E219" s="1269"/>
      <c r="F219" s="1269"/>
      <c r="G219" s="1269"/>
      <c r="H219" s="1269"/>
      <c r="I219" s="1269"/>
      <c r="J219" s="1269"/>
      <c r="K219" s="1269"/>
      <c r="L219" s="1269"/>
      <c r="M219" s="1269"/>
      <c r="N219" s="1269"/>
      <c r="O219" s="1269"/>
      <c r="P219" s="1269"/>
      <c r="Q219" s="1269"/>
      <c r="R219" s="1269"/>
      <c r="S219" s="1269"/>
      <c r="T219" s="1269"/>
      <c r="U219" s="1269"/>
      <c r="AB219" s="329"/>
      <c r="AC219" s="329"/>
      <c r="AD219" s="329"/>
      <c r="AE219" s="329"/>
      <c r="AF219" s="329"/>
      <c r="AG219" s="330"/>
      <c r="AH219" s="330"/>
      <c r="AI219" s="330"/>
      <c r="AJ219" s="330"/>
      <c r="AK219" s="330"/>
      <c r="AL219" s="330"/>
      <c r="AM219" s="330"/>
      <c r="AN219" s="330"/>
      <c r="AO219" s="330"/>
      <c r="AP219" s="330"/>
      <c r="AQ219" s="330"/>
      <c r="AR219" s="330"/>
      <c r="AS219" s="330"/>
      <c r="AT219" s="330"/>
      <c r="AU219" s="330"/>
      <c r="AV219" s="330"/>
      <c r="AW219" s="330"/>
      <c r="AX219" s="330"/>
      <c r="AY219" s="330"/>
      <c r="AZ219" s="330"/>
      <c r="BG219" s="323"/>
      <c r="BH219" s="323"/>
      <c r="BJ219" s="1339"/>
      <c r="BK219" s="323"/>
      <c r="BL219" s="323"/>
      <c r="BO219" s="323"/>
      <c r="BP219" s="323"/>
    </row>
    <row r="220" spans="1:68" ht="12" customHeight="1">
      <c r="A220" s="327"/>
      <c r="B220" s="316"/>
      <c r="C220" s="317"/>
      <c r="D220" s="319"/>
      <c r="AB220" s="329"/>
      <c r="AC220" s="329"/>
      <c r="AD220" s="329"/>
      <c r="AE220" s="329"/>
      <c r="AF220" s="329"/>
      <c r="AG220" s="330"/>
      <c r="AH220" s="330"/>
      <c r="AI220" s="330"/>
      <c r="AJ220" s="330"/>
      <c r="AK220" s="330"/>
      <c r="AL220" s="330"/>
      <c r="AM220" s="330"/>
      <c r="AN220" s="330"/>
      <c r="AO220" s="330"/>
      <c r="AP220" s="330"/>
      <c r="AQ220" s="330"/>
      <c r="AR220" s="330"/>
      <c r="AS220" s="330"/>
      <c r="AT220" s="330"/>
      <c r="AU220" s="330"/>
      <c r="AV220" s="330"/>
      <c r="AW220" s="330"/>
      <c r="AX220" s="330"/>
      <c r="AY220" s="330"/>
      <c r="AZ220" s="330"/>
      <c r="BF220" s="1247"/>
      <c r="BH220" s="323"/>
      <c r="BJ220" s="1240"/>
      <c r="BK220" s="325"/>
      <c r="BL220" s="325"/>
      <c r="BO220" s="1290"/>
      <c r="BP220" s="1290"/>
    </row>
    <row r="221" spans="1:68" ht="12" customHeight="1">
      <c r="A221" s="327"/>
      <c r="B221" s="317"/>
      <c r="C221" s="316"/>
      <c r="D221" s="319"/>
      <c r="AB221" s="448"/>
      <c r="AC221" s="448"/>
      <c r="AD221" s="448"/>
      <c r="AE221" s="448"/>
      <c r="AF221" s="448"/>
      <c r="AG221" s="449"/>
      <c r="AH221" s="449"/>
      <c r="AI221" s="449"/>
      <c r="AJ221" s="449"/>
      <c r="AK221" s="449"/>
      <c r="AL221" s="449"/>
      <c r="AM221" s="449"/>
      <c r="AN221" s="449"/>
      <c r="AO221" s="449"/>
      <c r="AP221" s="449"/>
      <c r="AQ221" s="449"/>
      <c r="AR221" s="449"/>
      <c r="AS221" s="449"/>
      <c r="AT221" s="449"/>
      <c r="AU221" s="449"/>
      <c r="AV221" s="449"/>
      <c r="AW221" s="449"/>
      <c r="AX221" s="449"/>
      <c r="AY221" s="449"/>
      <c r="AZ221" s="449"/>
      <c r="BF221" s="1247"/>
      <c r="BH221" s="450"/>
      <c r="BJ221" s="1240"/>
    </row>
    <row r="222" spans="1:68" ht="12" customHeight="1">
      <c r="A222" s="1281"/>
      <c r="B222" s="317"/>
      <c r="C222" s="317"/>
      <c r="D222" s="319"/>
      <c r="AB222" s="448"/>
      <c r="AC222" s="448"/>
      <c r="AD222" s="448"/>
      <c r="AE222" s="448"/>
      <c r="AF222" s="448"/>
      <c r="AG222" s="449"/>
      <c r="AH222" s="449"/>
      <c r="AI222" s="449"/>
      <c r="AJ222" s="449"/>
      <c r="AK222" s="449"/>
      <c r="AL222" s="449"/>
      <c r="AM222" s="449"/>
      <c r="AN222" s="449"/>
      <c r="AO222" s="449"/>
      <c r="AP222" s="449"/>
      <c r="AQ222" s="449"/>
      <c r="AR222" s="449"/>
      <c r="AS222" s="449"/>
      <c r="AT222" s="449"/>
      <c r="AU222" s="449"/>
      <c r="AV222" s="449"/>
      <c r="AW222" s="449"/>
      <c r="AX222" s="449"/>
      <c r="AY222" s="1287"/>
      <c r="AZ222" s="1287"/>
      <c r="BF222" s="1247"/>
      <c r="BH222" s="450"/>
      <c r="BJ222" s="1240"/>
    </row>
    <row r="223" spans="1:68" ht="12" customHeight="1">
      <c r="A223" s="1238"/>
      <c r="B223" s="1276"/>
      <c r="C223" s="1239"/>
      <c r="D223" s="319"/>
      <c r="AB223" s="448"/>
      <c r="AC223" s="448"/>
      <c r="AD223" s="448"/>
      <c r="AE223" s="448"/>
      <c r="AF223" s="448"/>
      <c r="AG223" s="449"/>
      <c r="AH223" s="449"/>
      <c r="AI223" s="449"/>
      <c r="AJ223" s="449"/>
      <c r="AK223" s="449"/>
      <c r="AL223" s="449"/>
      <c r="AM223" s="449"/>
      <c r="AN223" s="449"/>
      <c r="AO223" s="449"/>
      <c r="AP223" s="449"/>
      <c r="AQ223" s="449"/>
      <c r="AR223" s="449"/>
      <c r="AS223" s="449"/>
      <c r="AT223" s="449"/>
      <c r="AU223" s="449"/>
      <c r="AV223" s="449"/>
      <c r="AW223" s="449"/>
      <c r="AX223" s="449"/>
      <c r="AY223" s="449"/>
      <c r="AZ223" s="449"/>
      <c r="BF223" s="1247"/>
      <c r="BH223" s="450"/>
      <c r="BJ223" s="1240"/>
    </row>
    <row r="224" spans="1:68" ht="12" customHeight="1">
      <c r="A224" s="1293"/>
      <c r="B224" s="1294"/>
      <c r="C224" s="1295"/>
      <c r="D224" s="319"/>
      <c r="E224" s="1296"/>
      <c r="F224" s="1296"/>
      <c r="G224" s="1296"/>
      <c r="H224" s="1296"/>
      <c r="I224" s="1296"/>
      <c r="J224" s="1296"/>
      <c r="K224" s="1296"/>
      <c r="L224" s="1296"/>
      <c r="M224" s="1296"/>
      <c r="N224" s="1296"/>
      <c r="O224" s="1296"/>
      <c r="P224" s="1296"/>
      <c r="Q224" s="1296"/>
      <c r="R224" s="1296"/>
      <c r="S224" s="1296"/>
      <c r="T224" s="1296"/>
      <c r="U224" s="1296"/>
      <c r="AB224" s="448"/>
      <c r="AC224" s="448"/>
      <c r="AD224" s="448"/>
      <c r="AE224" s="448"/>
      <c r="AF224" s="448"/>
      <c r="AG224" s="449"/>
      <c r="AH224" s="449"/>
      <c r="AI224" s="449"/>
      <c r="AJ224" s="449"/>
      <c r="AK224" s="449"/>
      <c r="AL224" s="449"/>
      <c r="AM224" s="449"/>
      <c r="AN224" s="449"/>
      <c r="AO224" s="449"/>
      <c r="AP224" s="449"/>
      <c r="AQ224" s="449"/>
      <c r="AR224" s="449"/>
      <c r="AS224" s="449"/>
      <c r="AT224" s="449"/>
      <c r="AU224" s="449"/>
      <c r="AV224" s="449"/>
      <c r="AW224" s="449"/>
      <c r="AX224" s="449"/>
      <c r="AY224" s="449"/>
      <c r="AZ224" s="449"/>
      <c r="BF224" s="1247"/>
      <c r="BH224" s="450"/>
      <c r="BJ224" s="1240"/>
    </row>
    <row r="225" spans="1:68" ht="12" customHeight="1">
      <c r="A225" s="1238"/>
      <c r="B225" s="1239"/>
      <c r="C225" s="1239"/>
      <c r="D225" s="319"/>
      <c r="AB225" s="448"/>
      <c r="AC225" s="448"/>
      <c r="AD225" s="448"/>
      <c r="AE225" s="448"/>
      <c r="AF225" s="448"/>
      <c r="AG225" s="449"/>
      <c r="AH225" s="449"/>
      <c r="AI225" s="449"/>
      <c r="AJ225" s="449"/>
      <c r="AK225" s="449"/>
      <c r="AL225" s="449"/>
      <c r="AM225" s="449"/>
      <c r="AN225" s="449"/>
      <c r="AO225" s="449"/>
      <c r="AP225" s="449"/>
      <c r="AQ225" s="449"/>
      <c r="AR225" s="449"/>
      <c r="AS225" s="449"/>
      <c r="AT225" s="449"/>
      <c r="AU225" s="449"/>
      <c r="AV225" s="449"/>
      <c r="AW225" s="449"/>
      <c r="AX225" s="449"/>
      <c r="AY225" s="449"/>
      <c r="AZ225" s="449"/>
      <c r="BF225" s="1247"/>
      <c r="BH225" s="450"/>
      <c r="BJ225" s="1240"/>
    </row>
    <row r="226" spans="1:68" ht="12" customHeight="1">
      <c r="A226" s="327"/>
      <c r="B226" s="317"/>
      <c r="C226" s="316"/>
      <c r="D226" s="319"/>
      <c r="AB226" s="448"/>
      <c r="AC226" s="448"/>
      <c r="AD226" s="448"/>
      <c r="AE226" s="448"/>
      <c r="AF226" s="448"/>
      <c r="AG226" s="449"/>
      <c r="AH226" s="449"/>
      <c r="AI226" s="449"/>
      <c r="AJ226" s="449"/>
      <c r="AK226" s="449"/>
      <c r="AL226" s="449"/>
      <c r="AM226" s="449"/>
      <c r="AN226" s="449"/>
      <c r="AO226" s="449"/>
      <c r="AP226" s="449"/>
      <c r="AQ226" s="449"/>
      <c r="AR226" s="449"/>
      <c r="AS226" s="449"/>
      <c r="AT226" s="449"/>
      <c r="AU226" s="449"/>
      <c r="AV226" s="449"/>
      <c r="AW226" s="449"/>
      <c r="AX226" s="449"/>
      <c r="AY226" s="449"/>
      <c r="AZ226" s="449"/>
      <c r="BF226" s="1247"/>
      <c r="BH226" s="450"/>
      <c r="BJ226" s="1240"/>
    </row>
    <row r="227" spans="1:68" ht="12" customHeight="1">
      <c r="A227" s="1281"/>
      <c r="B227" s="317"/>
      <c r="C227" s="317"/>
      <c r="D227" s="319"/>
      <c r="AB227" s="448"/>
      <c r="AC227" s="448"/>
      <c r="AD227" s="448"/>
      <c r="AE227" s="448"/>
      <c r="AF227" s="448"/>
      <c r="AG227" s="449"/>
      <c r="AH227" s="449"/>
      <c r="AI227" s="449"/>
      <c r="AJ227" s="449"/>
      <c r="AK227" s="449"/>
      <c r="AL227" s="449"/>
      <c r="AM227" s="449"/>
      <c r="AN227" s="449"/>
      <c r="AO227" s="449"/>
      <c r="AP227" s="449"/>
      <c r="AQ227" s="449"/>
      <c r="AR227" s="449"/>
      <c r="AS227" s="449"/>
      <c r="AT227" s="449"/>
      <c r="AU227" s="449"/>
      <c r="AV227" s="449"/>
      <c r="AW227" s="449"/>
      <c r="AX227" s="449"/>
      <c r="AY227" s="449"/>
      <c r="AZ227" s="449"/>
      <c r="BF227" s="1247"/>
      <c r="BH227" s="450"/>
      <c r="BJ227" s="1240"/>
    </row>
    <row r="228" spans="1:68" ht="12" customHeight="1">
      <c r="A228" s="1281"/>
      <c r="B228" s="317"/>
      <c r="C228" s="317"/>
      <c r="D228" s="319"/>
      <c r="AB228" s="448"/>
      <c r="AC228" s="448"/>
      <c r="AD228" s="448"/>
      <c r="AE228" s="448"/>
      <c r="AF228" s="448"/>
      <c r="AG228" s="449"/>
      <c r="AH228" s="449"/>
      <c r="AI228" s="449"/>
      <c r="AJ228" s="449"/>
      <c r="AK228" s="449"/>
      <c r="AL228" s="449"/>
      <c r="AM228" s="449"/>
      <c r="AN228" s="449"/>
      <c r="AO228" s="449"/>
      <c r="AP228" s="449"/>
      <c r="AQ228" s="449"/>
      <c r="AR228" s="449"/>
      <c r="AS228" s="449"/>
      <c r="AT228" s="449"/>
      <c r="AU228" s="449"/>
      <c r="AV228" s="449"/>
      <c r="AW228" s="449"/>
      <c r="AX228" s="449"/>
      <c r="AY228" s="449"/>
      <c r="AZ228" s="449"/>
      <c r="BF228" s="1247"/>
      <c r="BH228" s="450"/>
      <c r="BJ228" s="1240"/>
    </row>
    <row r="229" spans="1:68" ht="12" customHeight="1">
      <c r="A229" s="327"/>
      <c r="B229" s="317"/>
      <c r="C229" s="316"/>
      <c r="D229" s="319"/>
      <c r="AB229" s="448"/>
      <c r="AC229" s="448"/>
      <c r="AD229" s="448"/>
      <c r="AE229" s="448"/>
      <c r="AF229" s="448"/>
      <c r="AG229" s="449"/>
      <c r="AH229" s="449"/>
      <c r="AI229" s="449"/>
      <c r="AJ229" s="449"/>
      <c r="AK229" s="449"/>
      <c r="AL229" s="449"/>
      <c r="AM229" s="449"/>
      <c r="AN229" s="449"/>
      <c r="AO229" s="449"/>
      <c r="AP229" s="449"/>
      <c r="AQ229" s="449"/>
      <c r="AR229" s="449"/>
      <c r="AS229" s="449"/>
      <c r="AT229" s="449"/>
      <c r="AU229" s="449"/>
      <c r="AV229" s="449"/>
      <c r="AW229" s="449"/>
      <c r="AX229" s="449"/>
      <c r="AY229" s="449"/>
      <c r="AZ229" s="449"/>
      <c r="BF229" s="1247"/>
      <c r="BH229" s="450"/>
      <c r="BJ229" s="1240"/>
    </row>
    <row r="230" spans="1:68" ht="12" customHeight="1">
      <c r="A230" s="1281"/>
      <c r="B230" s="317"/>
      <c r="C230" s="317"/>
      <c r="D230" s="319"/>
      <c r="AB230" s="448"/>
      <c r="AC230" s="448"/>
      <c r="AD230" s="448"/>
      <c r="AE230" s="448"/>
      <c r="AF230" s="448"/>
      <c r="AG230" s="449"/>
      <c r="AH230" s="449"/>
      <c r="AI230" s="449"/>
      <c r="AJ230" s="449"/>
      <c r="AK230" s="449"/>
      <c r="AL230" s="449"/>
      <c r="AM230" s="449"/>
      <c r="AN230" s="449"/>
      <c r="AO230" s="449"/>
      <c r="AP230" s="449"/>
      <c r="AQ230" s="449"/>
      <c r="AR230" s="449"/>
      <c r="AS230" s="449"/>
      <c r="AT230" s="449"/>
      <c r="AU230" s="449"/>
      <c r="AV230" s="449"/>
      <c r="AW230" s="449"/>
      <c r="AX230" s="449"/>
      <c r="AY230" s="1287"/>
      <c r="AZ230" s="1287"/>
      <c r="BF230" s="1247"/>
      <c r="BH230" s="450"/>
      <c r="BJ230" s="1240"/>
    </row>
    <row r="231" spans="1:68" ht="12" customHeight="1">
      <c r="A231" s="1281"/>
      <c r="D231" s="319"/>
      <c r="AB231" s="448"/>
      <c r="AC231" s="448"/>
      <c r="AD231" s="448"/>
      <c r="AE231" s="448"/>
      <c r="AF231" s="448"/>
      <c r="AG231" s="449"/>
      <c r="AH231" s="449"/>
      <c r="AI231" s="449"/>
      <c r="AJ231" s="449"/>
      <c r="AK231" s="449"/>
      <c r="AL231" s="449"/>
      <c r="AM231" s="449"/>
      <c r="AN231" s="449"/>
      <c r="AO231" s="449"/>
      <c r="AP231" s="449"/>
      <c r="AQ231" s="449"/>
      <c r="AR231" s="449"/>
      <c r="AS231" s="449"/>
      <c r="AT231" s="449"/>
      <c r="AU231" s="449"/>
      <c r="AV231" s="449"/>
      <c r="AW231" s="449"/>
      <c r="AX231" s="449"/>
      <c r="AY231" s="449"/>
      <c r="AZ231" s="1287"/>
      <c r="BF231" s="1247"/>
      <c r="BH231" s="450"/>
      <c r="BJ231" s="1240"/>
    </row>
    <row r="232" spans="1:68" ht="12" customHeight="1">
      <c r="A232" s="1302"/>
      <c r="B232" s="317"/>
      <c r="C232" s="317"/>
      <c r="D232" s="319"/>
      <c r="AB232" s="448"/>
      <c r="AC232" s="448"/>
      <c r="AD232" s="448"/>
      <c r="AE232" s="448"/>
      <c r="AF232" s="448"/>
      <c r="AG232" s="449"/>
      <c r="AH232" s="449"/>
      <c r="AI232" s="449"/>
      <c r="AJ232" s="449"/>
      <c r="AK232" s="449"/>
      <c r="AL232" s="449"/>
      <c r="AM232" s="449"/>
      <c r="AN232" s="449"/>
      <c r="AO232" s="449"/>
      <c r="AP232" s="449"/>
      <c r="AQ232" s="449"/>
      <c r="AR232" s="449"/>
      <c r="AS232" s="449"/>
      <c r="AT232" s="449"/>
      <c r="AU232" s="449"/>
      <c r="AV232" s="449"/>
      <c r="AW232" s="449"/>
      <c r="AX232" s="449"/>
      <c r="AY232" s="1287"/>
      <c r="AZ232" s="1287"/>
      <c r="BF232" s="1247"/>
      <c r="BH232" s="450"/>
      <c r="BJ232" s="1240"/>
    </row>
    <row r="233" spans="1:68" ht="12" customHeight="1">
      <c r="A233" s="327"/>
      <c r="B233" s="316"/>
      <c r="C233" s="1299"/>
      <c r="D233" s="319"/>
      <c r="AB233" s="329"/>
      <c r="AC233" s="329"/>
      <c r="AD233" s="329"/>
      <c r="AE233" s="329"/>
      <c r="AF233" s="329"/>
      <c r="AG233" s="330"/>
      <c r="AH233" s="330"/>
      <c r="AI233" s="330"/>
      <c r="AJ233" s="330"/>
      <c r="AK233" s="330"/>
      <c r="AL233" s="330"/>
      <c r="AM233" s="330"/>
      <c r="AN233" s="330"/>
      <c r="AO233" s="330"/>
      <c r="AP233" s="330"/>
      <c r="AQ233" s="330"/>
      <c r="AR233" s="330"/>
      <c r="AS233" s="330"/>
      <c r="AT233" s="330"/>
      <c r="AU233" s="330"/>
      <c r="AV233" s="330"/>
      <c r="AW233" s="330"/>
      <c r="AX233" s="330"/>
      <c r="AY233" s="330"/>
      <c r="AZ233" s="330"/>
      <c r="BF233" s="1247"/>
      <c r="BH233" s="323"/>
      <c r="BJ233" s="1240"/>
      <c r="BK233" s="325"/>
      <c r="BL233" s="325"/>
      <c r="BO233" s="1290"/>
      <c r="BP233" s="1290"/>
    </row>
    <row r="234" spans="1:68" ht="12" customHeight="1">
      <c r="A234" s="327"/>
      <c r="B234" s="1285"/>
      <c r="C234" s="1285"/>
      <c r="D234" s="319"/>
      <c r="AA234" s="1297"/>
      <c r="AB234" s="448"/>
      <c r="AC234" s="448"/>
      <c r="AD234" s="448"/>
      <c r="AE234" s="448"/>
      <c r="AF234" s="448"/>
      <c r="AG234" s="449"/>
      <c r="AH234" s="449"/>
      <c r="AI234" s="449"/>
      <c r="AJ234" s="449"/>
      <c r="AK234" s="449"/>
      <c r="AL234" s="449"/>
      <c r="AM234" s="449"/>
      <c r="AN234" s="449"/>
      <c r="AO234" s="449"/>
      <c r="AP234" s="449"/>
      <c r="AQ234" s="449"/>
      <c r="AR234" s="449"/>
      <c r="AS234" s="449"/>
      <c r="AT234" s="449"/>
      <c r="AU234" s="449"/>
      <c r="AV234" s="449"/>
      <c r="AW234" s="449"/>
      <c r="AX234" s="449"/>
      <c r="AY234" s="1287"/>
      <c r="AZ234" s="1287"/>
      <c r="BF234" s="1247"/>
      <c r="BH234" s="450"/>
      <c r="BJ234" s="1240"/>
    </row>
    <row r="235" spans="1:68" ht="12" customHeight="1">
      <c r="A235" s="327"/>
      <c r="B235" s="317"/>
      <c r="C235" s="316"/>
      <c r="D235" s="319"/>
      <c r="AB235" s="448"/>
      <c r="AC235" s="448"/>
      <c r="AD235" s="448"/>
      <c r="AE235" s="448"/>
      <c r="AF235" s="448"/>
      <c r="AG235" s="449"/>
      <c r="AH235" s="449"/>
      <c r="AI235" s="449"/>
      <c r="AJ235" s="449"/>
      <c r="AK235" s="449"/>
      <c r="AL235" s="449"/>
      <c r="AM235" s="449"/>
      <c r="AN235" s="449"/>
      <c r="AO235" s="449"/>
      <c r="AP235" s="449"/>
      <c r="AQ235" s="449"/>
      <c r="AR235" s="449"/>
      <c r="AS235" s="449"/>
      <c r="AT235" s="449"/>
      <c r="AU235" s="449"/>
      <c r="AV235" s="449"/>
      <c r="AW235" s="449"/>
      <c r="AX235" s="449"/>
      <c r="AY235" s="1287"/>
      <c r="AZ235" s="1287"/>
      <c r="BF235" s="1247"/>
      <c r="BH235" s="450"/>
      <c r="BJ235" s="1240"/>
    </row>
    <row r="236" spans="1:68" ht="12" customHeight="1">
      <c r="A236" s="1281"/>
      <c r="B236" s="317"/>
      <c r="C236" s="317"/>
      <c r="D236" s="319"/>
      <c r="AB236" s="448"/>
      <c r="AC236" s="448"/>
      <c r="AD236" s="448"/>
      <c r="AE236" s="448"/>
      <c r="AF236" s="448"/>
      <c r="AG236" s="449"/>
      <c r="AH236" s="449"/>
      <c r="AI236" s="449"/>
      <c r="AJ236" s="449"/>
      <c r="AK236" s="449"/>
      <c r="AL236" s="449"/>
      <c r="AM236" s="449"/>
      <c r="AN236" s="449"/>
      <c r="AO236" s="449"/>
      <c r="AP236" s="449"/>
      <c r="AQ236" s="449"/>
      <c r="AR236" s="449"/>
      <c r="AS236" s="449"/>
      <c r="AT236" s="449"/>
      <c r="AU236" s="449"/>
      <c r="AV236" s="449"/>
      <c r="AW236" s="449"/>
      <c r="AX236" s="449"/>
      <c r="AY236" s="1287"/>
      <c r="AZ236" s="1287"/>
      <c r="BF236" s="1247"/>
      <c r="BH236" s="450"/>
      <c r="BJ236" s="1240"/>
    </row>
    <row r="237" spans="1:68" ht="12" customHeight="1">
      <c r="A237" s="327"/>
      <c r="B237" s="317"/>
      <c r="C237" s="316"/>
      <c r="D237" s="319"/>
      <c r="AB237" s="448"/>
      <c r="AC237" s="448"/>
      <c r="AD237" s="448"/>
      <c r="AE237" s="448"/>
      <c r="AF237" s="448"/>
      <c r="AG237" s="449"/>
      <c r="AH237" s="449"/>
      <c r="AI237" s="449"/>
      <c r="AJ237" s="449"/>
      <c r="AK237" s="449"/>
      <c r="AL237" s="449"/>
      <c r="AM237" s="449"/>
      <c r="AN237" s="449"/>
      <c r="AO237" s="449"/>
      <c r="AP237" s="449"/>
      <c r="AQ237" s="449"/>
      <c r="AR237" s="449"/>
      <c r="AS237" s="449"/>
      <c r="AT237" s="449"/>
      <c r="AU237" s="449"/>
      <c r="AV237" s="449"/>
      <c r="AW237" s="449"/>
      <c r="AX237" s="449"/>
      <c r="AY237" s="1287"/>
      <c r="AZ237" s="1287"/>
      <c r="BF237" s="1247"/>
      <c r="BH237" s="450"/>
      <c r="BJ237" s="1240"/>
    </row>
    <row r="238" spans="1:68" ht="12" customHeight="1">
      <c r="A238" s="1281"/>
      <c r="B238" s="317"/>
      <c r="C238" s="317"/>
      <c r="D238" s="319"/>
      <c r="AB238" s="448"/>
      <c r="AC238" s="448"/>
      <c r="AD238" s="448"/>
      <c r="AE238" s="448"/>
      <c r="AF238" s="448"/>
      <c r="AG238" s="449"/>
      <c r="AH238" s="449"/>
      <c r="AI238" s="449"/>
      <c r="AJ238" s="449"/>
      <c r="AK238" s="449"/>
      <c r="AL238" s="449"/>
      <c r="AM238" s="449"/>
      <c r="AN238" s="449"/>
      <c r="AO238" s="449"/>
      <c r="AP238" s="449"/>
      <c r="AQ238" s="449"/>
      <c r="AR238" s="449"/>
      <c r="AS238" s="449"/>
      <c r="AT238" s="449"/>
      <c r="AU238" s="449"/>
      <c r="AV238" s="449"/>
      <c r="AW238" s="449"/>
      <c r="AX238" s="449"/>
      <c r="AY238" s="1287"/>
      <c r="AZ238" s="1287"/>
      <c r="BF238" s="1247"/>
      <c r="BH238" s="450"/>
      <c r="BJ238" s="1240"/>
    </row>
    <row r="239" spans="1:68" ht="12" customHeight="1">
      <c r="A239" s="327"/>
      <c r="B239" s="1269"/>
      <c r="C239" s="1285"/>
      <c r="D239" s="319"/>
      <c r="AB239" s="448"/>
      <c r="AC239" s="448"/>
      <c r="AD239" s="448"/>
      <c r="AE239" s="448"/>
      <c r="AF239" s="448"/>
      <c r="AG239" s="449"/>
      <c r="AH239" s="449"/>
      <c r="AI239" s="449"/>
      <c r="AJ239" s="449"/>
      <c r="AK239" s="449"/>
      <c r="AL239" s="449"/>
      <c r="AM239" s="449"/>
      <c r="AN239" s="449"/>
      <c r="AO239" s="449"/>
      <c r="AP239" s="449"/>
      <c r="AQ239" s="449"/>
      <c r="AR239" s="449"/>
      <c r="AS239" s="449"/>
      <c r="AT239" s="449"/>
      <c r="AU239" s="449"/>
      <c r="AV239" s="449"/>
      <c r="AW239" s="449"/>
      <c r="AX239" s="449"/>
      <c r="AY239" s="449"/>
      <c r="AZ239" s="449"/>
      <c r="BF239" s="1247"/>
      <c r="BH239" s="450"/>
      <c r="BJ239" s="1240"/>
    </row>
    <row r="240" spans="1:68" ht="12" customHeight="1">
      <c r="A240" s="327"/>
      <c r="B240" s="316"/>
      <c r="C240" s="317"/>
      <c r="D240" s="319"/>
      <c r="AB240" s="329"/>
      <c r="AC240" s="329"/>
      <c r="AD240" s="329"/>
      <c r="AE240" s="329"/>
      <c r="AF240" s="329"/>
      <c r="AG240" s="330"/>
      <c r="AH240" s="330"/>
      <c r="AI240" s="330"/>
      <c r="AJ240" s="330"/>
      <c r="AK240" s="330"/>
      <c r="AL240" s="330"/>
      <c r="AM240" s="330"/>
      <c r="AN240" s="330"/>
      <c r="AO240" s="330"/>
      <c r="AP240" s="330"/>
      <c r="AQ240" s="330"/>
      <c r="AR240" s="330"/>
      <c r="AS240" s="330"/>
      <c r="AT240" s="330"/>
      <c r="AU240" s="330"/>
      <c r="AV240" s="330"/>
      <c r="AW240" s="330"/>
      <c r="AX240" s="330"/>
      <c r="AY240" s="330"/>
      <c r="AZ240" s="330"/>
      <c r="BF240" s="1247"/>
      <c r="BG240" s="323"/>
      <c r="BH240" s="323"/>
      <c r="BJ240" s="1240"/>
      <c r="BK240" s="323"/>
      <c r="BL240" s="323"/>
      <c r="BO240" s="323"/>
      <c r="BP240" s="323"/>
    </row>
    <row r="241" spans="1:69" ht="12" customHeight="1">
      <c r="A241" s="327"/>
      <c r="B241" s="317"/>
      <c r="C241" s="316"/>
      <c r="D241" s="319"/>
      <c r="AB241" s="448"/>
      <c r="AC241" s="448"/>
      <c r="AD241" s="448"/>
      <c r="AE241" s="448"/>
      <c r="AF241" s="448"/>
      <c r="AG241" s="449"/>
      <c r="AH241" s="449"/>
      <c r="AI241" s="449"/>
      <c r="AJ241" s="449"/>
      <c r="AK241" s="449"/>
      <c r="AL241" s="449"/>
      <c r="AM241" s="449"/>
      <c r="AN241" s="449"/>
      <c r="AO241" s="449"/>
      <c r="AP241" s="449"/>
      <c r="AQ241" s="449"/>
      <c r="AR241" s="449"/>
      <c r="AS241" s="449"/>
      <c r="AT241" s="449"/>
      <c r="AU241" s="449"/>
      <c r="AV241" s="449"/>
      <c r="AW241" s="449"/>
      <c r="AX241" s="449"/>
      <c r="AY241" s="449"/>
      <c r="AZ241" s="449"/>
      <c r="BF241" s="1247"/>
      <c r="BJ241" s="1240"/>
      <c r="BO241" s="450"/>
      <c r="BP241" s="450"/>
    </row>
    <row r="242" spans="1:69" ht="12" customHeight="1">
      <c r="A242" s="1281"/>
      <c r="B242" s="317"/>
      <c r="C242" s="317"/>
      <c r="D242" s="319"/>
      <c r="AB242" s="448"/>
      <c r="AC242" s="448"/>
      <c r="AD242" s="448"/>
      <c r="AE242" s="448"/>
      <c r="AF242" s="448"/>
      <c r="AG242" s="449"/>
      <c r="AH242" s="449"/>
      <c r="AI242" s="449"/>
      <c r="AJ242" s="449"/>
      <c r="AK242" s="449"/>
      <c r="AL242" s="449"/>
      <c r="AM242" s="449"/>
      <c r="AN242" s="449"/>
      <c r="AO242" s="449"/>
      <c r="AP242" s="449"/>
      <c r="AQ242" s="449"/>
      <c r="AR242" s="449"/>
      <c r="AS242" s="449"/>
      <c r="AT242" s="449"/>
      <c r="AU242" s="449"/>
      <c r="AV242" s="449"/>
      <c r="AW242" s="449"/>
      <c r="AX242" s="449"/>
      <c r="AY242" s="449"/>
      <c r="AZ242" s="449"/>
      <c r="BF242" s="1247"/>
      <c r="BH242" s="450"/>
      <c r="BJ242" s="1240"/>
    </row>
    <row r="243" spans="1:69" ht="12" customHeight="1">
      <c r="A243" s="1281"/>
      <c r="B243" s="317"/>
      <c r="C243" s="317"/>
      <c r="D243" s="319"/>
      <c r="AB243" s="448"/>
      <c r="AC243" s="448"/>
      <c r="AD243" s="448"/>
      <c r="AE243" s="448"/>
      <c r="AF243" s="448"/>
      <c r="AG243" s="449"/>
      <c r="AH243" s="449"/>
      <c r="AI243" s="449"/>
      <c r="AJ243" s="449"/>
      <c r="AK243" s="449"/>
      <c r="AL243" s="449"/>
      <c r="AM243" s="449"/>
      <c r="AN243" s="449"/>
      <c r="AO243" s="449"/>
      <c r="AP243" s="449"/>
      <c r="AQ243" s="449"/>
      <c r="AR243" s="449"/>
      <c r="AS243" s="449"/>
      <c r="AT243" s="449"/>
      <c r="AU243" s="449"/>
      <c r="AV243" s="449"/>
      <c r="AW243" s="449"/>
      <c r="AX243" s="449"/>
      <c r="AY243" s="449"/>
      <c r="AZ243" s="449"/>
      <c r="BF243" s="1247"/>
      <c r="BH243" s="450"/>
      <c r="BJ243" s="1240"/>
    </row>
    <row r="244" spans="1:69" s="331" customFormat="1" ht="12" customHeight="1">
      <c r="A244" s="1281"/>
      <c r="B244" s="317"/>
      <c r="C244" s="317"/>
      <c r="D244" s="319"/>
      <c r="E244" s="319"/>
      <c r="F244" s="319"/>
      <c r="G244" s="319"/>
      <c r="H244" s="319"/>
      <c r="I244" s="319"/>
      <c r="J244" s="319"/>
      <c r="K244" s="319"/>
      <c r="L244" s="319"/>
      <c r="M244" s="319"/>
      <c r="N244" s="319"/>
      <c r="O244" s="319"/>
      <c r="P244" s="319"/>
      <c r="Q244" s="319"/>
      <c r="R244" s="319"/>
      <c r="S244" s="319"/>
      <c r="T244" s="319"/>
      <c r="U244" s="319"/>
      <c r="V244" s="328"/>
      <c r="W244" s="328"/>
      <c r="X244" s="328"/>
      <c r="Y244" s="328"/>
      <c r="Z244" s="328"/>
      <c r="AA244" s="328"/>
      <c r="AB244" s="448"/>
      <c r="AC244" s="448"/>
      <c r="AD244" s="448"/>
      <c r="AE244" s="448"/>
      <c r="AF244" s="448"/>
      <c r="AG244" s="449"/>
      <c r="AH244" s="449"/>
      <c r="AI244" s="449"/>
      <c r="AJ244" s="449"/>
      <c r="AK244" s="449"/>
      <c r="AL244" s="449"/>
      <c r="AM244" s="449"/>
      <c r="AN244" s="449"/>
      <c r="AO244" s="449"/>
      <c r="AP244" s="449"/>
      <c r="AQ244" s="449"/>
      <c r="AR244" s="449"/>
      <c r="AS244" s="1287"/>
      <c r="AT244" s="1287"/>
      <c r="AU244" s="1287"/>
      <c r="AV244" s="1287"/>
      <c r="AW244" s="1287"/>
      <c r="AX244" s="1287"/>
      <c r="AY244" s="1287"/>
      <c r="AZ244" s="1287"/>
      <c r="BA244" s="319"/>
      <c r="BB244" s="319"/>
      <c r="BC244" s="319"/>
      <c r="BD244" s="319"/>
      <c r="BE244" s="319"/>
      <c r="BF244" s="319"/>
      <c r="BG244" s="328"/>
      <c r="BH244" s="450"/>
      <c r="BI244" s="319"/>
      <c r="BJ244" s="1240"/>
      <c r="BK244" s="328"/>
      <c r="BL244" s="328"/>
      <c r="BM244" s="319"/>
      <c r="BN244" s="319"/>
      <c r="BQ244" s="319"/>
    </row>
    <row r="245" spans="1:69" s="331" customFormat="1" ht="12" customHeight="1">
      <c r="A245" s="1281"/>
      <c r="B245" s="317"/>
      <c r="C245" s="317"/>
      <c r="D245" s="319"/>
      <c r="E245" s="319"/>
      <c r="F245" s="319"/>
      <c r="G245" s="319"/>
      <c r="H245" s="319"/>
      <c r="I245" s="319"/>
      <c r="J245" s="319"/>
      <c r="K245" s="319"/>
      <c r="L245" s="319"/>
      <c r="M245" s="319"/>
      <c r="N245" s="319"/>
      <c r="O245" s="319"/>
      <c r="P245" s="319"/>
      <c r="Q245" s="319"/>
      <c r="R245" s="319"/>
      <c r="S245" s="319"/>
      <c r="T245" s="319"/>
      <c r="U245" s="319"/>
      <c r="V245" s="328"/>
      <c r="W245" s="328"/>
      <c r="X245" s="328"/>
      <c r="Y245" s="328"/>
      <c r="Z245" s="328"/>
      <c r="AA245" s="328"/>
      <c r="AB245" s="448"/>
      <c r="AC245" s="448"/>
      <c r="AD245" s="448"/>
      <c r="AE245" s="448"/>
      <c r="AF245" s="448"/>
      <c r="AG245" s="449"/>
      <c r="AH245" s="449"/>
      <c r="AI245" s="449"/>
      <c r="AJ245" s="449"/>
      <c r="AK245" s="449"/>
      <c r="AL245" s="449"/>
      <c r="AM245" s="449"/>
      <c r="AN245" s="449"/>
      <c r="AO245" s="449"/>
      <c r="AP245" s="449"/>
      <c r="AQ245" s="449"/>
      <c r="AR245" s="449"/>
      <c r="AS245" s="449"/>
      <c r="AT245" s="449"/>
      <c r="AU245" s="449"/>
      <c r="AV245" s="449"/>
      <c r="AW245" s="449"/>
      <c r="AX245" s="449"/>
      <c r="AY245" s="449"/>
      <c r="AZ245" s="449"/>
      <c r="BA245" s="319"/>
      <c r="BB245" s="319"/>
      <c r="BC245" s="319"/>
      <c r="BD245" s="319"/>
      <c r="BE245" s="319"/>
      <c r="BF245" s="319"/>
      <c r="BG245" s="328"/>
      <c r="BH245" s="450"/>
      <c r="BI245" s="319"/>
      <c r="BJ245" s="1240"/>
      <c r="BK245" s="328"/>
      <c r="BL245" s="328"/>
      <c r="BM245" s="319"/>
      <c r="BN245" s="319"/>
      <c r="BQ245" s="319"/>
    </row>
    <row r="246" spans="1:69" s="331" customFormat="1" ht="12" customHeight="1">
      <c r="A246" s="1281"/>
      <c r="B246" s="317"/>
      <c r="C246" s="317"/>
      <c r="D246" s="319"/>
      <c r="E246" s="319"/>
      <c r="F246" s="319"/>
      <c r="G246" s="319"/>
      <c r="H246" s="319"/>
      <c r="I246" s="319"/>
      <c r="J246" s="319"/>
      <c r="K246" s="319"/>
      <c r="L246" s="319"/>
      <c r="M246" s="319"/>
      <c r="N246" s="319"/>
      <c r="O246" s="319"/>
      <c r="P246" s="319"/>
      <c r="Q246" s="319"/>
      <c r="R246" s="319"/>
      <c r="S246" s="319"/>
      <c r="T246" s="319"/>
      <c r="U246" s="319"/>
      <c r="V246" s="328"/>
      <c r="W246" s="328"/>
      <c r="X246" s="328"/>
      <c r="Y246" s="328"/>
      <c r="Z246" s="328"/>
      <c r="AA246" s="328"/>
      <c r="AB246" s="448"/>
      <c r="AC246" s="448"/>
      <c r="AD246" s="448"/>
      <c r="AE246" s="448"/>
      <c r="AF246" s="448"/>
      <c r="AG246" s="449"/>
      <c r="AH246" s="449"/>
      <c r="AI246" s="449"/>
      <c r="AJ246" s="449"/>
      <c r="AK246" s="449"/>
      <c r="AL246" s="449"/>
      <c r="AM246" s="449"/>
      <c r="AN246" s="449"/>
      <c r="AO246" s="449"/>
      <c r="AP246" s="449"/>
      <c r="AQ246" s="449"/>
      <c r="AR246" s="449"/>
      <c r="AS246" s="1287"/>
      <c r="AT246" s="449"/>
      <c r="AU246" s="449"/>
      <c r="AV246" s="1287"/>
      <c r="AW246" s="1287"/>
      <c r="AX246" s="1287"/>
      <c r="AY246" s="1287"/>
      <c r="AZ246" s="1287"/>
      <c r="BA246" s="319"/>
      <c r="BB246" s="319"/>
      <c r="BC246" s="319"/>
      <c r="BD246" s="319"/>
      <c r="BE246" s="319"/>
      <c r="BF246" s="319"/>
      <c r="BG246" s="328"/>
      <c r="BH246" s="450"/>
      <c r="BI246" s="319"/>
      <c r="BJ246" s="1240"/>
      <c r="BK246" s="328"/>
      <c r="BL246" s="328"/>
      <c r="BM246" s="319"/>
      <c r="BN246" s="319"/>
      <c r="BQ246" s="319"/>
    </row>
    <row r="247" spans="1:69" s="331" customFormat="1" ht="12" customHeight="1">
      <c r="A247" s="1281"/>
      <c r="B247" s="317"/>
      <c r="C247" s="317"/>
      <c r="D247" s="319"/>
      <c r="E247" s="319"/>
      <c r="F247" s="319"/>
      <c r="G247" s="319"/>
      <c r="H247" s="319"/>
      <c r="I247" s="319"/>
      <c r="J247" s="319"/>
      <c r="K247" s="319"/>
      <c r="L247" s="319"/>
      <c r="M247" s="319"/>
      <c r="N247" s="319"/>
      <c r="O247" s="319"/>
      <c r="P247" s="319"/>
      <c r="Q247" s="319"/>
      <c r="R247" s="319"/>
      <c r="S247" s="319"/>
      <c r="T247" s="319"/>
      <c r="U247" s="319"/>
      <c r="V247" s="328"/>
      <c r="W247" s="328"/>
      <c r="X247" s="328"/>
      <c r="Y247" s="328"/>
      <c r="Z247" s="328"/>
      <c r="AA247" s="328"/>
      <c r="AB247" s="448"/>
      <c r="AC247" s="448"/>
      <c r="AD247" s="448"/>
      <c r="AE247" s="448"/>
      <c r="AF247" s="448"/>
      <c r="AG247" s="449"/>
      <c r="AH247" s="449"/>
      <c r="AI247" s="449"/>
      <c r="AJ247" s="449"/>
      <c r="AK247" s="449"/>
      <c r="AL247" s="449"/>
      <c r="AM247" s="449"/>
      <c r="AN247" s="449"/>
      <c r="AO247" s="449"/>
      <c r="AP247" s="449"/>
      <c r="AQ247" s="449"/>
      <c r="AR247" s="449"/>
      <c r="AS247" s="449"/>
      <c r="AT247" s="449"/>
      <c r="AU247" s="449"/>
      <c r="AV247" s="449"/>
      <c r="AW247" s="449"/>
      <c r="AX247" s="449"/>
      <c r="AY247" s="449"/>
      <c r="AZ247" s="449"/>
      <c r="BA247" s="319"/>
      <c r="BB247" s="319"/>
      <c r="BC247" s="319"/>
      <c r="BD247" s="319"/>
      <c r="BE247" s="319"/>
      <c r="BF247" s="319"/>
      <c r="BG247" s="328"/>
      <c r="BH247" s="450"/>
      <c r="BI247" s="319"/>
      <c r="BJ247" s="1240"/>
      <c r="BK247" s="328"/>
      <c r="BL247" s="328"/>
      <c r="BM247" s="319"/>
      <c r="BN247" s="319"/>
      <c r="BQ247" s="319"/>
    </row>
    <row r="248" spans="1:69" s="331" customFormat="1" ht="12" customHeight="1">
      <c r="A248" s="1281"/>
      <c r="B248" s="317"/>
      <c r="C248" s="317"/>
      <c r="D248" s="319"/>
      <c r="E248" s="319"/>
      <c r="F248" s="319"/>
      <c r="G248" s="319"/>
      <c r="H248" s="319"/>
      <c r="I248" s="319"/>
      <c r="J248" s="319"/>
      <c r="K248" s="319"/>
      <c r="L248" s="319"/>
      <c r="M248" s="319"/>
      <c r="N248" s="319"/>
      <c r="O248" s="319"/>
      <c r="P248" s="319"/>
      <c r="Q248" s="319"/>
      <c r="R248" s="319"/>
      <c r="S248" s="319"/>
      <c r="T248" s="319"/>
      <c r="U248" s="319"/>
      <c r="V248" s="328"/>
      <c r="W248" s="328"/>
      <c r="X248" s="328"/>
      <c r="Y248" s="328"/>
      <c r="Z248" s="328"/>
      <c r="AA248" s="328"/>
      <c r="AB248" s="448"/>
      <c r="AC248" s="448"/>
      <c r="AD248" s="448"/>
      <c r="AE248" s="448"/>
      <c r="AF248" s="448"/>
      <c r="AG248" s="449"/>
      <c r="AH248" s="449"/>
      <c r="AI248" s="449"/>
      <c r="AJ248" s="449"/>
      <c r="AK248" s="449"/>
      <c r="AL248" s="449"/>
      <c r="AM248" s="449"/>
      <c r="AN248" s="449"/>
      <c r="AO248" s="449"/>
      <c r="AP248" s="449"/>
      <c r="AQ248" s="449"/>
      <c r="AR248" s="449"/>
      <c r="AS248" s="1287"/>
      <c r="AT248" s="1287"/>
      <c r="AU248" s="1287"/>
      <c r="AV248" s="1287"/>
      <c r="AW248" s="1287"/>
      <c r="AX248" s="1287"/>
      <c r="AY248" s="1287"/>
      <c r="AZ248" s="1287"/>
      <c r="BA248" s="319"/>
      <c r="BB248" s="319"/>
      <c r="BC248" s="319"/>
      <c r="BD248" s="319"/>
      <c r="BE248" s="319"/>
      <c r="BF248" s="319"/>
      <c r="BG248" s="328"/>
      <c r="BH248" s="450"/>
      <c r="BI248" s="319"/>
      <c r="BJ248" s="1240"/>
      <c r="BK248" s="328"/>
      <c r="BL248" s="328"/>
      <c r="BM248" s="319"/>
      <c r="BN248" s="319"/>
      <c r="BQ248" s="319"/>
    </row>
    <row r="249" spans="1:69" s="331" customFormat="1" ht="12" customHeight="1">
      <c r="A249" s="1281"/>
      <c r="B249" s="317"/>
      <c r="C249" s="317"/>
      <c r="D249" s="319"/>
      <c r="E249" s="319"/>
      <c r="F249" s="319"/>
      <c r="G249" s="319"/>
      <c r="H249" s="319"/>
      <c r="I249" s="319"/>
      <c r="J249" s="319"/>
      <c r="K249" s="319"/>
      <c r="L249" s="319"/>
      <c r="M249" s="319"/>
      <c r="N249" s="319"/>
      <c r="O249" s="319"/>
      <c r="P249" s="319"/>
      <c r="Q249" s="319"/>
      <c r="R249" s="319"/>
      <c r="S249" s="319"/>
      <c r="T249" s="319"/>
      <c r="U249" s="319"/>
      <c r="V249" s="328"/>
      <c r="W249" s="328"/>
      <c r="X249" s="328"/>
      <c r="Y249" s="328"/>
      <c r="Z249" s="328"/>
      <c r="AA249" s="328"/>
      <c r="AB249" s="448"/>
      <c r="AC249" s="448"/>
      <c r="AD249" s="448"/>
      <c r="AE249" s="448"/>
      <c r="AF249" s="448"/>
      <c r="AG249" s="449"/>
      <c r="AH249" s="449"/>
      <c r="AI249" s="449"/>
      <c r="AJ249" s="449"/>
      <c r="AK249" s="449"/>
      <c r="AL249" s="449"/>
      <c r="AM249" s="449"/>
      <c r="AN249" s="449"/>
      <c r="AO249" s="449"/>
      <c r="AP249" s="449"/>
      <c r="AQ249" s="449"/>
      <c r="AR249" s="449"/>
      <c r="AS249" s="449"/>
      <c r="AT249" s="449"/>
      <c r="AU249" s="449"/>
      <c r="AV249" s="1287"/>
      <c r="AW249" s="1287"/>
      <c r="AX249" s="1287"/>
      <c r="AY249" s="1287"/>
      <c r="AZ249" s="1287"/>
      <c r="BA249" s="319"/>
      <c r="BB249" s="319"/>
      <c r="BC249" s="319"/>
      <c r="BD249" s="319"/>
      <c r="BE249" s="319"/>
      <c r="BF249" s="319"/>
      <c r="BG249" s="328"/>
      <c r="BH249" s="450"/>
      <c r="BI249" s="319"/>
      <c r="BJ249" s="1240"/>
      <c r="BK249" s="328"/>
      <c r="BL249" s="328"/>
      <c r="BM249" s="319"/>
      <c r="BN249" s="319"/>
      <c r="BQ249" s="319"/>
    </row>
    <row r="250" spans="1:69" s="331" customFormat="1" ht="12" customHeight="1">
      <c r="A250" s="1281"/>
      <c r="B250" s="317"/>
      <c r="C250" s="317"/>
      <c r="D250" s="319"/>
      <c r="E250" s="319"/>
      <c r="F250" s="319"/>
      <c r="G250" s="319"/>
      <c r="H250" s="319"/>
      <c r="I250" s="319"/>
      <c r="J250" s="319"/>
      <c r="K250" s="319"/>
      <c r="L250" s="319"/>
      <c r="M250" s="319"/>
      <c r="N250" s="319"/>
      <c r="O250" s="319"/>
      <c r="P250" s="319"/>
      <c r="Q250" s="319"/>
      <c r="R250" s="319"/>
      <c r="S250" s="319"/>
      <c r="T250" s="319"/>
      <c r="U250" s="319"/>
      <c r="V250" s="328"/>
      <c r="W250" s="328"/>
      <c r="X250" s="328"/>
      <c r="Y250" s="328"/>
      <c r="Z250" s="328"/>
      <c r="AA250" s="328"/>
      <c r="AB250" s="1303"/>
      <c r="AC250" s="1303"/>
      <c r="AD250" s="1303"/>
      <c r="AE250" s="1303"/>
      <c r="AF250" s="1303"/>
      <c r="AG250" s="1304"/>
      <c r="AH250" s="1304"/>
      <c r="AI250" s="1304"/>
      <c r="AJ250" s="1304"/>
      <c r="AK250" s="1304"/>
      <c r="AL250" s="1304"/>
      <c r="AM250" s="1304"/>
      <c r="AN250" s="449"/>
      <c r="AO250" s="449"/>
      <c r="AP250" s="449"/>
      <c r="AQ250" s="449"/>
      <c r="AR250" s="449"/>
      <c r="AS250" s="449"/>
      <c r="AT250" s="449"/>
      <c r="AU250" s="449"/>
      <c r="AV250" s="1287"/>
      <c r="AW250" s="1287"/>
      <c r="AX250" s="1287"/>
      <c r="AY250" s="1287"/>
      <c r="AZ250" s="1287"/>
      <c r="BA250" s="319"/>
      <c r="BB250" s="319"/>
      <c r="BC250" s="319"/>
      <c r="BD250" s="319"/>
      <c r="BE250" s="319"/>
      <c r="BF250" s="1247"/>
      <c r="BG250" s="328"/>
      <c r="BH250" s="450"/>
      <c r="BI250" s="319"/>
      <c r="BJ250" s="1240"/>
      <c r="BK250" s="328"/>
      <c r="BL250" s="328"/>
      <c r="BM250" s="319"/>
      <c r="BN250" s="319"/>
      <c r="BQ250" s="319"/>
    </row>
    <row r="251" spans="1:69" s="331" customFormat="1" ht="12" customHeight="1">
      <c r="A251" s="1281"/>
      <c r="B251" s="317"/>
      <c r="C251" s="317"/>
      <c r="D251" s="319"/>
      <c r="E251" s="319"/>
      <c r="F251" s="319"/>
      <c r="G251" s="319"/>
      <c r="H251" s="319"/>
      <c r="I251" s="319"/>
      <c r="J251" s="319"/>
      <c r="K251" s="319"/>
      <c r="L251" s="319"/>
      <c r="M251" s="319"/>
      <c r="N251" s="319"/>
      <c r="O251" s="319"/>
      <c r="P251" s="319"/>
      <c r="Q251" s="319"/>
      <c r="R251" s="319"/>
      <c r="S251" s="319"/>
      <c r="T251" s="319"/>
      <c r="U251" s="319"/>
      <c r="V251" s="328"/>
      <c r="W251" s="328"/>
      <c r="X251" s="328"/>
      <c r="Y251" s="328"/>
      <c r="Z251" s="328"/>
      <c r="AA251" s="328"/>
      <c r="AB251" s="448"/>
      <c r="AC251" s="448"/>
      <c r="AD251" s="448"/>
      <c r="AE251" s="448"/>
      <c r="AF251" s="448"/>
      <c r="AG251" s="449"/>
      <c r="AH251" s="449"/>
      <c r="AI251" s="449"/>
      <c r="AJ251" s="449"/>
      <c r="AK251" s="449"/>
      <c r="AL251" s="449"/>
      <c r="AM251" s="449"/>
      <c r="AN251" s="449"/>
      <c r="AO251" s="449"/>
      <c r="AP251" s="449"/>
      <c r="AQ251" s="449"/>
      <c r="AR251" s="449"/>
      <c r="AS251" s="449"/>
      <c r="AT251" s="449"/>
      <c r="AU251" s="449"/>
      <c r="AV251" s="449"/>
      <c r="AW251" s="449"/>
      <c r="AX251" s="449"/>
      <c r="AY251" s="449"/>
      <c r="AZ251" s="449"/>
      <c r="BA251" s="319"/>
      <c r="BB251" s="319"/>
      <c r="BC251" s="319"/>
      <c r="BD251" s="319"/>
      <c r="BE251" s="319"/>
      <c r="BF251" s="1247"/>
      <c r="BG251" s="328"/>
      <c r="BH251" s="450"/>
      <c r="BI251" s="319"/>
      <c r="BJ251" s="1240"/>
      <c r="BK251" s="328"/>
      <c r="BL251" s="328"/>
      <c r="BM251" s="319"/>
      <c r="BN251" s="319"/>
      <c r="BQ251" s="319"/>
    </row>
    <row r="252" spans="1:69" s="331" customFormat="1" ht="12" customHeight="1">
      <c r="A252" s="1281"/>
      <c r="B252" s="317"/>
      <c r="C252" s="317"/>
      <c r="D252" s="319"/>
      <c r="E252" s="319"/>
      <c r="F252" s="319"/>
      <c r="G252" s="319"/>
      <c r="H252" s="319"/>
      <c r="I252" s="319"/>
      <c r="J252" s="319"/>
      <c r="K252" s="319"/>
      <c r="L252" s="319"/>
      <c r="M252" s="319"/>
      <c r="N252" s="319"/>
      <c r="O252" s="319"/>
      <c r="P252" s="319"/>
      <c r="Q252" s="319"/>
      <c r="R252" s="319"/>
      <c r="S252" s="319"/>
      <c r="T252" s="319"/>
      <c r="U252" s="319"/>
      <c r="V252" s="328"/>
      <c r="W252" s="328"/>
      <c r="X252" s="328"/>
      <c r="Y252" s="328"/>
      <c r="Z252" s="328"/>
      <c r="AA252" s="328"/>
      <c r="AB252" s="448"/>
      <c r="AC252" s="448"/>
      <c r="AD252" s="448"/>
      <c r="AE252" s="448"/>
      <c r="AF252" s="448"/>
      <c r="AG252" s="449"/>
      <c r="AH252" s="449"/>
      <c r="AI252" s="449"/>
      <c r="AJ252" s="449"/>
      <c r="AK252" s="449"/>
      <c r="AL252" s="449"/>
      <c r="AM252" s="449"/>
      <c r="AN252" s="449"/>
      <c r="AO252" s="449"/>
      <c r="AP252" s="449"/>
      <c r="AQ252" s="449"/>
      <c r="AR252" s="449"/>
      <c r="AS252" s="449"/>
      <c r="AT252" s="449"/>
      <c r="AU252" s="449"/>
      <c r="AV252" s="449"/>
      <c r="AW252" s="449"/>
      <c r="AX252" s="449"/>
      <c r="AY252" s="449"/>
      <c r="AZ252" s="449"/>
      <c r="BA252" s="319"/>
      <c r="BB252" s="319"/>
      <c r="BC252" s="319"/>
      <c r="BD252" s="319"/>
      <c r="BE252" s="319"/>
      <c r="BF252" s="319"/>
      <c r="BG252" s="328"/>
      <c r="BH252" s="450"/>
      <c r="BI252" s="319"/>
      <c r="BJ252" s="319"/>
      <c r="BK252" s="328"/>
      <c r="BL252" s="328"/>
      <c r="BM252" s="319"/>
      <c r="BN252" s="319"/>
      <c r="BQ252" s="319"/>
    </row>
    <row r="253" spans="1:69" s="331" customFormat="1" ht="12" customHeight="1">
      <c r="A253" s="1281"/>
      <c r="B253" s="317"/>
      <c r="C253" s="317"/>
      <c r="D253" s="319"/>
      <c r="E253" s="319"/>
      <c r="F253" s="319"/>
      <c r="G253" s="319"/>
      <c r="H253" s="319"/>
      <c r="I253" s="319"/>
      <c r="J253" s="319"/>
      <c r="K253" s="319"/>
      <c r="L253" s="319"/>
      <c r="M253" s="319"/>
      <c r="N253" s="319"/>
      <c r="O253" s="319"/>
      <c r="P253" s="319"/>
      <c r="Q253" s="319"/>
      <c r="R253" s="319"/>
      <c r="S253" s="319"/>
      <c r="T253" s="319"/>
      <c r="U253" s="319"/>
      <c r="V253" s="328"/>
      <c r="W253" s="328"/>
      <c r="X253" s="328"/>
      <c r="Y253" s="328"/>
      <c r="Z253" s="328"/>
      <c r="AA253" s="328"/>
      <c r="AB253" s="448"/>
      <c r="AC253" s="448"/>
      <c r="AD253" s="448"/>
      <c r="AE253" s="448"/>
      <c r="AF253" s="448"/>
      <c r="AG253" s="449"/>
      <c r="AH253" s="449"/>
      <c r="AI253" s="449"/>
      <c r="AJ253" s="449"/>
      <c r="AK253" s="449"/>
      <c r="AL253" s="449"/>
      <c r="AM253" s="449"/>
      <c r="AN253" s="449"/>
      <c r="AO253" s="449"/>
      <c r="AP253" s="449"/>
      <c r="AQ253" s="449"/>
      <c r="AR253" s="449"/>
      <c r="AS253" s="449"/>
      <c r="AT253" s="449"/>
      <c r="AU253" s="449"/>
      <c r="AV253" s="449"/>
      <c r="AW253" s="449"/>
      <c r="AX253" s="449"/>
      <c r="AY253" s="449"/>
      <c r="AZ253" s="449"/>
      <c r="BA253" s="319"/>
      <c r="BB253" s="319"/>
      <c r="BC253" s="319"/>
      <c r="BD253" s="319"/>
      <c r="BE253" s="319"/>
      <c r="BF253" s="319"/>
      <c r="BG253" s="328"/>
      <c r="BH253" s="450"/>
      <c r="BI253" s="319"/>
      <c r="BJ253" s="319"/>
      <c r="BK253" s="328"/>
      <c r="BL253" s="328"/>
      <c r="BM253" s="319"/>
      <c r="BN253" s="319"/>
      <c r="BQ253" s="319"/>
    </row>
    <row r="254" spans="1:69" s="331" customFormat="1" ht="12" customHeight="1">
      <c r="A254" s="1281"/>
      <c r="B254" s="317"/>
      <c r="C254" s="317"/>
      <c r="D254" s="319"/>
      <c r="E254" s="319"/>
      <c r="F254" s="319"/>
      <c r="G254" s="319"/>
      <c r="H254" s="319"/>
      <c r="I254" s="319"/>
      <c r="J254" s="319"/>
      <c r="K254" s="319"/>
      <c r="L254" s="319"/>
      <c r="M254" s="319"/>
      <c r="N254" s="319"/>
      <c r="O254" s="319"/>
      <c r="P254" s="319"/>
      <c r="Q254" s="319"/>
      <c r="R254" s="319"/>
      <c r="S254" s="319"/>
      <c r="T254" s="319"/>
      <c r="U254" s="319"/>
      <c r="V254" s="328"/>
      <c r="W254" s="328"/>
      <c r="X254" s="328"/>
      <c r="Y254" s="328"/>
      <c r="Z254" s="328"/>
      <c r="AA254" s="328"/>
      <c r="AB254" s="448"/>
      <c r="AC254" s="448"/>
      <c r="AD254" s="448"/>
      <c r="AE254" s="448"/>
      <c r="AF254" s="448"/>
      <c r="AG254" s="449"/>
      <c r="AH254" s="449"/>
      <c r="AI254" s="449"/>
      <c r="AJ254" s="449"/>
      <c r="AK254" s="449"/>
      <c r="AL254" s="449"/>
      <c r="AM254" s="449"/>
      <c r="AN254" s="449"/>
      <c r="AO254" s="449"/>
      <c r="AP254" s="449"/>
      <c r="AQ254" s="449"/>
      <c r="AR254" s="449"/>
      <c r="AS254" s="449"/>
      <c r="AT254" s="449"/>
      <c r="AU254" s="449"/>
      <c r="AV254" s="449"/>
      <c r="AW254" s="449"/>
      <c r="AX254" s="449"/>
      <c r="AY254" s="449"/>
      <c r="AZ254" s="449"/>
      <c r="BA254" s="319"/>
      <c r="BB254" s="319"/>
      <c r="BC254" s="319"/>
      <c r="BD254" s="319"/>
      <c r="BE254" s="319"/>
      <c r="BF254" s="319"/>
      <c r="BG254" s="328"/>
      <c r="BH254" s="450"/>
      <c r="BI254" s="319"/>
      <c r="BJ254" s="319"/>
      <c r="BK254" s="328"/>
      <c r="BL254" s="328"/>
      <c r="BM254" s="319"/>
      <c r="BN254" s="319"/>
      <c r="BQ254" s="319"/>
    </row>
    <row r="255" spans="1:69" s="331" customFormat="1" ht="12" customHeight="1">
      <c r="A255" s="1281"/>
      <c r="B255" s="317"/>
      <c r="C255" s="317"/>
      <c r="D255" s="319"/>
      <c r="E255" s="319"/>
      <c r="F255" s="319"/>
      <c r="G255" s="319"/>
      <c r="H255" s="319"/>
      <c r="I255" s="319"/>
      <c r="J255" s="319"/>
      <c r="K255" s="319"/>
      <c r="L255" s="319"/>
      <c r="M255" s="319"/>
      <c r="N255" s="319"/>
      <c r="O255" s="319"/>
      <c r="P255" s="319"/>
      <c r="Q255" s="319"/>
      <c r="R255" s="319"/>
      <c r="S255" s="319"/>
      <c r="T255" s="319"/>
      <c r="U255" s="319"/>
      <c r="V255" s="328"/>
      <c r="W255" s="328"/>
      <c r="X255" s="328"/>
      <c r="Y255" s="328"/>
      <c r="Z255" s="328"/>
      <c r="AA255" s="328"/>
      <c r="AB255" s="448"/>
      <c r="AC255" s="448"/>
      <c r="AD255" s="448"/>
      <c r="AE255" s="448"/>
      <c r="AF255" s="448"/>
      <c r="AG255" s="449"/>
      <c r="AH255" s="449"/>
      <c r="AI255" s="449"/>
      <c r="AJ255" s="449"/>
      <c r="AK255" s="449"/>
      <c r="AL255" s="449"/>
      <c r="AM255" s="449"/>
      <c r="AN255" s="449"/>
      <c r="AO255" s="449"/>
      <c r="AP255" s="449"/>
      <c r="AQ255" s="449"/>
      <c r="AR255" s="449"/>
      <c r="AS255" s="449"/>
      <c r="AT255" s="449"/>
      <c r="AU255" s="449"/>
      <c r="AV255" s="449"/>
      <c r="AW255" s="449"/>
      <c r="AX255" s="449"/>
      <c r="AY255" s="449"/>
      <c r="AZ255" s="449"/>
      <c r="BA255" s="319"/>
      <c r="BB255" s="319"/>
      <c r="BC255" s="319"/>
      <c r="BD255" s="319"/>
      <c r="BE255" s="319"/>
      <c r="BF255" s="1247"/>
      <c r="BG255" s="328"/>
      <c r="BH255" s="450"/>
      <c r="BI255" s="319"/>
      <c r="BJ255" s="1240"/>
      <c r="BK255" s="328"/>
      <c r="BL255" s="328"/>
      <c r="BM255" s="319"/>
      <c r="BN255" s="319"/>
      <c r="BQ255" s="319"/>
    </row>
    <row r="256" spans="1:69" s="331" customFormat="1" ht="12" customHeight="1">
      <c r="A256" s="1281"/>
      <c r="B256" s="317"/>
      <c r="C256" s="317"/>
      <c r="D256" s="319"/>
      <c r="E256" s="319"/>
      <c r="F256" s="319"/>
      <c r="G256" s="319"/>
      <c r="H256" s="319"/>
      <c r="I256" s="319"/>
      <c r="J256" s="319"/>
      <c r="K256" s="319"/>
      <c r="L256" s="319"/>
      <c r="M256" s="319"/>
      <c r="N256" s="319"/>
      <c r="O256" s="319"/>
      <c r="P256" s="319"/>
      <c r="Q256" s="319"/>
      <c r="R256" s="319"/>
      <c r="S256" s="319"/>
      <c r="T256" s="319"/>
      <c r="U256" s="319"/>
      <c r="V256" s="328"/>
      <c r="W256" s="328"/>
      <c r="X256" s="328"/>
      <c r="Y256" s="328"/>
      <c r="Z256" s="328"/>
      <c r="AA256" s="328"/>
      <c r="AB256" s="448"/>
      <c r="AC256" s="448"/>
      <c r="AD256" s="448"/>
      <c r="AE256" s="448"/>
      <c r="AF256" s="448"/>
      <c r="AG256" s="449"/>
      <c r="AH256" s="449"/>
      <c r="AI256" s="449"/>
      <c r="AJ256" s="449"/>
      <c r="AK256" s="449"/>
      <c r="AL256" s="449"/>
      <c r="AM256" s="449"/>
      <c r="AN256" s="449"/>
      <c r="AO256" s="449"/>
      <c r="AP256" s="449"/>
      <c r="AQ256" s="449"/>
      <c r="AR256" s="449"/>
      <c r="AS256" s="449"/>
      <c r="AT256" s="449"/>
      <c r="AU256" s="449"/>
      <c r="AV256" s="449"/>
      <c r="AW256" s="449"/>
      <c r="AX256" s="449"/>
      <c r="AY256" s="449"/>
      <c r="AZ256" s="449"/>
      <c r="BA256" s="319"/>
      <c r="BB256" s="319"/>
      <c r="BC256" s="319"/>
      <c r="BD256" s="319"/>
      <c r="BE256" s="319"/>
      <c r="BF256" s="1247"/>
      <c r="BG256" s="328"/>
      <c r="BH256" s="450"/>
      <c r="BI256" s="319"/>
      <c r="BJ256" s="1240"/>
      <c r="BK256" s="328"/>
      <c r="BL256" s="328"/>
      <c r="BM256" s="319"/>
      <c r="BN256" s="319"/>
      <c r="BQ256" s="319"/>
    </row>
    <row r="257" spans="1:69" s="331" customFormat="1" ht="12" customHeight="1">
      <c r="A257" s="1281"/>
      <c r="B257" s="317"/>
      <c r="C257" s="317"/>
      <c r="D257" s="319"/>
      <c r="E257" s="319"/>
      <c r="F257" s="319"/>
      <c r="G257" s="319"/>
      <c r="H257" s="319"/>
      <c r="I257" s="319"/>
      <c r="J257" s="319"/>
      <c r="K257" s="319"/>
      <c r="L257" s="319"/>
      <c r="M257" s="319"/>
      <c r="N257" s="319"/>
      <c r="O257" s="319"/>
      <c r="P257" s="319"/>
      <c r="Q257" s="319"/>
      <c r="R257" s="319"/>
      <c r="S257" s="319"/>
      <c r="T257" s="319"/>
      <c r="U257" s="319"/>
      <c r="V257" s="328"/>
      <c r="W257" s="328"/>
      <c r="X257" s="328"/>
      <c r="Y257" s="328"/>
      <c r="Z257" s="328"/>
      <c r="AA257" s="328"/>
      <c r="AB257" s="448"/>
      <c r="AC257" s="448"/>
      <c r="AD257" s="448"/>
      <c r="AE257" s="448"/>
      <c r="AF257" s="448"/>
      <c r="AG257" s="449"/>
      <c r="AH257" s="449"/>
      <c r="AI257" s="449"/>
      <c r="AJ257" s="449"/>
      <c r="AK257" s="449"/>
      <c r="AL257" s="449"/>
      <c r="AM257" s="449"/>
      <c r="AN257" s="449"/>
      <c r="AO257" s="449"/>
      <c r="AP257" s="449"/>
      <c r="AQ257" s="449"/>
      <c r="AR257" s="449"/>
      <c r="AS257" s="449"/>
      <c r="AT257" s="449"/>
      <c r="AU257" s="449"/>
      <c r="AV257" s="449"/>
      <c r="AW257" s="449"/>
      <c r="AX257" s="449"/>
      <c r="AY257" s="449"/>
      <c r="AZ257" s="449"/>
      <c r="BA257" s="319"/>
      <c r="BB257" s="319"/>
      <c r="BC257" s="319"/>
      <c r="BD257" s="319"/>
      <c r="BE257" s="319"/>
      <c r="BF257" s="319"/>
      <c r="BG257" s="328"/>
      <c r="BH257" s="450"/>
      <c r="BI257" s="319"/>
      <c r="BJ257" s="319"/>
      <c r="BK257" s="328"/>
      <c r="BL257" s="328"/>
      <c r="BM257" s="319"/>
      <c r="BN257" s="319"/>
      <c r="BQ257" s="319"/>
    </row>
    <row r="258" spans="1:69" s="331" customFormat="1" ht="12" customHeight="1">
      <c r="A258" s="1281"/>
      <c r="B258" s="317"/>
      <c r="C258" s="317"/>
      <c r="D258" s="319"/>
      <c r="E258" s="319"/>
      <c r="F258" s="319"/>
      <c r="G258" s="319"/>
      <c r="H258" s="319"/>
      <c r="I258" s="319"/>
      <c r="J258" s="319"/>
      <c r="K258" s="319"/>
      <c r="L258" s="319"/>
      <c r="M258" s="319"/>
      <c r="N258" s="319"/>
      <c r="O258" s="319"/>
      <c r="P258" s="319"/>
      <c r="Q258" s="319"/>
      <c r="R258" s="319"/>
      <c r="S258" s="319"/>
      <c r="T258" s="319"/>
      <c r="U258" s="319"/>
      <c r="V258" s="328"/>
      <c r="W258" s="328"/>
      <c r="X258" s="328"/>
      <c r="Y258" s="328"/>
      <c r="Z258" s="328"/>
      <c r="AA258" s="328"/>
      <c r="AB258" s="448"/>
      <c r="AC258" s="448"/>
      <c r="AD258" s="448"/>
      <c r="AE258" s="448"/>
      <c r="AF258" s="448"/>
      <c r="AG258" s="449"/>
      <c r="AH258" s="449"/>
      <c r="AI258" s="449"/>
      <c r="AJ258" s="449"/>
      <c r="AK258" s="449"/>
      <c r="AL258" s="449"/>
      <c r="AM258" s="449"/>
      <c r="AN258" s="449"/>
      <c r="AO258" s="449"/>
      <c r="AP258" s="449"/>
      <c r="AQ258" s="449"/>
      <c r="AR258" s="449"/>
      <c r="AS258" s="449"/>
      <c r="AT258" s="449"/>
      <c r="AU258" s="449"/>
      <c r="AV258" s="449"/>
      <c r="AW258" s="449"/>
      <c r="AX258" s="449"/>
      <c r="AY258" s="449"/>
      <c r="AZ258" s="449"/>
      <c r="BA258" s="319"/>
      <c r="BB258" s="319"/>
      <c r="BC258" s="319"/>
      <c r="BD258" s="319"/>
      <c r="BE258" s="319"/>
      <c r="BF258" s="319"/>
      <c r="BG258" s="328"/>
      <c r="BH258" s="450"/>
      <c r="BI258" s="319"/>
      <c r="BJ258" s="319"/>
      <c r="BK258" s="328"/>
      <c r="BL258" s="328"/>
      <c r="BM258" s="319"/>
      <c r="BN258" s="319"/>
      <c r="BQ258" s="319"/>
    </row>
    <row r="259" spans="1:69" s="331" customFormat="1" ht="12" customHeight="1">
      <c r="A259" s="1278"/>
      <c r="B259" s="1278"/>
      <c r="C259" s="1279"/>
      <c r="D259" s="319"/>
      <c r="E259" s="1280"/>
      <c r="F259" s="1280"/>
      <c r="G259" s="1280"/>
      <c r="H259" s="1280"/>
      <c r="I259" s="1280"/>
      <c r="J259" s="1280"/>
      <c r="K259" s="1280"/>
      <c r="L259" s="1280"/>
      <c r="M259" s="1280"/>
      <c r="N259" s="1280"/>
      <c r="O259" s="1280"/>
      <c r="P259" s="1280"/>
      <c r="Q259" s="1280"/>
      <c r="R259" s="1280"/>
      <c r="S259" s="1280"/>
      <c r="T259" s="1280"/>
      <c r="U259" s="1280"/>
      <c r="V259" s="328"/>
      <c r="W259" s="328"/>
      <c r="X259" s="328"/>
      <c r="Y259" s="328"/>
      <c r="Z259" s="328"/>
      <c r="AA259" s="1297"/>
      <c r="AB259" s="1305"/>
      <c r="AC259" s="1305"/>
      <c r="AD259" s="1305"/>
      <c r="AE259" s="1305"/>
      <c r="AF259" s="1305"/>
      <c r="AG259" s="1306"/>
      <c r="AH259" s="1306"/>
      <c r="AI259" s="1306"/>
      <c r="AJ259" s="1306"/>
      <c r="AK259" s="1306"/>
      <c r="AL259" s="1306"/>
      <c r="AM259" s="1306"/>
      <c r="AN259" s="1298"/>
      <c r="AO259" s="1298"/>
      <c r="AP259" s="1298"/>
      <c r="AQ259" s="1298"/>
      <c r="AR259" s="1298"/>
      <c r="AS259" s="1298"/>
      <c r="AT259" s="1298"/>
      <c r="AU259" s="1298"/>
      <c r="AV259" s="1298"/>
      <c r="AW259" s="1298"/>
      <c r="AX259" s="1298"/>
      <c r="AY259" s="1298"/>
      <c r="AZ259" s="1298"/>
      <c r="BA259" s="319"/>
      <c r="BB259" s="319"/>
      <c r="BC259" s="319"/>
      <c r="BD259" s="319"/>
      <c r="BE259" s="319"/>
      <c r="BF259" s="1247"/>
      <c r="BG259" s="328"/>
      <c r="BH259" s="450"/>
      <c r="BI259" s="319"/>
      <c r="BJ259" s="1240"/>
      <c r="BK259" s="328"/>
      <c r="BL259" s="328"/>
      <c r="BM259" s="319"/>
      <c r="BN259" s="319"/>
      <c r="BQ259" s="319"/>
    </row>
    <row r="260" spans="1:69" ht="12" customHeight="1">
      <c r="A260" s="1278"/>
      <c r="B260" s="1278"/>
      <c r="C260" s="1279"/>
      <c r="D260" s="319"/>
      <c r="E260" s="1280"/>
      <c r="F260" s="1280"/>
      <c r="G260" s="1280"/>
      <c r="H260" s="1280"/>
      <c r="I260" s="1280"/>
      <c r="J260" s="1280"/>
      <c r="K260" s="1280"/>
      <c r="L260" s="1280"/>
      <c r="M260" s="1280"/>
      <c r="N260" s="1280"/>
      <c r="O260" s="1280"/>
      <c r="P260" s="1280"/>
      <c r="Q260" s="1280"/>
      <c r="R260" s="1280"/>
      <c r="S260" s="1280"/>
      <c r="T260" s="1280"/>
      <c r="U260" s="1280"/>
      <c r="AA260" s="1297"/>
      <c r="AB260" s="1305"/>
      <c r="AC260" s="1305"/>
      <c r="AD260" s="1305"/>
      <c r="AE260" s="1305"/>
      <c r="AF260" s="1305"/>
      <c r="AG260" s="1306"/>
      <c r="AH260" s="1306"/>
      <c r="AI260" s="1306"/>
      <c r="AJ260" s="1306"/>
      <c r="AK260" s="1306"/>
      <c r="AL260" s="1306"/>
      <c r="AM260" s="1306"/>
      <c r="AN260" s="1298"/>
      <c r="AO260" s="1298"/>
      <c r="AP260" s="1298"/>
      <c r="AQ260" s="1298"/>
      <c r="AR260" s="1298"/>
      <c r="AS260" s="1298"/>
      <c r="AT260" s="1298"/>
      <c r="AU260" s="1298"/>
      <c r="AV260" s="1298"/>
      <c r="AW260" s="1298"/>
      <c r="AX260" s="1298"/>
      <c r="AY260" s="1298"/>
      <c r="AZ260" s="1298"/>
      <c r="BH260" s="450"/>
      <c r="BJ260" s="1240"/>
    </row>
    <row r="261" spans="1:69" ht="12" customHeight="1">
      <c r="A261" s="327"/>
      <c r="B261" s="317"/>
      <c r="C261" s="316"/>
      <c r="D261" s="319"/>
      <c r="AB261" s="448"/>
      <c r="AC261" s="448"/>
      <c r="AD261" s="448"/>
      <c r="AE261" s="448"/>
      <c r="AF261" s="448"/>
      <c r="AG261" s="449"/>
      <c r="AH261" s="449"/>
      <c r="AI261" s="449"/>
      <c r="AJ261" s="449"/>
      <c r="AK261" s="449"/>
      <c r="AL261" s="449"/>
      <c r="AM261" s="449"/>
      <c r="AN261" s="449"/>
      <c r="AO261" s="449"/>
      <c r="AP261" s="449"/>
      <c r="AQ261" s="449"/>
      <c r="AR261" s="449"/>
      <c r="AS261" s="449"/>
      <c r="AT261" s="449"/>
      <c r="AU261" s="449"/>
      <c r="AV261" s="449"/>
      <c r="AW261" s="449"/>
      <c r="AX261" s="449"/>
      <c r="AY261" s="449"/>
      <c r="AZ261" s="449"/>
      <c r="BG261" s="450"/>
      <c r="BH261" s="450"/>
      <c r="BJ261" s="1240"/>
      <c r="BK261" s="450"/>
      <c r="BL261" s="450"/>
      <c r="BO261" s="450"/>
      <c r="BP261" s="450"/>
    </row>
    <row r="262" spans="1:69" ht="12" customHeight="1">
      <c r="A262" s="1281"/>
      <c r="B262" s="317"/>
      <c r="C262" s="317"/>
      <c r="D262" s="319"/>
      <c r="AB262" s="448"/>
      <c r="AC262" s="448"/>
      <c r="AD262" s="448"/>
      <c r="AE262" s="448"/>
      <c r="AF262" s="448"/>
      <c r="AG262" s="449"/>
      <c r="AH262" s="449"/>
      <c r="AI262" s="449"/>
      <c r="AJ262" s="449"/>
      <c r="AK262" s="449"/>
      <c r="AL262" s="449"/>
      <c r="AM262" s="449"/>
      <c r="AN262" s="449"/>
      <c r="AO262" s="449"/>
      <c r="AP262" s="449"/>
      <c r="AQ262" s="449"/>
      <c r="AR262" s="449"/>
      <c r="AS262" s="449"/>
      <c r="AT262" s="449"/>
      <c r="AU262" s="449"/>
      <c r="AV262" s="449"/>
      <c r="AW262" s="449"/>
      <c r="AX262" s="449"/>
      <c r="AY262" s="449"/>
      <c r="AZ262" s="449"/>
      <c r="BF262" s="1247"/>
      <c r="BH262" s="450"/>
      <c r="BJ262" s="1240"/>
    </row>
    <row r="263" spans="1:69" ht="12" customHeight="1">
      <c r="A263" s="1281"/>
      <c r="B263" s="317"/>
      <c r="C263" s="317"/>
      <c r="D263" s="319"/>
      <c r="AB263" s="448"/>
      <c r="AC263" s="448"/>
      <c r="AD263" s="448"/>
      <c r="AE263" s="448"/>
      <c r="AF263" s="448"/>
      <c r="AG263" s="449"/>
      <c r="AH263" s="449"/>
      <c r="AI263" s="449"/>
      <c r="AJ263" s="449"/>
      <c r="AK263" s="449"/>
      <c r="AL263" s="449"/>
      <c r="AM263" s="449"/>
      <c r="AN263" s="449"/>
      <c r="AO263" s="449"/>
      <c r="AP263" s="449"/>
      <c r="AQ263" s="449"/>
      <c r="AR263" s="449"/>
      <c r="AS263" s="1287"/>
      <c r="AT263" s="1287"/>
      <c r="AU263" s="1287"/>
      <c r="AV263" s="1287"/>
      <c r="AW263" s="1287"/>
      <c r="AX263" s="1287"/>
      <c r="AY263" s="1287"/>
      <c r="AZ263" s="1287"/>
      <c r="BF263" s="1247"/>
      <c r="BH263" s="450"/>
      <c r="BJ263" s="1240"/>
    </row>
    <row r="264" spans="1:69" ht="12" customHeight="1">
      <c r="A264" s="1281"/>
      <c r="B264" s="317"/>
      <c r="C264" s="317"/>
      <c r="D264" s="319"/>
      <c r="AB264" s="448"/>
      <c r="AC264" s="448"/>
      <c r="AD264" s="448"/>
      <c r="AE264" s="448"/>
      <c r="AF264" s="448"/>
      <c r="AG264" s="449"/>
      <c r="AH264" s="449"/>
      <c r="AI264" s="449"/>
      <c r="AJ264" s="449"/>
      <c r="AK264" s="449"/>
      <c r="AL264" s="449"/>
      <c r="AM264" s="449"/>
      <c r="AN264" s="449"/>
      <c r="AO264" s="449"/>
      <c r="AP264" s="449"/>
      <c r="AQ264" s="449"/>
      <c r="AR264" s="449"/>
      <c r="AS264" s="449"/>
      <c r="AT264" s="449"/>
      <c r="AU264" s="449"/>
      <c r="AV264" s="449"/>
      <c r="AW264" s="449"/>
      <c r="AX264" s="449"/>
      <c r="AY264" s="449"/>
      <c r="AZ264" s="449"/>
      <c r="BF264" s="1247"/>
      <c r="BH264" s="450"/>
      <c r="BJ264" s="1240"/>
    </row>
    <row r="265" spans="1:69" ht="12" customHeight="1">
      <c r="A265" s="1281"/>
      <c r="B265" s="317"/>
      <c r="C265" s="317"/>
      <c r="D265" s="319"/>
      <c r="AB265" s="448"/>
      <c r="AC265" s="448"/>
      <c r="AD265" s="448"/>
      <c r="AE265" s="448"/>
      <c r="AF265" s="448"/>
      <c r="AG265" s="449"/>
      <c r="AH265" s="449"/>
      <c r="AI265" s="449"/>
      <c r="AJ265" s="449"/>
      <c r="AK265" s="449"/>
      <c r="AL265" s="449"/>
      <c r="AM265" s="449"/>
      <c r="AN265" s="449"/>
      <c r="AO265" s="449"/>
      <c r="AP265" s="449"/>
      <c r="AQ265" s="449"/>
      <c r="AR265" s="449"/>
      <c r="AS265" s="449"/>
      <c r="AT265" s="449"/>
      <c r="AU265" s="449"/>
      <c r="AV265" s="449"/>
      <c r="AW265" s="449"/>
      <c r="AX265" s="449"/>
      <c r="AY265" s="449"/>
      <c r="AZ265" s="449"/>
      <c r="BH265" s="450"/>
    </row>
    <row r="266" spans="1:69" ht="12" customHeight="1">
      <c r="A266" s="1281"/>
      <c r="B266" s="317"/>
      <c r="C266" s="317"/>
      <c r="D266" s="319"/>
      <c r="AB266" s="448"/>
      <c r="AC266" s="448"/>
      <c r="AD266" s="448"/>
      <c r="AE266" s="448"/>
      <c r="AF266" s="448"/>
      <c r="AG266" s="449"/>
      <c r="AH266" s="449"/>
      <c r="AI266" s="449"/>
      <c r="AJ266" s="449"/>
      <c r="AK266" s="449"/>
      <c r="AL266" s="449"/>
      <c r="AM266" s="449"/>
      <c r="AN266" s="449"/>
      <c r="AO266" s="449"/>
      <c r="AP266" s="449"/>
      <c r="AQ266" s="449"/>
      <c r="AR266" s="449"/>
      <c r="AS266" s="449"/>
      <c r="AT266" s="449"/>
      <c r="AU266" s="449"/>
      <c r="AV266" s="449"/>
      <c r="AW266" s="449"/>
      <c r="AX266" s="449"/>
      <c r="AY266" s="449"/>
      <c r="AZ266" s="449"/>
      <c r="BH266" s="450"/>
    </row>
    <row r="267" spans="1:69" ht="12" customHeight="1">
      <c r="A267" s="1278"/>
      <c r="B267" s="1278"/>
      <c r="C267" s="1279"/>
      <c r="D267" s="319"/>
      <c r="E267" s="1280"/>
      <c r="F267" s="1280"/>
      <c r="G267" s="1280"/>
      <c r="H267" s="1280"/>
      <c r="I267" s="1280"/>
      <c r="J267" s="1280"/>
      <c r="K267" s="1280"/>
      <c r="L267" s="1280"/>
      <c r="M267" s="1280"/>
      <c r="N267" s="1280"/>
      <c r="O267" s="1280"/>
      <c r="P267" s="1280"/>
      <c r="Q267" s="1280"/>
      <c r="R267" s="1280"/>
      <c r="S267" s="1280"/>
      <c r="T267" s="1280"/>
      <c r="U267" s="1280"/>
      <c r="AA267" s="1297"/>
      <c r="AB267" s="1305"/>
      <c r="AC267" s="1305"/>
      <c r="AD267" s="1305"/>
      <c r="AE267" s="1305"/>
      <c r="AF267" s="1305"/>
      <c r="AG267" s="1306"/>
      <c r="AH267" s="1306"/>
      <c r="AI267" s="1306"/>
      <c r="AJ267" s="1306"/>
      <c r="AK267" s="1306"/>
      <c r="AL267" s="1306"/>
      <c r="AM267" s="1306"/>
      <c r="AN267" s="1298"/>
      <c r="AO267" s="1298"/>
      <c r="AP267" s="1298"/>
      <c r="AQ267" s="1298"/>
      <c r="AR267" s="1298"/>
      <c r="AS267" s="1298"/>
      <c r="AT267" s="1298"/>
      <c r="AU267" s="1298"/>
      <c r="AV267" s="1298"/>
      <c r="AW267" s="1298"/>
      <c r="AX267" s="1298"/>
      <c r="AY267" s="1298"/>
      <c r="AZ267" s="1298"/>
      <c r="BF267" s="1247"/>
      <c r="BH267" s="450"/>
      <c r="BJ267" s="1240"/>
    </row>
    <row r="268" spans="1:69" ht="12" customHeight="1">
      <c r="A268" s="1278"/>
      <c r="B268" s="1278"/>
      <c r="C268" s="1279"/>
      <c r="D268" s="319"/>
      <c r="E268" s="1280"/>
      <c r="F268" s="1280"/>
      <c r="G268" s="1280"/>
      <c r="H268" s="1280"/>
      <c r="I268" s="1280"/>
      <c r="J268" s="1280"/>
      <c r="K268" s="1280"/>
      <c r="L268" s="1280"/>
      <c r="M268" s="1280"/>
      <c r="N268" s="1280"/>
      <c r="O268" s="1280"/>
      <c r="P268" s="1280"/>
      <c r="Q268" s="1280"/>
      <c r="R268" s="1280"/>
      <c r="S268" s="1280"/>
      <c r="T268" s="1280"/>
      <c r="U268" s="1280"/>
      <c r="AA268" s="1297"/>
      <c r="AB268" s="1305"/>
      <c r="AC268" s="1305"/>
      <c r="AD268" s="1305"/>
      <c r="AE268" s="1305"/>
      <c r="AF268" s="1305"/>
      <c r="AG268" s="1306"/>
      <c r="AH268" s="1306"/>
      <c r="AI268" s="1306"/>
      <c r="AJ268" s="1306"/>
      <c r="AK268" s="1306"/>
      <c r="AL268" s="1306"/>
      <c r="AM268" s="1306"/>
      <c r="AN268" s="1298"/>
      <c r="AO268" s="1298"/>
      <c r="AP268" s="1298"/>
      <c r="AQ268" s="1298"/>
      <c r="AR268" s="1298"/>
      <c r="AS268" s="1298"/>
      <c r="AT268" s="1298"/>
      <c r="AU268" s="1298"/>
      <c r="AV268" s="1298"/>
      <c r="AW268" s="1298"/>
      <c r="AX268" s="1298"/>
      <c r="AY268" s="1298"/>
      <c r="AZ268" s="1298"/>
      <c r="BF268" s="1247"/>
      <c r="BH268" s="450"/>
      <c r="BJ268" s="1240"/>
    </row>
    <row r="269" spans="1:69" ht="12" customHeight="1">
      <c r="A269" s="327"/>
      <c r="B269" s="317"/>
      <c r="C269" s="316"/>
      <c r="D269" s="319"/>
      <c r="AB269" s="448"/>
      <c r="AC269" s="448"/>
      <c r="AD269" s="448"/>
      <c r="AE269" s="448"/>
      <c r="AF269" s="448"/>
      <c r="AG269" s="449"/>
      <c r="AH269" s="449"/>
      <c r="AI269" s="449"/>
      <c r="AJ269" s="449"/>
      <c r="AK269" s="449"/>
      <c r="AL269" s="449"/>
      <c r="AM269" s="449"/>
      <c r="AN269" s="449"/>
      <c r="AO269" s="449"/>
      <c r="AP269" s="449"/>
      <c r="AQ269" s="449"/>
      <c r="AR269" s="449"/>
      <c r="AS269" s="449"/>
      <c r="AT269" s="449"/>
      <c r="AU269" s="449"/>
      <c r="AV269" s="449"/>
      <c r="AW269" s="449"/>
      <c r="AX269" s="449"/>
      <c r="AY269" s="449"/>
      <c r="AZ269" s="449"/>
      <c r="BF269" s="1247"/>
      <c r="BG269" s="450"/>
      <c r="BH269" s="450"/>
      <c r="BJ269" s="1240"/>
      <c r="BK269" s="450"/>
      <c r="BL269" s="450"/>
      <c r="BO269" s="450"/>
      <c r="BP269" s="450"/>
    </row>
    <row r="270" spans="1:69" ht="12" customHeight="1">
      <c r="A270" s="1281"/>
      <c r="B270" s="317"/>
      <c r="C270" s="317"/>
      <c r="D270" s="319"/>
      <c r="AB270" s="448"/>
      <c r="AC270" s="448"/>
      <c r="AD270" s="448"/>
      <c r="AE270" s="448"/>
      <c r="AF270" s="448"/>
      <c r="AG270" s="449"/>
      <c r="AH270" s="449"/>
      <c r="AI270" s="449"/>
      <c r="AJ270" s="449"/>
      <c r="AK270" s="449"/>
      <c r="AL270" s="449"/>
      <c r="AM270" s="449"/>
      <c r="AN270" s="449"/>
      <c r="AO270" s="449"/>
      <c r="AP270" s="449"/>
      <c r="AQ270" s="449"/>
      <c r="AR270" s="449"/>
      <c r="AS270" s="1287"/>
      <c r="AT270" s="1287"/>
      <c r="AU270" s="1287"/>
      <c r="AV270" s="1287"/>
      <c r="AW270" s="1287"/>
      <c r="AX270" s="1287"/>
      <c r="AY270" s="1287"/>
      <c r="AZ270" s="1287"/>
      <c r="BF270" s="1247"/>
      <c r="BH270" s="450"/>
      <c r="BJ270" s="1240"/>
    </row>
    <row r="271" spans="1:69" ht="12" customHeight="1">
      <c r="A271" s="1281"/>
      <c r="B271" s="317"/>
      <c r="C271" s="317"/>
      <c r="D271" s="319"/>
      <c r="AB271" s="448"/>
      <c r="AC271" s="448"/>
      <c r="AD271" s="448"/>
      <c r="AE271" s="448"/>
      <c r="AF271" s="448"/>
      <c r="AG271" s="449"/>
      <c r="AH271" s="449"/>
      <c r="AI271" s="449"/>
      <c r="AJ271" s="449"/>
      <c r="AK271" s="449"/>
      <c r="AL271" s="449"/>
      <c r="AM271" s="449"/>
      <c r="AN271" s="449"/>
      <c r="AO271" s="449"/>
      <c r="AP271" s="449"/>
      <c r="AQ271" s="449"/>
      <c r="AR271" s="449"/>
      <c r="AS271" s="1287"/>
      <c r="AT271" s="1287"/>
      <c r="AU271" s="1287"/>
      <c r="AV271" s="1287"/>
      <c r="AW271" s="1287"/>
      <c r="AX271" s="1287"/>
      <c r="AY271" s="1287"/>
      <c r="AZ271" s="1287"/>
      <c r="BF271" s="1247"/>
      <c r="BH271" s="450"/>
      <c r="BJ271" s="1240"/>
    </row>
    <row r="272" spans="1:69" ht="12" customHeight="1">
      <c r="A272" s="1281"/>
      <c r="B272" s="317"/>
      <c r="C272" s="317"/>
      <c r="D272" s="319"/>
      <c r="AB272" s="448"/>
      <c r="AC272" s="448"/>
      <c r="AD272" s="448"/>
      <c r="AE272" s="448"/>
      <c r="AF272" s="448"/>
      <c r="AG272" s="449"/>
      <c r="AH272" s="449"/>
      <c r="AI272" s="449"/>
      <c r="AJ272" s="449"/>
      <c r="AK272" s="449"/>
      <c r="AL272" s="449"/>
      <c r="AM272" s="449"/>
      <c r="AN272" s="449"/>
      <c r="AO272" s="449"/>
      <c r="AP272" s="449"/>
      <c r="AQ272" s="449"/>
      <c r="AR272" s="449"/>
      <c r="AS272" s="1287"/>
      <c r="AT272" s="1287"/>
      <c r="AU272" s="1287"/>
      <c r="AV272" s="1287"/>
      <c r="AW272" s="1287"/>
      <c r="AX272" s="1287"/>
      <c r="AY272" s="1287"/>
      <c r="AZ272" s="1287"/>
      <c r="BH272" s="450"/>
      <c r="BJ272" s="1240"/>
    </row>
    <row r="273" spans="1:68" ht="12" customHeight="1">
      <c r="A273" s="1281"/>
      <c r="B273" s="317"/>
      <c r="C273" s="317"/>
      <c r="D273" s="319"/>
      <c r="AB273" s="448"/>
      <c r="AC273" s="448"/>
      <c r="AD273" s="448"/>
      <c r="AE273" s="448"/>
      <c r="AF273" s="448"/>
      <c r="AG273" s="449"/>
      <c r="AH273" s="449"/>
      <c r="AI273" s="449"/>
      <c r="AJ273" s="449"/>
      <c r="AK273" s="449"/>
      <c r="AL273" s="449"/>
      <c r="AM273" s="449"/>
      <c r="AN273" s="449"/>
      <c r="AO273" s="449"/>
      <c r="AP273" s="449"/>
      <c r="AQ273" s="449"/>
      <c r="AR273" s="449"/>
      <c r="AS273" s="449"/>
      <c r="AT273" s="449"/>
      <c r="AU273" s="449"/>
      <c r="AV273" s="449"/>
      <c r="AW273" s="449"/>
      <c r="AX273" s="449"/>
      <c r="AY273" s="449"/>
      <c r="AZ273" s="449"/>
      <c r="BH273" s="450"/>
      <c r="BJ273" s="1240"/>
    </row>
    <row r="274" spans="1:68" ht="12" customHeight="1">
      <c r="A274" s="1281"/>
      <c r="B274" s="317"/>
      <c r="C274" s="317"/>
      <c r="D274" s="319"/>
      <c r="AB274" s="448"/>
      <c r="AC274" s="448"/>
      <c r="AD274" s="448"/>
      <c r="AE274" s="448"/>
      <c r="AF274" s="448"/>
      <c r="AG274" s="449"/>
      <c r="AH274" s="449"/>
      <c r="AI274" s="449"/>
      <c r="AJ274" s="449"/>
      <c r="AK274" s="449"/>
      <c r="AL274" s="449"/>
      <c r="AM274" s="449"/>
      <c r="AN274" s="449"/>
      <c r="AO274" s="449"/>
      <c r="AP274" s="449"/>
      <c r="AQ274" s="449"/>
      <c r="AR274" s="449"/>
      <c r="AS274" s="449"/>
      <c r="AT274" s="449"/>
      <c r="AU274" s="449"/>
      <c r="AV274" s="449"/>
      <c r="AW274" s="449"/>
      <c r="AX274" s="449"/>
      <c r="AY274" s="449"/>
      <c r="AZ274" s="449"/>
      <c r="BH274" s="450"/>
      <c r="BJ274" s="1240"/>
    </row>
    <row r="275" spans="1:68" ht="12" customHeight="1">
      <c r="A275" s="1281"/>
      <c r="B275" s="317"/>
      <c r="C275" s="317"/>
      <c r="D275" s="319"/>
      <c r="AB275" s="448"/>
      <c r="AC275" s="448"/>
      <c r="AD275" s="448"/>
      <c r="AE275" s="448"/>
      <c r="AF275" s="448"/>
      <c r="AG275" s="449"/>
      <c r="AH275" s="449"/>
      <c r="AI275" s="449"/>
      <c r="AJ275" s="449"/>
      <c r="AK275" s="449"/>
      <c r="AL275" s="449"/>
      <c r="AM275" s="449"/>
      <c r="AN275" s="449"/>
      <c r="AO275" s="449"/>
      <c r="AP275" s="449"/>
      <c r="AQ275" s="449"/>
      <c r="AR275" s="449"/>
      <c r="AS275" s="449"/>
      <c r="AT275" s="449"/>
      <c r="AU275" s="449"/>
      <c r="AV275" s="449"/>
      <c r="AW275" s="449"/>
      <c r="AX275" s="449"/>
      <c r="AY275" s="449"/>
      <c r="AZ275" s="449"/>
      <c r="BH275" s="450"/>
      <c r="BJ275" s="1240"/>
    </row>
    <row r="276" spans="1:68" ht="12" customHeight="1">
      <c r="A276" s="1281"/>
      <c r="B276" s="317"/>
      <c r="C276" s="317"/>
      <c r="D276" s="319"/>
      <c r="AB276" s="448"/>
      <c r="AC276" s="448"/>
      <c r="AD276" s="448"/>
      <c r="AE276" s="448"/>
      <c r="AF276" s="448"/>
      <c r="AG276" s="449"/>
      <c r="AH276" s="449"/>
      <c r="AI276" s="449"/>
      <c r="AJ276" s="449"/>
      <c r="AK276" s="449"/>
      <c r="AL276" s="449"/>
      <c r="AM276" s="449"/>
      <c r="AN276" s="449"/>
      <c r="AO276" s="449"/>
      <c r="AP276" s="449"/>
      <c r="AQ276" s="449"/>
      <c r="AR276" s="449"/>
      <c r="AS276" s="449"/>
      <c r="AT276" s="449"/>
      <c r="AU276" s="449"/>
      <c r="AV276" s="449"/>
      <c r="AW276" s="449"/>
      <c r="AX276" s="449"/>
      <c r="AY276" s="449"/>
      <c r="AZ276" s="449"/>
      <c r="BH276" s="450"/>
      <c r="BJ276" s="1240"/>
    </row>
    <row r="277" spans="1:68" ht="12" customHeight="1">
      <c r="A277" s="1281"/>
      <c r="B277" s="317"/>
      <c r="C277" s="317"/>
      <c r="D277" s="319"/>
      <c r="AA277" s="1300"/>
      <c r="AB277" s="448"/>
      <c r="AC277" s="448"/>
      <c r="AD277" s="448"/>
      <c r="AE277" s="448"/>
      <c r="AF277" s="448"/>
      <c r="AG277" s="449"/>
      <c r="AH277" s="449"/>
      <c r="AI277" s="449"/>
      <c r="AJ277" s="449"/>
      <c r="AK277" s="449"/>
      <c r="AL277" s="449"/>
      <c r="AM277" s="449"/>
      <c r="AN277" s="449"/>
      <c r="AO277" s="449"/>
      <c r="AP277" s="449"/>
      <c r="AQ277" s="449"/>
      <c r="AR277" s="449"/>
      <c r="AS277" s="449"/>
      <c r="AT277" s="449"/>
      <c r="AU277" s="449"/>
      <c r="AV277" s="449"/>
      <c r="AW277" s="449"/>
      <c r="AX277" s="449"/>
      <c r="AY277" s="449"/>
      <c r="AZ277" s="449"/>
      <c r="BH277" s="450"/>
      <c r="BJ277" s="1240"/>
    </row>
    <row r="278" spans="1:68" ht="12" customHeight="1">
      <c r="A278" s="1281"/>
      <c r="B278" s="317"/>
      <c r="C278" s="317"/>
      <c r="D278" s="319"/>
      <c r="AB278" s="448"/>
      <c r="AC278" s="448"/>
      <c r="AD278" s="448"/>
      <c r="AE278" s="448"/>
      <c r="AF278" s="448"/>
      <c r="AG278" s="449"/>
      <c r="AH278" s="449"/>
      <c r="AI278" s="449"/>
      <c r="AJ278" s="449"/>
      <c r="AK278" s="449"/>
      <c r="AL278" s="449"/>
      <c r="AM278" s="449"/>
      <c r="AN278" s="449"/>
      <c r="AO278" s="449"/>
      <c r="AP278" s="449"/>
      <c r="AQ278" s="1287"/>
      <c r="AR278" s="1287"/>
      <c r="AS278" s="1287"/>
      <c r="AT278" s="1287"/>
      <c r="AU278" s="1287"/>
      <c r="AV278" s="1287"/>
      <c r="AW278" s="1287"/>
      <c r="AX278" s="1287"/>
      <c r="AY278" s="1287"/>
      <c r="AZ278" s="1287"/>
      <c r="BH278" s="450"/>
      <c r="BJ278" s="1240"/>
    </row>
    <row r="279" spans="1:68" ht="12" customHeight="1">
      <c r="A279" s="1281"/>
      <c r="B279" s="317"/>
      <c r="C279" s="317"/>
      <c r="D279" s="319"/>
      <c r="AB279" s="448"/>
      <c r="AC279" s="448"/>
      <c r="AD279" s="448"/>
      <c r="AE279" s="448"/>
      <c r="AF279" s="448"/>
      <c r="AG279" s="449"/>
      <c r="AH279" s="449"/>
      <c r="AI279" s="449"/>
      <c r="AJ279" s="449"/>
      <c r="AK279" s="449"/>
      <c r="AL279" s="449"/>
      <c r="AM279" s="449"/>
      <c r="AN279" s="449"/>
      <c r="AO279" s="449"/>
      <c r="AP279" s="449"/>
      <c r="AQ279" s="449"/>
      <c r="AR279" s="449"/>
      <c r="AS279" s="449"/>
      <c r="AT279" s="449"/>
      <c r="AU279" s="449"/>
      <c r="AV279" s="449"/>
      <c r="AW279" s="449"/>
      <c r="AX279" s="449"/>
      <c r="AY279" s="449"/>
      <c r="AZ279" s="449"/>
      <c r="BH279" s="450"/>
      <c r="BJ279" s="1240"/>
    </row>
    <row r="280" spans="1:68" ht="12" customHeight="1">
      <c r="A280" s="1281"/>
      <c r="B280" s="317"/>
      <c r="C280" s="317"/>
      <c r="D280" s="319"/>
      <c r="AB280" s="448"/>
      <c r="AC280" s="448"/>
      <c r="AD280" s="448"/>
      <c r="AE280" s="448"/>
      <c r="AF280" s="448"/>
      <c r="AG280" s="449"/>
      <c r="AH280" s="449"/>
      <c r="AI280" s="449"/>
      <c r="AJ280" s="449"/>
      <c r="AK280" s="449"/>
      <c r="AL280" s="449"/>
      <c r="AM280" s="449"/>
      <c r="AN280" s="449"/>
      <c r="AO280" s="449"/>
      <c r="AP280" s="449"/>
      <c r="AQ280" s="449"/>
      <c r="AR280" s="449"/>
      <c r="AS280" s="449"/>
      <c r="AT280" s="449"/>
      <c r="AU280" s="449"/>
      <c r="AV280" s="449"/>
      <c r="AW280" s="449"/>
      <c r="AX280" s="449"/>
      <c r="AY280" s="449"/>
      <c r="AZ280" s="449"/>
      <c r="BH280" s="450"/>
      <c r="BJ280" s="1240"/>
    </row>
    <row r="281" spans="1:68" ht="12" customHeight="1">
      <c r="A281" s="1281"/>
      <c r="B281" s="317"/>
      <c r="C281" s="317"/>
      <c r="D281" s="319"/>
      <c r="AB281" s="448"/>
      <c r="AC281" s="448"/>
      <c r="AD281" s="448"/>
      <c r="AE281" s="448"/>
      <c r="AF281" s="448"/>
      <c r="AG281" s="449"/>
      <c r="AH281" s="449"/>
      <c r="AI281" s="449"/>
      <c r="AJ281" s="449"/>
      <c r="AK281" s="449"/>
      <c r="AL281" s="449"/>
      <c r="AM281" s="449"/>
      <c r="AN281" s="449"/>
      <c r="AO281" s="449"/>
      <c r="AP281" s="449"/>
      <c r="AQ281" s="449"/>
      <c r="AR281" s="449"/>
      <c r="AS281" s="449"/>
      <c r="AT281" s="449"/>
      <c r="AU281" s="449"/>
      <c r="AV281" s="449"/>
      <c r="AW281" s="449"/>
      <c r="AX281" s="449"/>
      <c r="AY281" s="449"/>
      <c r="AZ281" s="449"/>
      <c r="BH281" s="450"/>
      <c r="BJ281" s="1240"/>
    </row>
    <row r="282" spans="1:68" ht="12" customHeight="1">
      <c r="A282" s="1281"/>
      <c r="B282" s="317"/>
      <c r="C282" s="317"/>
      <c r="D282" s="319"/>
      <c r="AB282" s="448"/>
      <c r="AC282" s="448"/>
      <c r="AD282" s="448"/>
      <c r="AE282" s="448"/>
      <c r="AF282" s="448"/>
      <c r="AG282" s="449"/>
      <c r="AH282" s="449"/>
      <c r="AI282" s="449"/>
      <c r="AJ282" s="449"/>
      <c r="AK282" s="449"/>
      <c r="AL282" s="449"/>
      <c r="AM282" s="449"/>
      <c r="AN282" s="449"/>
      <c r="AO282" s="449"/>
      <c r="AP282" s="449"/>
      <c r="AQ282" s="449"/>
      <c r="AR282" s="449"/>
      <c r="AS282" s="449"/>
      <c r="AT282" s="449"/>
      <c r="AU282" s="449"/>
      <c r="AV282" s="449"/>
      <c r="AW282" s="449"/>
      <c r="AX282" s="449"/>
      <c r="AY282" s="449"/>
      <c r="AZ282" s="449"/>
      <c r="BH282" s="450"/>
      <c r="BJ282" s="1240"/>
    </row>
    <row r="283" spans="1:68" ht="12" customHeight="1">
      <c r="A283" s="1278"/>
      <c r="B283" s="1278"/>
      <c r="C283" s="1279"/>
      <c r="D283" s="319"/>
      <c r="E283" s="1279"/>
      <c r="F283" s="1279"/>
      <c r="G283" s="1279"/>
      <c r="H283" s="1279"/>
      <c r="I283" s="1279"/>
      <c r="J283" s="1279"/>
      <c r="K283" s="1279"/>
      <c r="L283" s="1279"/>
      <c r="M283" s="1279"/>
      <c r="N283" s="1279"/>
      <c r="O283" s="1279"/>
      <c r="P283" s="1279"/>
      <c r="Q283" s="1279"/>
      <c r="R283" s="1279"/>
      <c r="S283" s="1279"/>
      <c r="T283" s="1279"/>
      <c r="U283" s="1279"/>
      <c r="AA283" s="1297"/>
      <c r="AB283" s="1305"/>
      <c r="AC283" s="1305"/>
      <c r="AD283" s="1305"/>
      <c r="AE283" s="1305"/>
      <c r="AF283" s="1305"/>
      <c r="AG283" s="1306"/>
      <c r="AH283" s="1306"/>
      <c r="AI283" s="1306"/>
      <c r="AJ283" s="1306"/>
      <c r="AK283" s="1306"/>
      <c r="AL283" s="1306"/>
      <c r="AM283" s="1306"/>
      <c r="AN283" s="1298"/>
      <c r="AO283" s="1298"/>
      <c r="AP283" s="1298"/>
      <c r="AQ283" s="1298"/>
      <c r="AR283" s="1298"/>
      <c r="AS283" s="1298"/>
      <c r="AT283" s="1298"/>
      <c r="AU283" s="1298"/>
      <c r="AV283" s="1298"/>
      <c r="AW283" s="1298"/>
      <c r="AX283" s="1298"/>
      <c r="AY283" s="1298"/>
      <c r="AZ283" s="1298"/>
      <c r="BH283" s="450"/>
      <c r="BJ283" s="1240"/>
    </row>
    <row r="284" spans="1:68" ht="12" customHeight="1">
      <c r="A284" s="1278"/>
      <c r="B284" s="1278"/>
      <c r="C284" s="1279"/>
      <c r="D284" s="319"/>
      <c r="E284" s="1279"/>
      <c r="F284" s="1279"/>
      <c r="G284" s="1279"/>
      <c r="H284" s="1279"/>
      <c r="I284" s="1279"/>
      <c r="J284" s="1279"/>
      <c r="K284" s="1279"/>
      <c r="L284" s="1279"/>
      <c r="M284" s="1279"/>
      <c r="N284" s="1279"/>
      <c r="O284" s="1279"/>
      <c r="P284" s="1279"/>
      <c r="Q284" s="1279"/>
      <c r="R284" s="1279"/>
      <c r="S284" s="1279"/>
      <c r="T284" s="1279"/>
      <c r="U284" s="1279"/>
      <c r="AA284" s="1297"/>
      <c r="AB284" s="1305"/>
      <c r="AC284" s="1305"/>
      <c r="AD284" s="1305"/>
      <c r="AE284" s="1305"/>
      <c r="AF284" s="1305"/>
      <c r="AG284" s="1306"/>
      <c r="AH284" s="1306"/>
      <c r="AI284" s="1306"/>
      <c r="AJ284" s="1306"/>
      <c r="AK284" s="1306"/>
      <c r="AL284" s="1306"/>
      <c r="AM284" s="1306"/>
      <c r="AN284" s="1298"/>
      <c r="AO284" s="1298"/>
      <c r="AP284" s="1298"/>
      <c r="AQ284" s="1298"/>
      <c r="AR284" s="1298"/>
      <c r="AS284" s="1298"/>
      <c r="AT284" s="1298"/>
      <c r="AU284" s="1298"/>
      <c r="AV284" s="1298"/>
      <c r="AW284" s="1298"/>
      <c r="AX284" s="1298"/>
      <c r="AY284" s="1298"/>
      <c r="AZ284" s="1298"/>
      <c r="BF284" s="1247"/>
      <c r="BH284" s="450"/>
      <c r="BJ284" s="1240"/>
    </row>
    <row r="285" spans="1:68" ht="12" customHeight="1">
      <c r="A285" s="327"/>
      <c r="B285" s="317"/>
      <c r="C285" s="316"/>
      <c r="D285" s="319"/>
      <c r="AB285" s="448"/>
      <c r="AC285" s="448"/>
      <c r="AD285" s="448"/>
      <c r="AE285" s="448"/>
      <c r="AF285" s="448"/>
      <c r="AG285" s="449"/>
      <c r="AH285" s="449"/>
      <c r="AI285" s="449"/>
      <c r="AJ285" s="449"/>
      <c r="AK285" s="449"/>
      <c r="AL285" s="449"/>
      <c r="AM285" s="449"/>
      <c r="AN285" s="449"/>
      <c r="AO285" s="449"/>
      <c r="AP285" s="449"/>
      <c r="AQ285" s="449"/>
      <c r="AR285" s="449"/>
      <c r="AS285" s="449"/>
      <c r="AT285" s="449"/>
      <c r="AU285" s="449"/>
      <c r="AV285" s="449"/>
      <c r="AW285" s="449"/>
      <c r="AX285" s="449"/>
      <c r="AY285" s="449"/>
      <c r="AZ285" s="449"/>
      <c r="BF285" s="1247"/>
      <c r="BG285" s="450"/>
      <c r="BH285" s="450"/>
      <c r="BJ285" s="1240"/>
      <c r="BK285" s="450"/>
      <c r="BL285" s="450"/>
      <c r="BO285" s="450"/>
      <c r="BP285" s="450"/>
    </row>
    <row r="286" spans="1:68" ht="12" customHeight="1">
      <c r="A286" s="327"/>
      <c r="B286" s="317"/>
      <c r="C286" s="316"/>
      <c r="D286" s="319"/>
      <c r="AB286" s="448"/>
      <c r="AC286" s="448"/>
      <c r="AD286" s="448"/>
      <c r="AE286" s="448"/>
      <c r="AF286" s="448"/>
      <c r="AG286" s="449"/>
      <c r="AH286" s="449"/>
      <c r="AI286" s="449"/>
      <c r="AJ286" s="449"/>
      <c r="AK286" s="449"/>
      <c r="AL286" s="449"/>
      <c r="AM286" s="449"/>
      <c r="AN286" s="449"/>
      <c r="AO286" s="449"/>
      <c r="AP286" s="449"/>
      <c r="AQ286" s="449"/>
      <c r="AR286" s="449"/>
      <c r="AS286" s="449"/>
      <c r="AT286" s="449"/>
      <c r="AU286" s="449"/>
      <c r="AV286" s="449"/>
      <c r="AW286" s="449"/>
      <c r="AX286" s="449"/>
      <c r="AY286" s="449"/>
      <c r="AZ286" s="449"/>
      <c r="BH286" s="450"/>
    </row>
    <row r="287" spans="1:68" ht="12" customHeight="1">
      <c r="A287" s="1281"/>
      <c r="B287" s="317"/>
      <c r="C287" s="317"/>
      <c r="D287" s="319"/>
      <c r="AB287" s="448"/>
      <c r="AC287" s="448"/>
      <c r="AD287" s="448"/>
      <c r="AE287" s="448"/>
      <c r="AF287" s="448"/>
      <c r="AG287" s="449"/>
      <c r="AH287" s="449"/>
      <c r="AI287" s="449"/>
      <c r="AJ287" s="449"/>
      <c r="AK287" s="449"/>
      <c r="AL287" s="449"/>
      <c r="AM287" s="449"/>
      <c r="AN287" s="449"/>
      <c r="AO287" s="449"/>
      <c r="AP287" s="449"/>
      <c r="AQ287" s="449"/>
      <c r="AR287" s="449"/>
      <c r="AS287" s="449"/>
      <c r="AT287" s="449"/>
      <c r="AU287" s="449"/>
      <c r="AV287" s="449"/>
      <c r="AW287" s="449"/>
      <c r="AX287" s="449"/>
      <c r="AY287" s="449"/>
      <c r="AZ287" s="449"/>
      <c r="BF287" s="1247"/>
      <c r="BH287" s="450"/>
      <c r="BJ287" s="1240"/>
    </row>
    <row r="288" spans="1:68" ht="12" customHeight="1">
      <c r="A288" s="1281"/>
      <c r="B288" s="317"/>
      <c r="C288" s="317"/>
      <c r="D288" s="319"/>
      <c r="AB288" s="448"/>
      <c r="AC288" s="448"/>
      <c r="AD288" s="448"/>
      <c r="AE288" s="448"/>
      <c r="AF288" s="448"/>
      <c r="AG288" s="449"/>
      <c r="AH288" s="449"/>
      <c r="AI288" s="449"/>
      <c r="AJ288" s="449"/>
      <c r="AK288" s="449"/>
      <c r="AL288" s="449"/>
      <c r="AM288" s="449"/>
      <c r="AN288" s="449"/>
      <c r="AO288" s="449"/>
      <c r="AP288" s="449"/>
      <c r="AQ288" s="449"/>
      <c r="AR288" s="449"/>
      <c r="AS288" s="449"/>
      <c r="AT288" s="449"/>
      <c r="AU288" s="449"/>
      <c r="AV288" s="449"/>
      <c r="AW288" s="449"/>
      <c r="AX288" s="449"/>
      <c r="AY288" s="449"/>
      <c r="AZ288" s="449"/>
      <c r="BF288" s="1247"/>
      <c r="BH288" s="450"/>
      <c r="BJ288" s="1240"/>
    </row>
    <row r="289" spans="1:68" ht="12" customHeight="1">
      <c r="A289" s="1278"/>
      <c r="B289" s="1278"/>
      <c r="C289" s="1279"/>
      <c r="D289" s="319"/>
      <c r="E289" s="1279"/>
      <c r="F289" s="1279"/>
      <c r="G289" s="1279"/>
      <c r="H289" s="1279"/>
      <c r="I289" s="1279"/>
      <c r="J289" s="1279"/>
      <c r="K289" s="1279"/>
      <c r="L289" s="1279"/>
      <c r="M289" s="1279"/>
      <c r="N289" s="1279"/>
      <c r="O289" s="1279"/>
      <c r="P289" s="1279"/>
      <c r="Q289" s="1279"/>
      <c r="R289" s="1279"/>
      <c r="S289" s="1279"/>
      <c r="T289" s="1279"/>
      <c r="U289" s="1279"/>
      <c r="AA289" s="1297"/>
      <c r="AB289" s="1305"/>
      <c r="AC289" s="1305"/>
      <c r="AD289" s="1305"/>
      <c r="AE289" s="1305"/>
      <c r="AF289" s="1305"/>
      <c r="AG289" s="1306"/>
      <c r="AH289" s="1306"/>
      <c r="AI289" s="1306"/>
      <c r="AJ289" s="1306"/>
      <c r="AK289" s="1306"/>
      <c r="AL289" s="1306"/>
      <c r="AM289" s="1306"/>
      <c r="AN289" s="1298"/>
      <c r="AO289" s="1298"/>
      <c r="AP289" s="1298"/>
      <c r="AQ289" s="1298"/>
      <c r="AR289" s="1298"/>
      <c r="AS289" s="1298"/>
      <c r="AT289" s="1298"/>
      <c r="AU289" s="1298"/>
      <c r="AV289" s="1298"/>
      <c r="AW289" s="1298"/>
      <c r="AX289" s="1298"/>
      <c r="AY289" s="1298"/>
      <c r="AZ289" s="1298"/>
      <c r="BF289" s="1247"/>
      <c r="BH289" s="450"/>
      <c r="BJ289" s="1240"/>
    </row>
    <row r="290" spans="1:68" ht="12" customHeight="1">
      <c r="A290" s="1278"/>
      <c r="B290" s="1278"/>
      <c r="C290" s="1279"/>
      <c r="D290" s="319"/>
      <c r="E290" s="1279"/>
      <c r="F290" s="1279"/>
      <c r="G290" s="1279"/>
      <c r="H290" s="1279"/>
      <c r="I290" s="1279"/>
      <c r="J290" s="1279"/>
      <c r="K290" s="1279"/>
      <c r="L290" s="1279"/>
      <c r="M290" s="1279"/>
      <c r="N290" s="1279"/>
      <c r="O290" s="1279"/>
      <c r="P290" s="1279"/>
      <c r="Q290" s="1279"/>
      <c r="R290" s="1279"/>
      <c r="S290" s="1279"/>
      <c r="T290" s="1279"/>
      <c r="U290" s="1279"/>
      <c r="AA290" s="1297"/>
      <c r="AB290" s="1305"/>
      <c r="AC290" s="1305"/>
      <c r="AD290" s="1305"/>
      <c r="AE290" s="1305"/>
      <c r="AF290" s="1305"/>
      <c r="AG290" s="1306"/>
      <c r="AH290" s="1306"/>
      <c r="AI290" s="1306"/>
      <c r="AJ290" s="1306"/>
      <c r="AK290" s="1306"/>
      <c r="AL290" s="1306"/>
      <c r="AM290" s="1306"/>
      <c r="AN290" s="1298"/>
      <c r="AO290" s="1298"/>
      <c r="AP290" s="1298"/>
      <c r="AQ290" s="1298"/>
      <c r="AR290" s="1298"/>
      <c r="AS290" s="1298"/>
      <c r="AT290" s="1298"/>
      <c r="AU290" s="1298"/>
      <c r="AV290" s="1298"/>
      <c r="AW290" s="1298"/>
      <c r="AX290" s="1298"/>
      <c r="AY290" s="1298"/>
      <c r="AZ290" s="1298"/>
      <c r="BF290" s="1247"/>
      <c r="BH290" s="450"/>
      <c r="BJ290" s="1240"/>
    </row>
    <row r="291" spans="1:68" ht="12" customHeight="1">
      <c r="A291" s="327"/>
      <c r="B291" s="317"/>
      <c r="C291" s="316"/>
      <c r="D291" s="319"/>
      <c r="AB291" s="1303"/>
      <c r="AC291" s="1303"/>
      <c r="AD291" s="1303"/>
      <c r="AE291" s="1303"/>
      <c r="AF291" s="1303"/>
      <c r="AG291" s="1304"/>
      <c r="AH291" s="1304"/>
      <c r="AI291" s="1304"/>
      <c r="AJ291" s="1304"/>
      <c r="AK291" s="1304"/>
      <c r="AL291" s="1304"/>
      <c r="AM291" s="1304"/>
      <c r="AN291" s="449"/>
      <c r="AO291" s="449"/>
      <c r="AP291" s="449"/>
      <c r="AQ291" s="449"/>
      <c r="AR291" s="449"/>
      <c r="AS291" s="449"/>
      <c r="AT291" s="449"/>
      <c r="AU291" s="449"/>
      <c r="AV291" s="449"/>
      <c r="AW291" s="449"/>
      <c r="AX291" s="449"/>
      <c r="AY291" s="449"/>
      <c r="AZ291" s="449"/>
      <c r="BF291" s="1247"/>
      <c r="BH291" s="450"/>
      <c r="BJ291" s="1240"/>
      <c r="BK291" s="450"/>
      <c r="BL291" s="450"/>
      <c r="BO291" s="450"/>
      <c r="BP291" s="450"/>
    </row>
    <row r="292" spans="1:68" ht="12" customHeight="1">
      <c r="A292" s="1281"/>
      <c r="B292" s="317"/>
      <c r="C292" s="317"/>
      <c r="D292" s="319"/>
      <c r="AB292" s="1303"/>
      <c r="AC292" s="1303"/>
      <c r="AD292" s="1303"/>
      <c r="AE292" s="1303"/>
      <c r="AF292" s="1303"/>
      <c r="AG292" s="1304"/>
      <c r="AH292" s="1304"/>
      <c r="AI292" s="1304"/>
      <c r="AJ292" s="1304"/>
      <c r="AK292" s="1304"/>
      <c r="AL292" s="1304"/>
      <c r="AM292" s="1304"/>
      <c r="AN292" s="449"/>
      <c r="AO292" s="449"/>
      <c r="AP292" s="449"/>
      <c r="AQ292" s="449"/>
      <c r="AR292" s="449"/>
      <c r="AS292" s="449"/>
      <c r="AT292" s="449"/>
      <c r="AU292" s="449"/>
      <c r="AV292" s="1287"/>
      <c r="AW292" s="1287"/>
      <c r="AX292" s="1287"/>
      <c r="AY292" s="1287"/>
      <c r="AZ292" s="1287"/>
      <c r="BF292" s="1247"/>
      <c r="BJ292" s="1240"/>
    </row>
    <row r="293" spans="1:68" ht="12" customHeight="1">
      <c r="A293" s="327"/>
      <c r="B293" s="316"/>
      <c r="C293" s="317"/>
      <c r="D293" s="319"/>
      <c r="AB293" s="329"/>
      <c r="AC293" s="329"/>
      <c r="AD293" s="329"/>
      <c r="AE293" s="329"/>
      <c r="AF293" s="329"/>
      <c r="AG293" s="330"/>
      <c r="AH293" s="330"/>
      <c r="AI293" s="330"/>
      <c r="AJ293" s="330"/>
      <c r="AK293" s="330"/>
      <c r="AL293" s="330"/>
      <c r="AM293" s="330"/>
      <c r="AN293" s="330"/>
      <c r="AO293" s="330"/>
      <c r="AP293" s="330"/>
      <c r="AQ293" s="330"/>
      <c r="AR293" s="330"/>
      <c r="AS293" s="330"/>
      <c r="AT293" s="330"/>
      <c r="AU293" s="330"/>
      <c r="AV293" s="330"/>
      <c r="AW293" s="330"/>
      <c r="AX293" s="330"/>
      <c r="AY293" s="330"/>
      <c r="AZ293" s="330"/>
      <c r="BF293" s="1247"/>
      <c r="BG293" s="323"/>
      <c r="BH293" s="323"/>
      <c r="BJ293" s="1240"/>
      <c r="BK293" s="325"/>
      <c r="BL293" s="325"/>
      <c r="BO293" s="325"/>
      <c r="BP293" s="325"/>
    </row>
    <row r="294" spans="1:68" ht="12" customHeight="1">
      <c r="A294" s="327"/>
      <c r="B294" s="317"/>
      <c r="C294" s="316"/>
      <c r="D294" s="319"/>
      <c r="AB294" s="1307"/>
      <c r="AC294" s="1307"/>
      <c r="AD294" s="1307"/>
      <c r="AE294" s="1307"/>
      <c r="AF294" s="1307"/>
      <c r="AG294" s="1298"/>
      <c r="AH294" s="1298"/>
      <c r="AI294" s="1298"/>
      <c r="AJ294" s="1298"/>
      <c r="AK294" s="1298"/>
      <c r="AL294" s="1298"/>
      <c r="AM294" s="1298"/>
      <c r="AN294" s="1298"/>
      <c r="AO294" s="1298"/>
      <c r="AP294" s="1298"/>
      <c r="AQ294" s="1298"/>
      <c r="AR294" s="1298"/>
      <c r="AS294" s="1298"/>
      <c r="AT294" s="1298"/>
      <c r="AU294" s="1298"/>
      <c r="AV294" s="1298"/>
      <c r="AW294" s="1298"/>
      <c r="AX294" s="1298"/>
      <c r="AY294" s="1298"/>
      <c r="AZ294" s="1298"/>
      <c r="BF294" s="1247"/>
      <c r="BH294" s="450"/>
      <c r="BJ294" s="1240"/>
      <c r="BO294" s="328"/>
      <c r="BP294" s="328"/>
    </row>
    <row r="295" spans="1:68" ht="12" customHeight="1">
      <c r="A295" s="327"/>
      <c r="B295" s="317"/>
      <c r="C295" s="316"/>
      <c r="D295" s="319"/>
      <c r="AB295" s="1307"/>
      <c r="AC295" s="1307"/>
      <c r="AD295" s="1307"/>
      <c r="AE295" s="1307"/>
      <c r="AF295" s="1307"/>
      <c r="AG295" s="1298"/>
      <c r="AH295" s="1298"/>
      <c r="AI295" s="1298"/>
      <c r="AJ295" s="1298"/>
      <c r="AK295" s="1298"/>
      <c r="AL295" s="1298"/>
      <c r="AM295" s="1298"/>
      <c r="AN295" s="1298"/>
      <c r="AO295" s="1298"/>
      <c r="AP295" s="1298"/>
      <c r="AQ295" s="1298"/>
      <c r="AR295" s="1298"/>
      <c r="AS295" s="1298"/>
      <c r="AT295" s="1298"/>
      <c r="AU295" s="1298"/>
      <c r="AV295" s="1298"/>
      <c r="AW295" s="1298"/>
      <c r="AX295" s="1298"/>
      <c r="AY295" s="450"/>
      <c r="AZ295" s="450"/>
      <c r="BF295" s="1247"/>
      <c r="BH295" s="450"/>
      <c r="BJ295" s="1240"/>
    </row>
    <row r="296" spans="1:68" ht="12" customHeight="1">
      <c r="A296" s="327"/>
      <c r="B296" s="317"/>
      <c r="C296" s="316"/>
      <c r="D296" s="319"/>
      <c r="AB296" s="448"/>
      <c r="AC296" s="448"/>
      <c r="AD296" s="448"/>
      <c r="AE296" s="448"/>
      <c r="AF296" s="448"/>
      <c r="AG296" s="449"/>
      <c r="AH296" s="449"/>
      <c r="AI296" s="449"/>
      <c r="AJ296" s="449"/>
      <c r="AK296" s="449"/>
      <c r="AL296" s="449"/>
      <c r="AM296" s="449"/>
      <c r="AN296" s="449"/>
      <c r="AO296" s="1308"/>
      <c r="AP296" s="449"/>
      <c r="AQ296" s="449"/>
      <c r="AR296" s="449"/>
      <c r="AS296" s="449"/>
      <c r="AT296" s="449"/>
      <c r="AU296" s="449"/>
      <c r="AV296" s="449"/>
      <c r="AW296" s="1287"/>
      <c r="AX296" s="1287"/>
      <c r="AZ296" s="449"/>
      <c r="BJ296" s="1240"/>
    </row>
    <row r="297" spans="1:68" ht="12" customHeight="1">
      <c r="A297" s="327"/>
      <c r="B297" s="317"/>
      <c r="C297" s="316"/>
      <c r="D297" s="319"/>
      <c r="AB297" s="448"/>
      <c r="AC297" s="448"/>
      <c r="AD297" s="448"/>
      <c r="AE297" s="448"/>
      <c r="AF297" s="448"/>
      <c r="AG297" s="449"/>
      <c r="AH297" s="449"/>
      <c r="AI297" s="449"/>
      <c r="AJ297" s="449"/>
      <c r="AK297" s="449"/>
      <c r="AL297" s="449"/>
      <c r="AM297" s="449"/>
      <c r="AN297" s="449"/>
      <c r="AO297" s="449"/>
      <c r="AP297" s="449"/>
      <c r="AQ297" s="1308"/>
      <c r="AR297" s="449"/>
      <c r="AS297" s="449"/>
      <c r="AT297" s="449"/>
      <c r="AU297" s="449"/>
      <c r="AV297" s="449"/>
      <c r="AW297" s="1287"/>
      <c r="AX297" s="1287"/>
      <c r="AZ297" s="449"/>
      <c r="BJ297" s="1240"/>
    </row>
    <row r="298" spans="1:68" ht="12" customHeight="1">
      <c r="A298" s="327"/>
      <c r="B298" s="317"/>
      <c r="C298" s="316"/>
      <c r="D298" s="319"/>
      <c r="AB298" s="448"/>
      <c r="AC298" s="448"/>
      <c r="AD298" s="448"/>
      <c r="AE298" s="448"/>
      <c r="AF298" s="448"/>
      <c r="AG298" s="449"/>
      <c r="AH298" s="449"/>
      <c r="AI298" s="449"/>
      <c r="AJ298" s="449"/>
      <c r="AK298" s="449"/>
      <c r="AL298" s="449"/>
      <c r="AM298" s="449"/>
      <c r="AN298" s="449"/>
      <c r="AO298" s="449"/>
      <c r="AP298" s="449"/>
      <c r="AQ298" s="328"/>
      <c r="AR298" s="328"/>
      <c r="AS298" s="328"/>
      <c r="AT298" s="328"/>
      <c r="AU298" s="328"/>
      <c r="AV298" s="449"/>
      <c r="AW298" s="449"/>
      <c r="AX298" s="449"/>
      <c r="AY298" s="449"/>
      <c r="AZ298" s="449"/>
      <c r="BA298" s="449"/>
      <c r="BJ298" s="1240"/>
    </row>
    <row r="299" spans="1:68" ht="12" customHeight="1">
      <c r="A299" s="327"/>
      <c r="B299" s="317"/>
      <c r="C299" s="316"/>
      <c r="D299" s="319"/>
      <c r="AB299" s="448"/>
      <c r="AC299" s="448"/>
      <c r="AD299" s="448"/>
      <c r="AE299" s="448"/>
      <c r="AF299" s="448"/>
      <c r="AG299" s="449"/>
      <c r="AH299" s="449"/>
      <c r="AI299" s="449"/>
      <c r="AJ299" s="449"/>
      <c r="AK299" s="449"/>
      <c r="AL299" s="449"/>
      <c r="AM299" s="328"/>
      <c r="AN299" s="328"/>
      <c r="AO299" s="328"/>
      <c r="AP299" s="328"/>
      <c r="AQ299" s="328"/>
      <c r="AR299" s="328"/>
      <c r="AS299" s="328"/>
      <c r="AT299" s="328"/>
      <c r="AU299" s="328"/>
      <c r="AV299" s="449"/>
      <c r="AW299" s="449"/>
      <c r="AX299" s="449"/>
      <c r="AY299" s="449"/>
      <c r="AZ299" s="449"/>
      <c r="BA299" s="449"/>
      <c r="BJ299" s="1240"/>
    </row>
    <row r="300" spans="1:68" ht="12" customHeight="1">
      <c r="A300" s="327"/>
      <c r="B300" s="317"/>
      <c r="C300" s="316"/>
      <c r="D300" s="319"/>
      <c r="AB300" s="448"/>
      <c r="AC300" s="448"/>
      <c r="AD300" s="448"/>
      <c r="AE300" s="448"/>
      <c r="AF300" s="448"/>
      <c r="AG300" s="449"/>
      <c r="AH300" s="449"/>
      <c r="AI300" s="449"/>
      <c r="AJ300" s="449"/>
      <c r="AK300" s="449"/>
      <c r="AL300" s="449"/>
      <c r="AM300" s="449"/>
      <c r="AN300" s="317"/>
      <c r="AO300" s="328"/>
      <c r="AP300" s="328"/>
      <c r="AQ300" s="328"/>
      <c r="AR300" s="328"/>
      <c r="AS300" s="328"/>
      <c r="AT300" s="328"/>
      <c r="AU300" s="328"/>
      <c r="AV300" s="449"/>
      <c r="AW300" s="449"/>
      <c r="AX300" s="449"/>
      <c r="AY300" s="449"/>
      <c r="AZ300" s="449"/>
      <c r="BJ300" s="1240"/>
    </row>
    <row r="301" spans="1:68" ht="12" customHeight="1">
      <c r="A301" s="327"/>
      <c r="B301" s="317"/>
      <c r="C301" s="316"/>
      <c r="D301" s="319"/>
      <c r="AB301" s="448"/>
      <c r="AC301" s="448"/>
      <c r="AD301" s="448"/>
      <c r="AE301" s="448"/>
      <c r="AF301" s="448"/>
      <c r="AG301" s="449"/>
      <c r="AH301" s="449"/>
      <c r="AI301" s="449"/>
      <c r="AJ301" s="449"/>
      <c r="AK301" s="449"/>
      <c r="AL301" s="449"/>
      <c r="AM301" s="449"/>
      <c r="AN301" s="449"/>
      <c r="AO301" s="449"/>
      <c r="AP301" s="449"/>
      <c r="AQ301" s="449"/>
      <c r="AR301" s="449"/>
      <c r="AS301" s="449"/>
      <c r="AT301" s="449"/>
      <c r="AU301" s="449"/>
      <c r="AV301" s="449"/>
      <c r="AW301" s="449"/>
      <c r="AX301" s="449"/>
      <c r="AY301" s="449"/>
      <c r="AZ301" s="449"/>
      <c r="BJ301" s="1240"/>
    </row>
    <row r="302" spans="1:68" ht="12" customHeight="1">
      <c r="A302" s="327"/>
      <c r="B302" s="317"/>
      <c r="C302" s="316"/>
      <c r="D302" s="319"/>
      <c r="AB302" s="448"/>
      <c r="AC302" s="448"/>
      <c r="AD302" s="448"/>
      <c r="AE302" s="448"/>
      <c r="AF302" s="448"/>
      <c r="AG302" s="449"/>
      <c r="AH302" s="449"/>
      <c r="AI302" s="449"/>
      <c r="AJ302" s="449"/>
      <c r="AK302" s="449"/>
      <c r="AL302" s="449"/>
      <c r="AM302" s="449"/>
      <c r="AN302" s="449"/>
      <c r="AO302" s="449"/>
      <c r="AP302" s="449"/>
      <c r="AQ302" s="449"/>
      <c r="AR302" s="449"/>
      <c r="AS302" s="1308"/>
      <c r="AT302" s="1308"/>
      <c r="AU302" s="1308"/>
      <c r="AV302" s="1308"/>
      <c r="AW302" s="1308"/>
      <c r="AX302" s="1309"/>
      <c r="AY302" s="449"/>
      <c r="AZ302" s="449"/>
      <c r="BJ302" s="1240"/>
    </row>
    <row r="303" spans="1:68" ht="12" customHeight="1">
      <c r="A303" s="327"/>
      <c r="B303" s="317"/>
      <c r="C303" s="316"/>
      <c r="D303" s="319"/>
      <c r="AB303" s="448"/>
      <c r="AC303" s="448"/>
      <c r="AD303" s="448"/>
      <c r="AE303" s="448"/>
      <c r="AF303" s="448"/>
      <c r="AG303" s="449"/>
      <c r="AH303" s="449"/>
      <c r="AI303" s="449"/>
      <c r="AJ303" s="449"/>
      <c r="AK303" s="449"/>
      <c r="AL303" s="449"/>
      <c r="AM303" s="449"/>
      <c r="AN303" s="449"/>
      <c r="AO303" s="449"/>
      <c r="AP303" s="449"/>
      <c r="AQ303" s="449"/>
      <c r="AR303" s="449"/>
      <c r="AS303" s="449"/>
      <c r="AT303" s="449"/>
      <c r="AU303" s="449"/>
      <c r="AV303" s="449"/>
      <c r="AW303" s="449"/>
      <c r="AX303" s="449"/>
      <c r="AY303" s="449"/>
      <c r="AZ303" s="449"/>
      <c r="BJ303" s="1240"/>
    </row>
    <row r="304" spans="1:68" ht="12" customHeight="1">
      <c r="A304" s="1310"/>
      <c r="B304" s="1269"/>
      <c r="C304" s="1269"/>
      <c r="D304" s="319"/>
      <c r="E304" s="1269"/>
      <c r="F304" s="1269"/>
      <c r="G304" s="1269"/>
      <c r="H304" s="1269"/>
      <c r="I304" s="1269"/>
      <c r="J304" s="1269"/>
      <c r="K304" s="1269"/>
      <c r="L304" s="1269"/>
      <c r="M304" s="1269"/>
      <c r="N304" s="1269"/>
      <c r="O304" s="1269"/>
      <c r="P304" s="1269"/>
      <c r="Q304" s="1269"/>
      <c r="R304" s="1269"/>
      <c r="S304" s="1269"/>
      <c r="T304" s="1269"/>
      <c r="U304" s="1269"/>
      <c r="AB304" s="448"/>
      <c r="AC304" s="448"/>
      <c r="AD304" s="448"/>
      <c r="AE304" s="448"/>
      <c r="AF304" s="448"/>
      <c r="AG304" s="449"/>
      <c r="AH304" s="449"/>
      <c r="AI304" s="449"/>
      <c r="AJ304" s="449"/>
      <c r="AK304" s="449"/>
      <c r="AL304" s="449"/>
      <c r="AM304" s="449"/>
      <c r="AN304" s="449"/>
      <c r="AO304" s="449"/>
      <c r="AP304" s="449"/>
      <c r="AQ304" s="449"/>
      <c r="AR304" s="449"/>
      <c r="AS304" s="449"/>
      <c r="AT304" s="449"/>
      <c r="AU304" s="449"/>
      <c r="AV304" s="449"/>
      <c r="AW304" s="449"/>
      <c r="AX304" s="449"/>
      <c r="AY304" s="449"/>
      <c r="AZ304" s="449"/>
      <c r="BH304" s="450"/>
      <c r="BJ304" s="1240"/>
    </row>
    <row r="305" spans="1:68" ht="12" customHeight="1">
      <c r="A305" s="1310"/>
      <c r="B305" s="1294"/>
      <c r="C305" s="1295"/>
      <c r="D305" s="319"/>
      <c r="E305" s="1296"/>
      <c r="F305" s="1296"/>
      <c r="G305" s="1296"/>
      <c r="H305" s="1296"/>
      <c r="I305" s="1296"/>
      <c r="J305" s="1296"/>
      <c r="K305" s="1296"/>
      <c r="L305" s="1296"/>
      <c r="M305" s="1296"/>
      <c r="N305" s="1296"/>
      <c r="O305" s="1296"/>
      <c r="P305" s="1296"/>
      <c r="Q305" s="1296"/>
      <c r="R305" s="1296"/>
      <c r="S305" s="1296"/>
      <c r="T305" s="1296"/>
      <c r="U305" s="1296"/>
      <c r="AB305" s="448"/>
      <c r="AC305" s="448"/>
      <c r="AD305" s="448"/>
      <c r="AE305" s="448"/>
      <c r="AF305" s="448"/>
      <c r="AG305" s="449"/>
      <c r="AH305" s="449"/>
      <c r="AI305" s="449"/>
      <c r="AJ305" s="449"/>
      <c r="AK305" s="449"/>
      <c r="AL305" s="449"/>
      <c r="AM305" s="449"/>
      <c r="AN305" s="449"/>
      <c r="AO305" s="449"/>
      <c r="AP305" s="449"/>
      <c r="AQ305" s="449"/>
      <c r="AR305" s="449"/>
      <c r="AS305" s="449"/>
      <c r="AT305" s="449"/>
      <c r="AU305" s="449"/>
      <c r="AV305" s="449"/>
      <c r="AW305" s="449"/>
      <c r="AX305" s="449"/>
      <c r="AY305" s="449"/>
      <c r="AZ305" s="449"/>
      <c r="BH305" s="450"/>
      <c r="BJ305" s="1240"/>
    </row>
    <row r="306" spans="1:68" ht="12" customHeight="1">
      <c r="A306" s="327"/>
      <c r="B306" s="316"/>
      <c r="C306" s="1299"/>
      <c r="D306" s="319"/>
      <c r="AB306" s="329"/>
      <c r="AC306" s="329"/>
      <c r="AD306" s="329"/>
      <c r="AE306" s="329"/>
      <c r="AF306" s="329"/>
      <c r="AG306" s="330"/>
      <c r="AH306" s="330"/>
      <c r="AI306" s="330"/>
      <c r="AJ306" s="330"/>
      <c r="AK306" s="330"/>
      <c r="AL306" s="330"/>
      <c r="AM306" s="330"/>
      <c r="AN306" s="330"/>
      <c r="AO306" s="330"/>
      <c r="AP306" s="330"/>
      <c r="AQ306" s="330"/>
      <c r="AR306" s="330"/>
      <c r="AS306" s="330"/>
      <c r="AT306" s="330"/>
      <c r="AU306" s="330"/>
      <c r="AV306" s="330"/>
      <c r="AW306" s="330"/>
      <c r="AX306" s="330"/>
      <c r="AY306" s="330"/>
      <c r="AZ306" s="330"/>
      <c r="BF306" s="1247"/>
      <c r="BH306" s="323"/>
      <c r="BJ306" s="1240"/>
      <c r="BK306" s="325"/>
      <c r="BL306" s="325"/>
      <c r="BO306" s="1290"/>
      <c r="BP306" s="1290"/>
    </row>
    <row r="307" spans="1:68" ht="12" customHeight="1">
      <c r="A307" s="327"/>
      <c r="B307" s="1285"/>
      <c r="C307" s="1285"/>
      <c r="D307" s="319"/>
      <c r="AB307" s="448"/>
      <c r="AC307" s="448"/>
      <c r="AD307" s="448"/>
      <c r="AE307" s="448"/>
      <c r="AF307" s="448"/>
      <c r="AG307" s="449"/>
      <c r="AH307" s="449"/>
      <c r="AI307" s="449"/>
      <c r="AJ307" s="449"/>
      <c r="AK307" s="449"/>
      <c r="AL307" s="449"/>
      <c r="AM307" s="449"/>
      <c r="AN307" s="449"/>
      <c r="AO307" s="449"/>
      <c r="AP307" s="449"/>
      <c r="AQ307" s="449"/>
      <c r="AR307" s="449"/>
      <c r="AS307" s="449"/>
      <c r="AT307" s="449"/>
      <c r="AU307" s="449"/>
      <c r="AV307" s="449"/>
      <c r="AW307" s="449"/>
      <c r="AX307" s="449"/>
      <c r="AY307" s="449"/>
      <c r="AZ307" s="449"/>
      <c r="BF307" s="1247"/>
      <c r="BH307" s="450"/>
      <c r="BJ307" s="1240"/>
      <c r="BO307" s="1290"/>
      <c r="BP307" s="1290"/>
    </row>
    <row r="308" spans="1:68" ht="12" customHeight="1">
      <c r="A308" s="327"/>
      <c r="B308" s="316"/>
      <c r="C308" s="317"/>
      <c r="D308" s="319"/>
      <c r="AB308" s="329"/>
      <c r="AC308" s="329"/>
      <c r="AD308" s="329"/>
      <c r="AE308" s="329"/>
      <c r="AF308" s="329"/>
      <c r="AG308" s="330"/>
      <c r="AH308" s="330"/>
      <c r="AI308" s="330"/>
      <c r="AJ308" s="330"/>
      <c r="AK308" s="330"/>
      <c r="AL308" s="330"/>
      <c r="AM308" s="330"/>
      <c r="AN308" s="330"/>
      <c r="AO308" s="330"/>
      <c r="AP308" s="330"/>
      <c r="AQ308" s="330"/>
      <c r="AR308" s="330"/>
      <c r="AS308" s="330"/>
      <c r="AT308" s="330"/>
      <c r="AU308" s="330"/>
      <c r="AV308" s="330"/>
      <c r="AW308" s="330"/>
      <c r="AX308" s="330"/>
      <c r="AY308" s="330"/>
      <c r="AZ308" s="330"/>
      <c r="BF308" s="1247"/>
      <c r="BH308" s="323"/>
      <c r="BJ308" s="1240"/>
      <c r="BK308" s="325"/>
      <c r="BL308" s="325"/>
      <c r="BO308" s="1290"/>
      <c r="BP308" s="1290"/>
    </row>
    <row r="309" spans="1:68" ht="12" customHeight="1">
      <c r="A309" s="1238"/>
      <c r="B309" s="1291"/>
      <c r="C309" s="1284"/>
      <c r="D309" s="319"/>
      <c r="AB309" s="448"/>
      <c r="AC309" s="448"/>
      <c r="AD309" s="448"/>
      <c r="AE309" s="448"/>
      <c r="AF309" s="448"/>
      <c r="AG309" s="449"/>
      <c r="AH309" s="449"/>
      <c r="AI309" s="449"/>
      <c r="AJ309" s="449"/>
      <c r="AK309" s="449"/>
      <c r="AL309" s="449"/>
      <c r="AM309" s="449"/>
      <c r="AN309" s="449"/>
      <c r="AO309" s="449"/>
      <c r="AP309" s="449"/>
      <c r="AQ309" s="449"/>
      <c r="AR309" s="449"/>
      <c r="AS309" s="449"/>
      <c r="AT309" s="449"/>
      <c r="AU309" s="449"/>
      <c r="AV309" s="449"/>
      <c r="AW309" s="449"/>
      <c r="AX309" s="449"/>
      <c r="AY309" s="1287"/>
      <c r="AZ309" s="1287"/>
      <c r="BF309" s="1247"/>
      <c r="BH309" s="450"/>
      <c r="BJ309" s="1240"/>
    </row>
    <row r="310" spans="1:68" ht="12" customHeight="1">
      <c r="A310" s="1278"/>
      <c r="B310" s="1278"/>
      <c r="C310" s="1279"/>
      <c r="D310" s="319"/>
      <c r="E310" s="1279"/>
      <c r="F310" s="1279"/>
      <c r="G310" s="1279"/>
      <c r="H310" s="1279"/>
      <c r="I310" s="1279"/>
      <c r="J310" s="1279"/>
      <c r="K310" s="1279"/>
      <c r="L310" s="1279"/>
      <c r="M310" s="1279"/>
      <c r="N310" s="1279"/>
      <c r="O310" s="1279"/>
      <c r="P310" s="1279"/>
      <c r="Q310" s="1279"/>
      <c r="R310" s="1279"/>
      <c r="S310" s="1279"/>
      <c r="T310" s="1279"/>
      <c r="U310" s="1279"/>
      <c r="AB310" s="448"/>
      <c r="AC310" s="448"/>
      <c r="AD310" s="448"/>
      <c r="AE310" s="448"/>
      <c r="AF310" s="448"/>
      <c r="AG310" s="449"/>
      <c r="AH310" s="449"/>
      <c r="AI310" s="449"/>
      <c r="AJ310" s="449"/>
      <c r="AK310" s="449"/>
      <c r="AL310" s="449"/>
      <c r="AM310" s="449"/>
      <c r="AN310" s="449"/>
      <c r="AO310" s="449"/>
      <c r="AP310" s="449"/>
      <c r="AQ310" s="449"/>
      <c r="AR310" s="449"/>
      <c r="AS310" s="449"/>
      <c r="AT310" s="449"/>
      <c r="AU310" s="449"/>
      <c r="AV310" s="449"/>
      <c r="AW310" s="449"/>
      <c r="AX310" s="449"/>
      <c r="AY310" s="449"/>
      <c r="AZ310" s="449"/>
      <c r="BF310" s="1247"/>
      <c r="BH310" s="450"/>
      <c r="BJ310" s="1240"/>
    </row>
    <row r="311" spans="1:68" ht="12" customHeight="1">
      <c r="A311" s="327"/>
      <c r="B311" s="1299"/>
      <c r="C311" s="1299"/>
      <c r="D311" s="319"/>
      <c r="E311" s="1269"/>
      <c r="F311" s="1269"/>
      <c r="G311" s="1269"/>
      <c r="H311" s="1269"/>
      <c r="I311" s="1269"/>
      <c r="J311" s="1269"/>
      <c r="K311" s="1269"/>
      <c r="L311" s="1269"/>
      <c r="M311" s="1269"/>
      <c r="N311" s="1269"/>
      <c r="O311" s="1269"/>
      <c r="P311" s="1269"/>
      <c r="Q311" s="1269"/>
      <c r="R311" s="1269"/>
      <c r="S311" s="1269"/>
      <c r="T311" s="1269"/>
      <c r="U311" s="1269"/>
      <c r="AB311" s="448"/>
      <c r="AC311" s="448"/>
      <c r="AD311" s="448"/>
      <c r="AE311" s="448"/>
      <c r="AF311" s="448"/>
      <c r="AG311" s="449"/>
      <c r="AH311" s="449"/>
      <c r="AI311" s="449"/>
      <c r="AJ311" s="449"/>
      <c r="AK311" s="449"/>
      <c r="AL311" s="449"/>
      <c r="AM311" s="449"/>
      <c r="AN311" s="449"/>
      <c r="AO311" s="449"/>
      <c r="AP311" s="449"/>
      <c r="AQ311" s="449"/>
      <c r="AR311" s="449"/>
      <c r="AS311" s="449"/>
      <c r="AT311" s="449"/>
      <c r="AU311" s="449"/>
      <c r="AV311" s="449"/>
      <c r="AW311" s="449"/>
      <c r="AX311" s="449"/>
      <c r="AY311" s="449"/>
      <c r="AZ311" s="449"/>
      <c r="BF311" s="1247"/>
      <c r="BH311" s="450"/>
      <c r="BJ311" s="1240"/>
    </row>
    <row r="312" spans="1:68" ht="12" customHeight="1">
      <c r="A312" s="1281"/>
      <c r="B312" s="1297"/>
      <c r="D312" s="319"/>
      <c r="E312" s="1297"/>
      <c r="F312" s="1297"/>
      <c r="G312" s="1297"/>
      <c r="H312" s="1297"/>
      <c r="I312" s="1297"/>
      <c r="J312" s="1297"/>
      <c r="K312" s="1297"/>
      <c r="L312" s="1297"/>
      <c r="M312" s="1297"/>
      <c r="N312" s="1297"/>
      <c r="O312" s="1297"/>
      <c r="P312" s="1297"/>
      <c r="Q312" s="1297"/>
      <c r="R312" s="1297"/>
      <c r="S312" s="1297"/>
      <c r="T312" s="1297"/>
      <c r="U312" s="1297"/>
      <c r="AB312" s="448"/>
      <c r="AC312" s="448"/>
      <c r="AD312" s="448"/>
      <c r="AE312" s="448"/>
      <c r="AF312" s="448"/>
      <c r="AG312" s="449"/>
      <c r="AH312" s="449"/>
      <c r="AI312" s="449"/>
      <c r="AJ312" s="449"/>
      <c r="AK312" s="449"/>
      <c r="AL312" s="449"/>
      <c r="AM312" s="449"/>
      <c r="AN312" s="449"/>
      <c r="AO312" s="449"/>
      <c r="AP312" s="449"/>
      <c r="AQ312" s="449"/>
      <c r="AR312" s="449"/>
      <c r="AS312" s="449"/>
      <c r="AT312" s="449"/>
      <c r="AU312" s="449"/>
      <c r="AV312" s="449"/>
      <c r="AW312" s="449"/>
      <c r="AX312" s="449"/>
      <c r="AY312" s="449"/>
      <c r="AZ312" s="449"/>
      <c r="BF312" s="449"/>
      <c r="BG312" s="450"/>
      <c r="BH312" s="450"/>
      <c r="BJ312" s="1240"/>
    </row>
    <row r="313" spans="1:68" ht="12" customHeight="1">
      <c r="A313" s="1278"/>
      <c r="B313" s="1278"/>
      <c r="D313" s="319"/>
      <c r="E313" s="1279"/>
      <c r="F313" s="1279"/>
      <c r="G313" s="1279"/>
      <c r="H313" s="1279"/>
      <c r="I313" s="1279"/>
      <c r="J313" s="1279"/>
      <c r="K313" s="1279"/>
      <c r="L313" s="1279"/>
      <c r="M313" s="1279"/>
      <c r="N313" s="1279"/>
      <c r="O313" s="1279"/>
      <c r="P313" s="1279"/>
      <c r="Q313" s="1279"/>
      <c r="R313" s="1279"/>
      <c r="S313" s="1279"/>
      <c r="T313" s="1279"/>
      <c r="U313" s="1279"/>
      <c r="AB313" s="448"/>
      <c r="AC313" s="448"/>
      <c r="AD313" s="448"/>
      <c r="AE313" s="448"/>
      <c r="AF313" s="448"/>
      <c r="AG313" s="449"/>
      <c r="AH313" s="449"/>
      <c r="AI313" s="449"/>
      <c r="AJ313" s="449"/>
      <c r="AK313" s="449"/>
      <c r="AL313" s="449"/>
      <c r="AM313" s="449"/>
      <c r="AN313" s="449"/>
      <c r="AO313" s="449"/>
      <c r="AP313" s="449"/>
      <c r="AQ313" s="449"/>
      <c r="AR313" s="449"/>
      <c r="AS313" s="449"/>
      <c r="AT313" s="449"/>
      <c r="AU313" s="449"/>
      <c r="AV313" s="449"/>
      <c r="AW313" s="449"/>
      <c r="AX313" s="449"/>
      <c r="AY313" s="449"/>
      <c r="AZ313" s="449"/>
      <c r="BF313" s="449"/>
      <c r="BG313" s="450"/>
      <c r="BH313" s="450"/>
      <c r="BJ313" s="1240"/>
    </row>
    <row r="314" spans="1:68" ht="12" customHeight="1">
      <c r="A314" s="1278"/>
      <c r="B314" s="1278"/>
      <c r="C314" s="1279"/>
      <c r="D314" s="319"/>
      <c r="E314" s="1279"/>
      <c r="F314" s="1279"/>
      <c r="G314" s="1279"/>
      <c r="H314" s="1279"/>
      <c r="I314" s="1279"/>
      <c r="J314" s="1279"/>
      <c r="K314" s="1279"/>
      <c r="L314" s="1279"/>
      <c r="M314" s="1279"/>
      <c r="N314" s="1279"/>
      <c r="O314" s="1279"/>
      <c r="P314" s="1279"/>
      <c r="Q314" s="1279"/>
      <c r="R314" s="1279"/>
      <c r="S314" s="1279"/>
      <c r="T314" s="1279"/>
      <c r="U314" s="1279"/>
      <c r="AB314" s="448"/>
      <c r="AC314" s="448"/>
      <c r="AD314" s="448"/>
      <c r="AE314" s="448"/>
      <c r="AF314" s="448"/>
      <c r="AG314" s="449"/>
      <c r="AH314" s="449"/>
      <c r="AI314" s="449"/>
      <c r="AJ314" s="449"/>
      <c r="AK314" s="449"/>
      <c r="AL314" s="449"/>
      <c r="AM314" s="449"/>
      <c r="AN314" s="449"/>
      <c r="AO314" s="449"/>
      <c r="AP314" s="449"/>
      <c r="AQ314" s="449"/>
      <c r="AR314" s="449"/>
      <c r="AS314" s="449"/>
      <c r="AT314" s="449"/>
      <c r="AU314" s="449"/>
      <c r="AV314" s="449"/>
      <c r="AW314" s="449"/>
      <c r="AX314" s="449"/>
      <c r="AY314" s="449"/>
      <c r="AZ314" s="449"/>
      <c r="BF314" s="449"/>
      <c r="BG314" s="450"/>
      <c r="BH314" s="450"/>
      <c r="BJ314" s="1240"/>
    </row>
    <row r="315" spans="1:68" ht="12" customHeight="1">
      <c r="A315" s="1278"/>
      <c r="B315" s="1278"/>
      <c r="C315" s="1279"/>
      <c r="D315" s="319"/>
      <c r="E315" s="1279"/>
      <c r="F315" s="1279"/>
      <c r="G315" s="1279"/>
      <c r="H315" s="1279"/>
      <c r="I315" s="1279"/>
      <c r="J315" s="1279"/>
      <c r="K315" s="1279"/>
      <c r="L315" s="1279"/>
      <c r="M315" s="1279"/>
      <c r="N315" s="1279"/>
      <c r="O315" s="1279"/>
      <c r="P315" s="1279"/>
      <c r="Q315" s="1279"/>
      <c r="R315" s="1279"/>
      <c r="S315" s="1279"/>
      <c r="T315" s="1279"/>
      <c r="U315" s="1279"/>
      <c r="AB315" s="448"/>
      <c r="AC315" s="448"/>
      <c r="AD315" s="448"/>
      <c r="AE315" s="448"/>
      <c r="AF315" s="448"/>
      <c r="AG315" s="449"/>
      <c r="AH315" s="449"/>
      <c r="AI315" s="449"/>
      <c r="AJ315" s="449"/>
      <c r="AK315" s="449"/>
      <c r="AL315" s="449"/>
      <c r="AM315" s="449"/>
      <c r="AN315" s="449"/>
      <c r="AO315" s="449"/>
      <c r="AP315" s="449"/>
      <c r="AQ315" s="449"/>
      <c r="AR315" s="449"/>
      <c r="AS315" s="449"/>
      <c r="AT315" s="449"/>
      <c r="AU315" s="449"/>
      <c r="AV315" s="449"/>
      <c r="AW315" s="449"/>
      <c r="AX315" s="449"/>
      <c r="AY315" s="449"/>
      <c r="AZ315" s="449"/>
      <c r="BF315" s="449"/>
      <c r="BG315" s="450"/>
      <c r="BH315" s="450"/>
      <c r="BJ315" s="1240"/>
    </row>
    <row r="316" spans="1:68" ht="12" customHeight="1">
      <c r="A316" s="327"/>
      <c r="B316" s="316"/>
      <c r="C316" s="317"/>
      <c r="D316" s="319"/>
      <c r="AB316" s="329"/>
      <c r="AC316" s="329"/>
      <c r="AD316" s="329"/>
      <c r="AE316" s="329"/>
      <c r="AF316" s="329"/>
      <c r="AG316" s="330"/>
      <c r="AH316" s="330"/>
      <c r="AI316" s="330"/>
      <c r="AJ316" s="330"/>
      <c r="AK316" s="330"/>
      <c r="AL316" s="330"/>
      <c r="AM316" s="330"/>
      <c r="AN316" s="330"/>
      <c r="AO316" s="330"/>
      <c r="AP316" s="330"/>
      <c r="AQ316" s="330"/>
      <c r="AR316" s="330"/>
      <c r="AS316" s="330"/>
      <c r="AT316" s="330"/>
      <c r="AU316" s="330"/>
      <c r="AV316" s="330"/>
      <c r="AW316" s="330"/>
      <c r="AX316" s="330"/>
      <c r="AY316" s="330"/>
      <c r="AZ316" s="330"/>
      <c r="BF316" s="1247"/>
      <c r="BH316" s="450"/>
      <c r="BJ316" s="1240"/>
      <c r="BK316" s="323"/>
      <c r="BL316" s="323"/>
      <c r="BO316" s="323"/>
      <c r="BP316" s="323"/>
    </row>
    <row r="317" spans="1:68" ht="12" customHeight="1">
      <c r="A317" s="327"/>
      <c r="B317" s="316"/>
      <c r="C317" s="1299"/>
      <c r="D317" s="319"/>
      <c r="AB317" s="448"/>
      <c r="AC317" s="448"/>
      <c r="AD317" s="448"/>
      <c r="AE317" s="448"/>
      <c r="AF317" s="448"/>
      <c r="AG317" s="449"/>
      <c r="AH317" s="449"/>
      <c r="AI317" s="449"/>
      <c r="AJ317" s="449"/>
      <c r="AK317" s="449"/>
      <c r="AL317" s="449"/>
      <c r="AM317" s="449"/>
      <c r="AN317" s="449"/>
      <c r="AO317" s="449"/>
      <c r="AP317" s="449"/>
      <c r="AQ317" s="449"/>
      <c r="AR317" s="449"/>
      <c r="AS317" s="449"/>
      <c r="AT317" s="449"/>
      <c r="AU317" s="449"/>
      <c r="AV317" s="449"/>
      <c r="AW317" s="449"/>
      <c r="AX317" s="449"/>
      <c r="AY317" s="449"/>
      <c r="AZ317" s="449"/>
      <c r="BF317" s="449"/>
      <c r="BG317" s="450"/>
      <c r="BH317" s="450"/>
      <c r="BJ317" s="1240"/>
      <c r="BK317" s="450"/>
      <c r="BL317" s="450"/>
      <c r="BO317" s="450"/>
      <c r="BP317" s="450"/>
    </row>
    <row r="318" spans="1:68" ht="12" customHeight="1">
      <c r="A318" s="327"/>
      <c r="B318" s="316"/>
      <c r="C318" s="317"/>
      <c r="D318" s="319"/>
      <c r="AB318" s="448"/>
      <c r="AC318" s="448"/>
      <c r="AD318" s="448"/>
      <c r="AE318" s="448"/>
      <c r="AF318" s="448"/>
      <c r="AG318" s="449"/>
      <c r="AH318" s="449"/>
      <c r="AI318" s="449"/>
      <c r="AJ318" s="449"/>
      <c r="AK318" s="449"/>
      <c r="AL318" s="449"/>
      <c r="AM318" s="449"/>
      <c r="AN318" s="449"/>
      <c r="AO318" s="449"/>
      <c r="AP318" s="449"/>
      <c r="AQ318" s="449"/>
      <c r="AR318" s="449"/>
      <c r="AS318" s="449"/>
      <c r="AT318" s="449"/>
      <c r="AU318" s="449"/>
      <c r="AV318" s="449"/>
      <c r="AW318" s="449"/>
      <c r="AX318" s="449"/>
      <c r="AY318" s="449"/>
      <c r="AZ318" s="449"/>
      <c r="BF318" s="449"/>
      <c r="BG318" s="450"/>
      <c r="BH318" s="450"/>
      <c r="BJ318" s="1240"/>
    </row>
    <row r="319" spans="1:68" ht="12" customHeight="1">
      <c r="A319" s="1281"/>
      <c r="B319" s="316"/>
      <c r="C319" s="317"/>
      <c r="D319" s="319"/>
      <c r="AB319" s="448"/>
      <c r="AC319" s="448"/>
      <c r="AD319" s="448"/>
      <c r="AE319" s="448"/>
      <c r="AF319" s="448"/>
      <c r="AG319" s="449"/>
      <c r="AH319" s="449"/>
      <c r="AI319" s="449"/>
      <c r="AJ319" s="449"/>
      <c r="AK319" s="449"/>
      <c r="AL319" s="449"/>
      <c r="AM319" s="449"/>
      <c r="AN319" s="449"/>
      <c r="AO319" s="449"/>
      <c r="AP319" s="449"/>
      <c r="AQ319" s="449"/>
      <c r="AR319" s="449"/>
      <c r="AS319" s="449"/>
      <c r="AT319" s="449"/>
      <c r="AU319" s="449"/>
      <c r="AV319" s="449"/>
      <c r="AW319" s="449"/>
      <c r="AX319" s="449"/>
      <c r="AY319" s="449"/>
      <c r="AZ319" s="449"/>
      <c r="BF319" s="449"/>
      <c r="BG319" s="450"/>
      <c r="BH319" s="450"/>
      <c r="BJ319" s="1240"/>
    </row>
    <row r="320" spans="1:68" ht="12" customHeight="1">
      <c r="A320" s="1281"/>
      <c r="B320" s="316"/>
      <c r="C320" s="317"/>
      <c r="D320" s="319"/>
      <c r="AB320" s="448"/>
      <c r="AC320" s="448"/>
      <c r="AD320" s="448"/>
      <c r="AE320" s="448"/>
      <c r="AF320" s="448"/>
      <c r="AG320" s="449"/>
      <c r="AH320" s="449"/>
      <c r="AI320" s="449"/>
      <c r="AJ320" s="449"/>
      <c r="AK320" s="449"/>
      <c r="AL320" s="449"/>
      <c r="AM320" s="449"/>
      <c r="AN320" s="449"/>
      <c r="AO320" s="449"/>
      <c r="AP320" s="449"/>
      <c r="AQ320" s="449"/>
      <c r="AR320" s="449"/>
      <c r="AS320" s="449"/>
      <c r="AT320" s="449"/>
      <c r="AU320" s="449"/>
      <c r="AV320" s="449"/>
      <c r="AW320" s="449"/>
      <c r="AX320" s="449"/>
      <c r="AY320" s="449"/>
      <c r="AZ320" s="449"/>
      <c r="BF320" s="449"/>
      <c r="BG320" s="450"/>
      <c r="BH320" s="450"/>
      <c r="BJ320" s="1240"/>
    </row>
    <row r="321" spans="1:68" ht="12" customHeight="1">
      <c r="A321" s="1281"/>
      <c r="B321" s="316"/>
      <c r="C321" s="317"/>
      <c r="D321" s="319"/>
      <c r="AB321" s="448"/>
      <c r="AC321" s="448"/>
      <c r="AD321" s="448"/>
      <c r="AE321" s="448"/>
      <c r="AF321" s="448"/>
      <c r="AG321" s="449"/>
      <c r="AH321" s="449"/>
      <c r="AI321" s="449"/>
      <c r="AJ321" s="449"/>
      <c r="AK321" s="449"/>
      <c r="AL321" s="449"/>
      <c r="AM321" s="449"/>
      <c r="AN321" s="449"/>
      <c r="AO321" s="449"/>
      <c r="AP321" s="449"/>
      <c r="AQ321" s="449"/>
      <c r="AR321" s="449"/>
      <c r="AS321" s="449"/>
      <c r="AT321" s="449"/>
      <c r="AU321" s="449"/>
      <c r="AV321" s="449"/>
      <c r="AW321" s="449"/>
      <c r="AX321" s="449"/>
      <c r="AY321" s="449"/>
      <c r="AZ321" s="449"/>
      <c r="BF321" s="449"/>
      <c r="BG321" s="450"/>
      <c r="BH321" s="450"/>
      <c r="BJ321" s="1240"/>
    </row>
    <row r="322" spans="1:68" ht="12" customHeight="1">
      <c r="A322" s="1281"/>
      <c r="B322" s="316"/>
      <c r="C322" s="317"/>
      <c r="D322" s="319"/>
      <c r="AB322" s="448"/>
      <c r="AC322" s="448"/>
      <c r="AD322" s="448"/>
      <c r="AE322" s="448"/>
      <c r="AF322" s="448"/>
      <c r="AG322" s="449"/>
      <c r="AH322" s="449"/>
      <c r="AI322" s="449"/>
      <c r="AJ322" s="449"/>
      <c r="AK322" s="449"/>
      <c r="AL322" s="449"/>
      <c r="AM322" s="449"/>
      <c r="AN322" s="449"/>
      <c r="AO322" s="449"/>
      <c r="AP322" s="449"/>
      <c r="AQ322" s="449"/>
      <c r="AR322" s="449"/>
      <c r="AS322" s="449"/>
      <c r="AT322" s="449"/>
      <c r="AU322" s="449"/>
      <c r="AV322" s="449"/>
      <c r="AW322" s="449"/>
      <c r="AX322" s="449"/>
      <c r="AY322" s="449"/>
      <c r="AZ322" s="449"/>
      <c r="BF322" s="449"/>
      <c r="BG322" s="450"/>
      <c r="BH322" s="450"/>
      <c r="BJ322" s="1240"/>
    </row>
    <row r="323" spans="1:68" ht="12" customHeight="1">
      <c r="A323" s="1278"/>
      <c r="B323" s="1278"/>
      <c r="C323" s="1279"/>
      <c r="D323" s="319"/>
      <c r="E323" s="1279"/>
      <c r="F323" s="1279"/>
      <c r="G323" s="1279"/>
      <c r="H323" s="1279"/>
      <c r="I323" s="1279"/>
      <c r="J323" s="1279"/>
      <c r="K323" s="1279"/>
      <c r="L323" s="1279"/>
      <c r="M323" s="1279"/>
      <c r="N323" s="1279"/>
      <c r="O323" s="1279"/>
      <c r="P323" s="1279"/>
      <c r="Q323" s="1279"/>
      <c r="R323" s="1279"/>
      <c r="S323" s="1279"/>
      <c r="T323" s="1279"/>
      <c r="U323" s="1279"/>
      <c r="AA323" s="1311"/>
      <c r="AB323" s="1307"/>
      <c r="AC323" s="1307"/>
      <c r="AD323" s="1307"/>
      <c r="AE323" s="1307"/>
      <c r="AF323" s="1307"/>
      <c r="AG323" s="1298"/>
      <c r="AH323" s="1298"/>
      <c r="AI323" s="1298"/>
      <c r="AJ323" s="1298"/>
      <c r="AK323" s="1298"/>
      <c r="AL323" s="1298"/>
      <c r="AM323" s="1298"/>
      <c r="AN323" s="1298"/>
      <c r="AO323" s="1298"/>
      <c r="AP323" s="1298"/>
      <c r="AQ323" s="1298"/>
      <c r="AR323" s="1298"/>
      <c r="AS323" s="1298"/>
      <c r="AT323" s="1298"/>
      <c r="AU323" s="1298"/>
      <c r="AV323" s="1298"/>
      <c r="AW323" s="1298"/>
      <c r="AX323" s="1298"/>
      <c r="AY323" s="1298"/>
      <c r="AZ323" s="1298"/>
      <c r="BF323" s="1298"/>
      <c r="BG323" s="450"/>
      <c r="BH323" s="450"/>
      <c r="BJ323" s="1240"/>
    </row>
    <row r="324" spans="1:68" ht="12" customHeight="1">
      <c r="A324" s="1278"/>
      <c r="B324" s="1278"/>
      <c r="C324" s="1279"/>
      <c r="D324" s="319"/>
      <c r="E324" s="1279"/>
      <c r="F324" s="1279"/>
      <c r="G324" s="1279"/>
      <c r="H324" s="1279"/>
      <c r="I324" s="1279"/>
      <c r="J324" s="1279"/>
      <c r="K324" s="1279"/>
      <c r="L324" s="1279"/>
      <c r="M324" s="1279"/>
      <c r="N324" s="1279"/>
      <c r="O324" s="1279"/>
      <c r="P324" s="1279"/>
      <c r="Q324" s="1279"/>
      <c r="R324" s="1279"/>
      <c r="S324" s="1279"/>
      <c r="T324" s="1279"/>
      <c r="U324" s="1279"/>
      <c r="AA324" s="1311"/>
      <c r="AB324" s="1307"/>
      <c r="AC324" s="1307"/>
      <c r="AD324" s="1307"/>
      <c r="AE324" s="1307"/>
      <c r="AF324" s="1307"/>
      <c r="AG324" s="1298"/>
      <c r="AH324" s="1298"/>
      <c r="AI324" s="1298"/>
      <c r="AJ324" s="1298"/>
      <c r="AK324" s="1298"/>
      <c r="AL324" s="1298"/>
      <c r="AM324" s="1298"/>
      <c r="AN324" s="1298"/>
      <c r="AO324" s="1298"/>
      <c r="AP324" s="1298"/>
      <c r="AQ324" s="1298"/>
      <c r="AR324" s="1298"/>
      <c r="AS324" s="1298"/>
      <c r="AT324" s="1298"/>
      <c r="AU324" s="1298"/>
      <c r="AV324" s="1298"/>
      <c r="AW324" s="1298"/>
      <c r="AX324" s="1298"/>
      <c r="AY324" s="1298"/>
      <c r="AZ324" s="1298"/>
      <c r="BF324" s="1298"/>
      <c r="BG324" s="450"/>
      <c r="BH324" s="450"/>
      <c r="BJ324" s="1240"/>
    </row>
    <row r="325" spans="1:68" ht="12" customHeight="1">
      <c r="A325" s="1238"/>
      <c r="B325" s="1239"/>
      <c r="C325" s="1276"/>
      <c r="D325" s="319"/>
      <c r="AA325" s="1245"/>
      <c r="AB325" s="1307"/>
      <c r="AC325" s="1307"/>
      <c r="AD325" s="1307"/>
      <c r="AE325" s="1307"/>
      <c r="AF325" s="1307"/>
      <c r="AG325" s="1298"/>
      <c r="AH325" s="1298"/>
      <c r="AI325" s="1298"/>
      <c r="AJ325" s="1298"/>
      <c r="AK325" s="1298"/>
      <c r="AL325" s="1298"/>
      <c r="AM325" s="1298"/>
      <c r="AN325" s="1298"/>
      <c r="AO325" s="1298"/>
      <c r="AP325" s="1298"/>
      <c r="AQ325" s="1298"/>
      <c r="AR325" s="1298"/>
      <c r="AS325" s="1298"/>
      <c r="AT325" s="1298"/>
      <c r="AU325" s="1298"/>
      <c r="AV325" s="1298"/>
      <c r="AW325" s="1298"/>
      <c r="AX325" s="1298"/>
      <c r="AY325" s="1298"/>
      <c r="AZ325" s="1298"/>
      <c r="BF325" s="1298"/>
      <c r="BG325" s="450"/>
      <c r="BH325" s="450"/>
      <c r="BJ325" s="1240"/>
    </row>
    <row r="326" spans="1:68" ht="12" customHeight="1">
      <c r="A326" s="1278"/>
      <c r="B326" s="1278"/>
      <c r="C326" s="1279"/>
      <c r="D326" s="319"/>
      <c r="E326" s="1279"/>
      <c r="F326" s="1279"/>
      <c r="G326" s="1279"/>
      <c r="H326" s="1279"/>
      <c r="I326" s="1279"/>
      <c r="J326" s="1279"/>
      <c r="K326" s="1279"/>
      <c r="L326" s="1279"/>
      <c r="M326" s="1279"/>
      <c r="N326" s="1279"/>
      <c r="O326" s="1279"/>
      <c r="P326" s="1279"/>
      <c r="Q326" s="1279"/>
      <c r="R326" s="1279"/>
      <c r="S326" s="1279"/>
      <c r="T326" s="1279"/>
      <c r="U326" s="1279"/>
      <c r="AA326" s="1245"/>
      <c r="AB326" s="1307"/>
      <c r="AC326" s="1307"/>
      <c r="AD326" s="1307"/>
      <c r="AE326" s="1307"/>
      <c r="AF326" s="1307"/>
      <c r="AG326" s="1298"/>
      <c r="AH326" s="1298"/>
      <c r="AI326" s="1298"/>
      <c r="AJ326" s="1298"/>
      <c r="AK326" s="1298"/>
      <c r="AL326" s="1298"/>
      <c r="AM326" s="1298"/>
      <c r="AN326" s="1298"/>
      <c r="AO326" s="1298"/>
      <c r="AP326" s="1298"/>
      <c r="AQ326" s="1298"/>
      <c r="AR326" s="1298"/>
      <c r="AS326" s="1298"/>
      <c r="AT326" s="1298"/>
      <c r="AU326" s="1298"/>
      <c r="AV326" s="1298"/>
      <c r="AW326" s="1298"/>
      <c r="AX326" s="1298"/>
      <c r="AY326" s="1298"/>
      <c r="AZ326" s="1298"/>
      <c r="BF326" s="1298"/>
      <c r="BG326" s="450"/>
      <c r="BH326" s="450"/>
      <c r="BJ326" s="1240"/>
    </row>
    <row r="327" spans="1:68" ht="12" customHeight="1">
      <c r="A327" s="1278"/>
      <c r="B327" s="1278"/>
      <c r="C327" s="1279"/>
      <c r="D327" s="319"/>
      <c r="E327" s="1279"/>
      <c r="F327" s="1279"/>
      <c r="G327" s="1279"/>
      <c r="H327" s="1279"/>
      <c r="I327" s="1279"/>
      <c r="J327" s="1279"/>
      <c r="K327" s="1279"/>
      <c r="L327" s="1279"/>
      <c r="M327" s="1279"/>
      <c r="N327" s="1279"/>
      <c r="O327" s="1279"/>
      <c r="P327" s="1279"/>
      <c r="Q327" s="1279"/>
      <c r="R327" s="1279"/>
      <c r="S327" s="1279"/>
      <c r="T327" s="1279"/>
      <c r="U327" s="1279"/>
      <c r="AA327" s="1245"/>
      <c r="AB327" s="1307"/>
      <c r="AC327" s="1307"/>
      <c r="AD327" s="1307"/>
      <c r="AE327" s="1307"/>
      <c r="AF327" s="1307"/>
      <c r="AG327" s="1298"/>
      <c r="AH327" s="1298"/>
      <c r="AI327" s="1298"/>
      <c r="AJ327" s="1298"/>
      <c r="AK327" s="1298"/>
      <c r="AL327" s="1298"/>
      <c r="AM327" s="1298"/>
      <c r="AN327" s="1298"/>
      <c r="AO327" s="1298"/>
      <c r="AP327" s="1298"/>
      <c r="AQ327" s="1298"/>
      <c r="AR327" s="1298"/>
      <c r="AS327" s="1298"/>
      <c r="AT327" s="1298"/>
      <c r="AU327" s="1298"/>
      <c r="AV327" s="1298"/>
      <c r="AW327" s="1298"/>
      <c r="AX327" s="1298"/>
      <c r="AY327" s="1298"/>
      <c r="AZ327" s="1298"/>
      <c r="BF327" s="1298"/>
      <c r="BG327" s="450"/>
      <c r="BH327" s="450"/>
      <c r="BJ327" s="1240"/>
    </row>
    <row r="328" spans="1:68" ht="12" customHeight="1">
      <c r="A328" s="327"/>
      <c r="B328" s="1285"/>
      <c r="C328" s="1285"/>
      <c r="D328" s="319"/>
      <c r="AA328" s="1297"/>
      <c r="AB328" s="1307"/>
      <c r="AC328" s="1307"/>
      <c r="AD328" s="1307"/>
      <c r="AE328" s="1307"/>
      <c r="AF328" s="1307"/>
      <c r="AG328" s="1298"/>
      <c r="AH328" s="1298"/>
      <c r="AI328" s="1298"/>
      <c r="AJ328" s="1298"/>
      <c r="AK328" s="1298"/>
      <c r="AL328" s="1298"/>
      <c r="AM328" s="1298"/>
      <c r="AN328" s="1298"/>
      <c r="AO328" s="1298"/>
      <c r="AP328" s="1298"/>
      <c r="AQ328" s="1298"/>
      <c r="AR328" s="1298"/>
      <c r="AS328" s="1298"/>
      <c r="AT328" s="1298"/>
      <c r="AU328" s="1298"/>
      <c r="AV328" s="1298"/>
      <c r="AW328" s="1298"/>
      <c r="AX328" s="1298"/>
      <c r="AY328" s="1298"/>
      <c r="AZ328" s="1298"/>
      <c r="BF328" s="1298"/>
      <c r="BG328" s="450"/>
      <c r="BH328" s="450"/>
      <c r="BJ328" s="1240"/>
    </row>
    <row r="329" spans="1:68" ht="12" customHeight="1">
      <c r="A329" s="1278"/>
      <c r="B329" s="1278"/>
      <c r="C329" s="1279"/>
      <c r="D329" s="319"/>
      <c r="E329" s="1279"/>
      <c r="F329" s="1279"/>
      <c r="G329" s="1279"/>
      <c r="H329" s="1279"/>
      <c r="I329" s="1279"/>
      <c r="J329" s="1279"/>
      <c r="K329" s="1279"/>
      <c r="L329" s="1279"/>
      <c r="M329" s="1279"/>
      <c r="N329" s="1279"/>
      <c r="O329" s="1279"/>
      <c r="P329" s="1279"/>
      <c r="Q329" s="1279"/>
      <c r="R329" s="1279"/>
      <c r="S329" s="1279"/>
      <c r="T329" s="1279"/>
      <c r="U329" s="1279"/>
      <c r="AA329" s="1297"/>
      <c r="AB329" s="1307"/>
      <c r="AC329" s="1307"/>
      <c r="AD329" s="1307"/>
      <c r="AE329" s="1307"/>
      <c r="AF329" s="1307"/>
      <c r="AG329" s="1298"/>
      <c r="AH329" s="1298"/>
      <c r="AI329" s="1298"/>
      <c r="AJ329" s="1298"/>
      <c r="AK329" s="1298"/>
      <c r="AL329" s="1298"/>
      <c r="AM329" s="1298"/>
      <c r="AN329" s="1298"/>
      <c r="AO329" s="1298"/>
      <c r="AP329" s="1298"/>
      <c r="AQ329" s="1298"/>
      <c r="AR329" s="1298"/>
      <c r="AS329" s="1298"/>
      <c r="AT329" s="1298"/>
      <c r="AU329" s="1298"/>
      <c r="AV329" s="1298"/>
      <c r="AW329" s="1298"/>
      <c r="AX329" s="1298"/>
      <c r="AY329" s="1298"/>
      <c r="AZ329" s="1298"/>
      <c r="BF329" s="1298"/>
      <c r="BG329" s="450"/>
      <c r="BH329" s="450"/>
      <c r="BJ329" s="1240"/>
    </row>
    <row r="330" spans="1:68" ht="12" customHeight="1">
      <c r="A330" s="1278"/>
      <c r="B330" s="1278"/>
      <c r="C330" s="1279"/>
      <c r="D330" s="319"/>
      <c r="E330" s="1279"/>
      <c r="F330" s="1279"/>
      <c r="G330" s="1279"/>
      <c r="H330" s="1279"/>
      <c r="I330" s="1279"/>
      <c r="J330" s="1279"/>
      <c r="K330" s="1279"/>
      <c r="L330" s="1279"/>
      <c r="M330" s="1279"/>
      <c r="N330" s="1279"/>
      <c r="O330" s="1279"/>
      <c r="P330" s="1279"/>
      <c r="Q330" s="1279"/>
      <c r="R330" s="1279"/>
      <c r="S330" s="1279"/>
      <c r="T330" s="1279"/>
      <c r="U330" s="1279"/>
      <c r="AA330" s="1297"/>
      <c r="AB330" s="1307"/>
      <c r="AC330" s="1307"/>
      <c r="AD330" s="1307"/>
      <c r="AE330" s="1307"/>
      <c r="AF330" s="1307"/>
      <c r="AG330" s="1298"/>
      <c r="AH330" s="1298"/>
      <c r="AI330" s="1298"/>
      <c r="AJ330" s="1298"/>
      <c r="AK330" s="1298"/>
      <c r="AL330" s="1298"/>
      <c r="AM330" s="1298"/>
      <c r="AN330" s="1298"/>
      <c r="AO330" s="1298"/>
      <c r="AP330" s="1298"/>
      <c r="AQ330" s="1298"/>
      <c r="AR330" s="1298"/>
      <c r="AS330" s="1298"/>
      <c r="AT330" s="1298"/>
      <c r="AU330" s="1298"/>
      <c r="AV330" s="1298"/>
      <c r="AW330" s="1298"/>
      <c r="AX330" s="1298"/>
      <c r="AY330" s="1298"/>
      <c r="AZ330" s="1298"/>
      <c r="BF330" s="1298"/>
      <c r="BG330" s="450"/>
      <c r="BH330" s="450"/>
      <c r="BJ330" s="1240"/>
    </row>
    <row r="331" spans="1:68" ht="12" customHeight="1">
      <c r="A331" s="1238"/>
      <c r="B331" s="1291"/>
      <c r="C331" s="1284"/>
      <c r="D331" s="319"/>
      <c r="E331" s="1269"/>
      <c r="F331" s="1269"/>
      <c r="G331" s="1269"/>
      <c r="H331" s="1269"/>
      <c r="I331" s="1269"/>
      <c r="J331" s="1269"/>
      <c r="K331" s="1269"/>
      <c r="L331" s="1269"/>
      <c r="M331" s="1269"/>
      <c r="N331" s="1269"/>
      <c r="O331" s="1269"/>
      <c r="P331" s="1269"/>
      <c r="Q331" s="1269"/>
      <c r="R331" s="1269"/>
      <c r="S331" s="1269"/>
      <c r="T331" s="1269"/>
      <c r="U331" s="1269"/>
      <c r="AA331" s="1297"/>
      <c r="AB331" s="1307"/>
      <c r="AC331" s="1307"/>
      <c r="AD331" s="1307"/>
      <c r="AE331" s="1307"/>
      <c r="AF331" s="1307"/>
      <c r="AG331" s="1298"/>
      <c r="AH331" s="1298"/>
      <c r="AI331" s="1298"/>
      <c r="AJ331" s="1298"/>
      <c r="AK331" s="1298"/>
      <c r="AL331" s="1298"/>
      <c r="AM331" s="1298"/>
      <c r="AN331" s="1298"/>
      <c r="AO331" s="1298"/>
      <c r="AP331" s="1298"/>
      <c r="AQ331" s="1298"/>
      <c r="AR331" s="1298"/>
      <c r="AS331" s="1298"/>
      <c r="AT331" s="1298"/>
      <c r="AU331" s="1298"/>
      <c r="AV331" s="1298"/>
      <c r="AW331" s="1298"/>
      <c r="AX331" s="1298"/>
      <c r="AY331" s="1298"/>
      <c r="AZ331" s="1298"/>
      <c r="BF331" s="1298"/>
      <c r="BG331" s="450"/>
      <c r="BH331" s="450"/>
      <c r="BJ331" s="1240"/>
    </row>
    <row r="332" spans="1:68" ht="12" customHeight="1">
      <c r="A332" s="1278"/>
      <c r="B332" s="1278"/>
      <c r="C332" s="1279"/>
      <c r="D332" s="319"/>
      <c r="E332" s="1279"/>
      <c r="F332" s="1279"/>
      <c r="G332" s="1279"/>
      <c r="H332" s="1279"/>
      <c r="I332" s="1279"/>
      <c r="J332" s="1279"/>
      <c r="K332" s="1279"/>
      <c r="L332" s="1279"/>
      <c r="M332" s="1279"/>
      <c r="N332" s="1279"/>
      <c r="O332" s="1279"/>
      <c r="P332" s="1279"/>
      <c r="Q332" s="1279"/>
      <c r="R332" s="1279"/>
      <c r="S332" s="1279"/>
      <c r="T332" s="1279"/>
      <c r="U332" s="1279"/>
      <c r="AA332" s="1297"/>
      <c r="AB332" s="1307"/>
      <c r="AC332" s="1307"/>
      <c r="AD332" s="1307"/>
      <c r="AE332" s="1307"/>
      <c r="AF332" s="1307"/>
      <c r="AG332" s="1298"/>
      <c r="AH332" s="1298"/>
      <c r="AI332" s="1298"/>
      <c r="AJ332" s="1298"/>
      <c r="AK332" s="1298"/>
      <c r="AL332" s="1298"/>
      <c r="AM332" s="1298"/>
      <c r="AN332" s="1298"/>
      <c r="AO332" s="1298"/>
      <c r="AP332" s="1298"/>
      <c r="AQ332" s="1298"/>
      <c r="AR332" s="1298"/>
      <c r="AS332" s="1298"/>
      <c r="AT332" s="1298"/>
      <c r="AU332" s="1298"/>
      <c r="AV332" s="1298"/>
      <c r="AW332" s="1298"/>
      <c r="AX332" s="1298"/>
      <c r="AY332" s="1298"/>
      <c r="AZ332" s="1298"/>
      <c r="BF332" s="1298"/>
      <c r="BG332" s="450"/>
      <c r="BH332" s="450"/>
      <c r="BJ332" s="1240"/>
    </row>
    <row r="333" spans="1:68" ht="12" customHeight="1">
      <c r="A333" s="1278"/>
      <c r="B333" s="1278"/>
      <c r="C333" s="1279"/>
      <c r="D333" s="319"/>
      <c r="E333" s="1279"/>
      <c r="F333" s="1279"/>
      <c r="G333" s="1279"/>
      <c r="H333" s="1279"/>
      <c r="I333" s="1279"/>
      <c r="J333" s="1279"/>
      <c r="K333" s="1279"/>
      <c r="L333" s="1279"/>
      <c r="M333" s="1279"/>
      <c r="N333" s="1279"/>
      <c r="O333" s="1279"/>
      <c r="P333" s="1279"/>
      <c r="Q333" s="1279"/>
      <c r="R333" s="1279"/>
      <c r="S333" s="1279"/>
      <c r="T333" s="1279"/>
      <c r="U333" s="1279"/>
      <c r="AA333" s="1297"/>
      <c r="AB333" s="1307"/>
      <c r="AC333" s="1307"/>
      <c r="AD333" s="1307"/>
      <c r="AE333" s="1307"/>
      <c r="AF333" s="1307"/>
      <c r="AG333" s="1298"/>
      <c r="AH333" s="1298"/>
      <c r="AI333" s="1298"/>
      <c r="AJ333" s="1298"/>
      <c r="AK333" s="1298"/>
      <c r="AL333" s="1298"/>
      <c r="AM333" s="1298"/>
      <c r="AN333" s="1298"/>
      <c r="AO333" s="1298"/>
      <c r="AP333" s="1298"/>
      <c r="AQ333" s="1298"/>
      <c r="AR333" s="1298"/>
      <c r="AS333" s="1298"/>
      <c r="AT333" s="1298"/>
      <c r="AU333" s="1298"/>
      <c r="AV333" s="1298"/>
      <c r="AW333" s="1298"/>
      <c r="AX333" s="1298"/>
      <c r="AY333" s="1298"/>
      <c r="AZ333" s="1298"/>
      <c r="BF333" s="1298"/>
      <c r="BG333" s="450"/>
      <c r="BH333" s="450"/>
      <c r="BJ333" s="1240"/>
    </row>
    <row r="334" spans="1:68" ht="12" customHeight="1">
      <c r="A334" s="1294"/>
      <c r="B334" s="1294"/>
      <c r="C334" s="1295"/>
      <c r="D334" s="319"/>
      <c r="E334" s="1296"/>
      <c r="F334" s="1296"/>
      <c r="G334" s="1296"/>
      <c r="H334" s="1296"/>
      <c r="I334" s="1296"/>
      <c r="J334" s="1296"/>
      <c r="K334" s="1296"/>
      <c r="L334" s="1296"/>
      <c r="M334" s="1296"/>
      <c r="N334" s="1296"/>
      <c r="O334" s="1296"/>
      <c r="P334" s="1296"/>
      <c r="Q334" s="1296"/>
      <c r="R334" s="1296"/>
      <c r="S334" s="1296"/>
      <c r="T334" s="1296"/>
      <c r="U334" s="1296"/>
      <c r="AA334" s="1297"/>
      <c r="AB334" s="1312"/>
      <c r="AC334" s="1312"/>
      <c r="AD334" s="1312"/>
      <c r="AE334" s="1312"/>
      <c r="AF334" s="1312"/>
      <c r="AG334" s="1313"/>
      <c r="AH334" s="1313"/>
      <c r="AI334" s="1313"/>
      <c r="AJ334" s="1313"/>
      <c r="AK334" s="1313"/>
      <c r="AL334" s="1313"/>
      <c r="AM334" s="1313"/>
      <c r="AN334" s="1313"/>
      <c r="AO334" s="1313"/>
      <c r="AP334" s="1313"/>
      <c r="AQ334" s="1313"/>
      <c r="AR334" s="1313"/>
      <c r="AS334" s="1313"/>
      <c r="AT334" s="1313"/>
      <c r="AU334" s="1313"/>
      <c r="AV334" s="1313"/>
      <c r="AW334" s="1313"/>
      <c r="AX334" s="1313"/>
      <c r="AY334" s="1313"/>
      <c r="AZ334" s="1313"/>
      <c r="BF334" s="1313"/>
      <c r="BG334" s="323"/>
      <c r="BH334" s="323"/>
      <c r="BJ334" s="1240"/>
    </row>
    <row r="335" spans="1:68" ht="12" customHeight="1">
      <c r="A335" s="1294"/>
      <c r="B335" s="1294"/>
      <c r="C335" s="1295"/>
      <c r="D335" s="319"/>
      <c r="E335" s="1296"/>
      <c r="F335" s="1296"/>
      <c r="G335" s="1296"/>
      <c r="H335" s="1296"/>
      <c r="I335" s="1296"/>
      <c r="J335" s="1296"/>
      <c r="K335" s="1296"/>
      <c r="L335" s="1296"/>
      <c r="M335" s="1296"/>
      <c r="N335" s="1296"/>
      <c r="O335" s="1296"/>
      <c r="P335" s="1296"/>
      <c r="Q335" s="1296"/>
      <c r="R335" s="1296"/>
      <c r="S335" s="1296"/>
      <c r="T335" s="1296"/>
      <c r="U335" s="1296"/>
      <c r="AA335" s="1297"/>
      <c r="AB335" s="1307"/>
      <c r="AC335" s="1307"/>
      <c r="AD335" s="1307"/>
      <c r="AE335" s="1307"/>
      <c r="AF335" s="1307"/>
      <c r="AG335" s="1298"/>
      <c r="AH335" s="1298"/>
      <c r="AI335" s="1298"/>
      <c r="AJ335" s="1298"/>
      <c r="AK335" s="1298"/>
      <c r="AL335" s="1298"/>
      <c r="AM335" s="1298"/>
      <c r="AN335" s="1298"/>
      <c r="AO335" s="1298"/>
      <c r="AP335" s="1298"/>
      <c r="AQ335" s="1298"/>
      <c r="AR335" s="1298"/>
      <c r="AS335" s="1298"/>
      <c r="AT335" s="1298"/>
      <c r="AU335" s="1298"/>
      <c r="AV335" s="1298"/>
      <c r="AW335" s="1298"/>
      <c r="AX335" s="1298"/>
      <c r="AY335" s="1298"/>
      <c r="AZ335" s="1298"/>
      <c r="BF335" s="1298"/>
      <c r="BG335" s="450"/>
      <c r="BH335" s="450"/>
      <c r="BJ335" s="1240"/>
    </row>
    <row r="336" spans="1:68" ht="12" customHeight="1">
      <c r="A336" s="327"/>
      <c r="B336" s="316"/>
      <c r="D336" s="319"/>
      <c r="AB336" s="329"/>
      <c r="AC336" s="329"/>
      <c r="AD336" s="329"/>
      <c r="AE336" s="329"/>
      <c r="AF336" s="329"/>
      <c r="AG336" s="330"/>
      <c r="AH336" s="330"/>
      <c r="AI336" s="330"/>
      <c r="AJ336" s="330"/>
      <c r="AK336" s="330"/>
      <c r="AL336" s="330"/>
      <c r="AM336" s="330"/>
      <c r="AN336" s="330"/>
      <c r="AO336" s="330"/>
      <c r="AP336" s="330"/>
      <c r="AQ336" s="330"/>
      <c r="AR336" s="330"/>
      <c r="AS336" s="330"/>
      <c r="AT336" s="330"/>
      <c r="AU336" s="330"/>
      <c r="AV336" s="330"/>
      <c r="AW336" s="330"/>
      <c r="AX336" s="330"/>
      <c r="AY336" s="330"/>
      <c r="AZ336" s="330"/>
      <c r="BF336" s="330"/>
      <c r="BG336" s="323"/>
      <c r="BH336" s="323"/>
      <c r="BK336" s="323"/>
      <c r="BL336" s="323"/>
      <c r="BO336" s="323"/>
      <c r="BP336" s="323"/>
    </row>
    <row r="337" spans="1:68" ht="12" customHeight="1">
      <c r="A337" s="327"/>
      <c r="B337" s="1299"/>
      <c r="C337" s="317"/>
      <c r="D337" s="319"/>
      <c r="AA337" s="319"/>
      <c r="AB337" s="329"/>
      <c r="AC337" s="329"/>
      <c r="AD337" s="329"/>
      <c r="AE337" s="329"/>
      <c r="AF337" s="329"/>
      <c r="AG337" s="330"/>
      <c r="AH337" s="330"/>
      <c r="AI337" s="330"/>
      <c r="AJ337" s="330"/>
      <c r="AK337" s="330"/>
      <c r="AL337" s="330"/>
      <c r="AM337" s="330"/>
      <c r="AN337" s="330"/>
      <c r="AO337" s="330"/>
      <c r="AP337" s="330"/>
      <c r="AQ337" s="330"/>
      <c r="AR337" s="330"/>
      <c r="AS337" s="330"/>
      <c r="AT337" s="330"/>
      <c r="AU337" s="330"/>
      <c r="AV337" s="330"/>
      <c r="AW337" s="330"/>
      <c r="AX337" s="330"/>
      <c r="AY337" s="330"/>
      <c r="AZ337" s="330"/>
      <c r="BF337" s="330"/>
      <c r="BG337" s="323"/>
      <c r="BH337" s="323"/>
      <c r="BK337" s="323"/>
      <c r="BL337" s="323"/>
      <c r="BO337" s="323"/>
      <c r="BP337" s="323"/>
    </row>
    <row r="338" spans="1:68" ht="12" customHeight="1">
      <c r="A338" s="327"/>
      <c r="B338" s="1299"/>
      <c r="C338" s="317"/>
      <c r="D338" s="319"/>
      <c r="AB338" s="329"/>
      <c r="AC338" s="329"/>
      <c r="AD338" s="329"/>
      <c r="AE338" s="329"/>
      <c r="AF338" s="329"/>
      <c r="AG338" s="330"/>
      <c r="AH338" s="330"/>
      <c r="AI338" s="330"/>
      <c r="AJ338" s="330"/>
      <c r="AK338" s="330"/>
      <c r="AL338" s="330"/>
      <c r="AM338" s="330"/>
      <c r="AN338" s="330"/>
      <c r="AO338" s="330"/>
      <c r="AP338" s="330"/>
      <c r="AQ338" s="330"/>
      <c r="AR338" s="330"/>
      <c r="AS338" s="330"/>
      <c r="AT338" s="330"/>
      <c r="AU338" s="330"/>
      <c r="AV338" s="330"/>
      <c r="AW338" s="330"/>
      <c r="AX338" s="330"/>
      <c r="AY338" s="330"/>
      <c r="AZ338" s="330"/>
      <c r="BF338" s="330"/>
      <c r="BG338" s="330"/>
      <c r="BH338" s="330"/>
      <c r="BK338" s="330"/>
      <c r="BL338" s="330"/>
      <c r="BO338" s="330"/>
      <c r="BP338" s="330"/>
    </row>
    <row r="339" spans="1:68" ht="12" customHeight="1">
      <c r="A339" s="1314"/>
      <c r="B339" s="1315"/>
      <c r="C339" s="1282"/>
      <c r="D339" s="319"/>
      <c r="AB339" s="448"/>
      <c r="AC339" s="448"/>
      <c r="AD339" s="448"/>
      <c r="AE339" s="448"/>
      <c r="AF339" s="448"/>
      <c r="AG339" s="449"/>
      <c r="AH339" s="449"/>
      <c r="AI339" s="449"/>
      <c r="AJ339" s="449"/>
      <c r="AK339" s="449"/>
      <c r="AL339" s="449"/>
      <c r="AM339" s="449"/>
      <c r="AN339" s="449"/>
      <c r="AO339" s="449"/>
      <c r="AP339" s="449"/>
      <c r="AQ339" s="449"/>
      <c r="AR339" s="449"/>
      <c r="AS339" s="449"/>
      <c r="AT339" s="449"/>
      <c r="AU339" s="449"/>
      <c r="AV339" s="449"/>
      <c r="AW339" s="449"/>
      <c r="AX339" s="449"/>
      <c r="AY339" s="449"/>
      <c r="AZ339" s="449"/>
      <c r="BF339" s="449"/>
      <c r="BG339" s="450"/>
      <c r="BH339" s="450"/>
    </row>
    <row r="340" spans="1:68" ht="12" customHeight="1">
      <c r="A340" s="1314"/>
      <c r="B340" s="1315"/>
      <c r="C340" s="1282"/>
      <c r="D340" s="319"/>
      <c r="AB340" s="448"/>
      <c r="AC340" s="448"/>
      <c r="AD340" s="448"/>
      <c r="AE340" s="448"/>
      <c r="AF340" s="448"/>
      <c r="AG340" s="449"/>
      <c r="AH340" s="449"/>
      <c r="AI340" s="449"/>
      <c r="AJ340" s="449"/>
      <c r="AK340" s="449"/>
      <c r="AL340" s="449"/>
      <c r="AM340" s="449"/>
      <c r="AN340" s="449"/>
      <c r="AO340" s="449"/>
      <c r="AP340" s="449"/>
      <c r="AQ340" s="449"/>
      <c r="AR340" s="449"/>
      <c r="AS340" s="449"/>
      <c r="AT340" s="449"/>
      <c r="AU340" s="449"/>
      <c r="AV340" s="449"/>
      <c r="AW340" s="449"/>
      <c r="AX340" s="449"/>
      <c r="AY340" s="449"/>
      <c r="AZ340" s="449"/>
      <c r="BF340" s="449"/>
      <c r="BG340" s="1316"/>
      <c r="BH340" s="450"/>
      <c r="BK340" s="1317"/>
      <c r="BO340" s="1318"/>
    </row>
    <row r="341" spans="1:68" ht="12" customHeight="1">
      <c r="A341" s="1314"/>
      <c r="B341" s="1315"/>
      <c r="C341" s="1282"/>
      <c r="D341" s="319"/>
      <c r="AB341" s="448"/>
      <c r="AC341" s="448"/>
      <c r="AD341" s="448"/>
      <c r="AE341" s="448"/>
      <c r="AF341" s="448"/>
      <c r="AG341" s="449"/>
      <c r="AH341" s="449"/>
      <c r="AI341" s="449"/>
      <c r="AJ341" s="449"/>
      <c r="AK341" s="449"/>
      <c r="AL341" s="449"/>
      <c r="AM341" s="449"/>
      <c r="AN341" s="449"/>
      <c r="AO341" s="449"/>
      <c r="AP341" s="449"/>
      <c r="AQ341" s="449"/>
      <c r="AR341" s="449"/>
      <c r="AS341" s="449"/>
      <c r="AT341" s="449"/>
      <c r="AU341" s="449"/>
      <c r="AV341" s="449"/>
      <c r="AW341" s="449"/>
      <c r="AX341" s="449"/>
      <c r="AY341" s="449"/>
      <c r="AZ341" s="449"/>
      <c r="BF341" s="449"/>
      <c r="BG341" s="325"/>
      <c r="BH341" s="1269"/>
      <c r="BK341" s="325"/>
      <c r="BL341" s="1269"/>
      <c r="BO341" s="325"/>
      <c r="BP341" s="1269"/>
    </row>
    <row r="342" spans="1:68" ht="12" customHeight="1">
      <c r="B342" s="1315"/>
      <c r="C342" s="1282"/>
      <c r="D342" s="319"/>
      <c r="AB342" s="1319"/>
      <c r="AC342" s="1319"/>
      <c r="AD342" s="1319"/>
      <c r="AE342" s="1319"/>
      <c r="AF342" s="1319"/>
      <c r="AG342" s="328"/>
      <c r="AH342" s="328"/>
      <c r="AI342" s="328"/>
      <c r="AJ342" s="328"/>
      <c r="AK342" s="328"/>
      <c r="AL342" s="328"/>
      <c r="AM342" s="328"/>
      <c r="AN342" s="328"/>
      <c r="AO342" s="328"/>
      <c r="AP342" s="328"/>
      <c r="AQ342" s="328"/>
      <c r="AR342" s="328"/>
      <c r="AS342" s="328"/>
      <c r="AT342" s="328"/>
      <c r="AU342" s="328"/>
      <c r="AV342" s="328"/>
      <c r="AW342" s="328"/>
      <c r="AX342" s="328"/>
      <c r="AY342" s="328"/>
      <c r="AZ342" s="328"/>
      <c r="BE342" s="328"/>
      <c r="BF342" s="449"/>
      <c r="BO342" s="328"/>
    </row>
    <row r="343" spans="1:68" ht="12" customHeight="1">
      <c r="B343" s="1315"/>
      <c r="C343" s="1282"/>
      <c r="D343" s="319"/>
      <c r="AB343" s="1307"/>
      <c r="AC343" s="1307"/>
      <c r="AD343" s="1307"/>
      <c r="AE343" s="1307"/>
      <c r="AF343" s="1307"/>
      <c r="AG343" s="1298"/>
      <c r="AH343" s="1298"/>
      <c r="AI343" s="1298"/>
      <c r="AJ343" s="1298"/>
      <c r="AK343" s="1298"/>
      <c r="AL343" s="1298"/>
      <c r="AM343" s="1298"/>
      <c r="AN343" s="1298"/>
      <c r="AO343" s="1298"/>
      <c r="AP343" s="1298"/>
      <c r="AQ343" s="1298"/>
      <c r="AR343" s="1298"/>
      <c r="AS343" s="1298"/>
      <c r="AT343" s="1298"/>
      <c r="AU343" s="1298"/>
      <c r="AV343" s="1298"/>
      <c r="AW343" s="1298"/>
      <c r="AX343" s="1298"/>
      <c r="AY343" s="449"/>
      <c r="AZ343" s="449"/>
      <c r="BE343" s="328"/>
      <c r="BF343" s="449"/>
      <c r="BG343" s="325"/>
      <c r="BH343" s="325"/>
      <c r="BK343" s="325"/>
      <c r="BL343" s="325"/>
      <c r="BO343" s="325"/>
      <c r="BP343" s="325"/>
    </row>
    <row r="344" spans="1:68" s="1269" customFormat="1" ht="12" customHeight="1">
      <c r="A344" s="1310"/>
      <c r="B344" s="1320"/>
      <c r="C344" s="316"/>
      <c r="V344" s="325"/>
      <c r="W344" s="325"/>
      <c r="X344" s="325"/>
      <c r="Y344" s="325"/>
      <c r="Z344" s="325"/>
      <c r="AA344" s="325"/>
      <c r="AB344" s="1312"/>
      <c r="AC344" s="1312"/>
      <c r="AD344" s="1312"/>
      <c r="AE344" s="1312"/>
      <c r="AF344" s="1312"/>
      <c r="AG344" s="1321"/>
      <c r="AH344" s="1321"/>
      <c r="AI344" s="1321"/>
      <c r="AJ344" s="1321"/>
      <c r="AK344" s="1321"/>
      <c r="AL344" s="1321"/>
      <c r="AM344" s="1321"/>
      <c r="AN344" s="1321"/>
      <c r="AO344" s="1321"/>
      <c r="AP344" s="1321"/>
      <c r="AQ344" s="1321"/>
      <c r="AR344" s="1321"/>
      <c r="AS344" s="1321"/>
      <c r="AT344" s="1321"/>
      <c r="AU344" s="1321"/>
      <c r="AV344" s="1321"/>
      <c r="AW344" s="1321"/>
      <c r="AX344" s="1321"/>
      <c r="AY344" s="1321"/>
      <c r="AZ344" s="1321"/>
      <c r="BE344" s="325"/>
      <c r="BF344" s="330"/>
      <c r="BG344" s="1321"/>
      <c r="BH344" s="1321"/>
      <c r="BK344" s="1321"/>
      <c r="BL344" s="1321"/>
      <c r="BO344" s="1321"/>
      <c r="BP344" s="1321"/>
    </row>
    <row r="345" spans="1:68" s="1269" customFormat="1" ht="12" customHeight="1">
      <c r="A345" s="1310"/>
      <c r="B345" s="1320"/>
      <c r="C345" s="316"/>
      <c r="V345" s="325"/>
      <c r="W345" s="325"/>
      <c r="X345" s="325"/>
      <c r="Y345" s="325"/>
      <c r="Z345" s="325"/>
      <c r="AA345" s="325"/>
      <c r="AB345" s="1325"/>
      <c r="AC345" s="1325"/>
      <c r="AD345" s="1325"/>
      <c r="AE345" s="1325"/>
      <c r="AF345" s="1325"/>
      <c r="AG345" s="1321"/>
      <c r="AH345" s="1321"/>
      <c r="AI345" s="1321"/>
      <c r="AJ345" s="1321"/>
      <c r="AK345" s="1321"/>
      <c r="AL345" s="1321"/>
      <c r="AM345" s="1321"/>
      <c r="AN345" s="1321"/>
      <c r="AO345" s="1321"/>
      <c r="AP345" s="1321"/>
      <c r="AQ345" s="1321"/>
      <c r="AR345" s="1321"/>
      <c r="AS345" s="1321"/>
      <c r="AT345" s="1321"/>
      <c r="AU345" s="1321"/>
      <c r="AV345" s="1321"/>
      <c r="AW345" s="1321"/>
      <c r="AX345" s="1321"/>
      <c r="AY345" s="1321"/>
      <c r="AZ345" s="1321"/>
      <c r="BE345" s="325"/>
      <c r="BF345" s="330"/>
      <c r="BG345" s="1321"/>
      <c r="BH345" s="1321"/>
      <c r="BK345" s="1321"/>
      <c r="BL345" s="1321"/>
      <c r="BO345" s="1321"/>
      <c r="BP345" s="1321"/>
    </row>
    <row r="346" spans="1:68" s="1269" customFormat="1" ht="12" customHeight="1">
      <c r="A346" s="1310"/>
      <c r="B346" s="1320"/>
      <c r="C346" s="316"/>
      <c r="V346" s="325"/>
      <c r="W346" s="325"/>
      <c r="X346" s="325"/>
      <c r="Y346" s="325"/>
      <c r="Z346" s="325"/>
      <c r="AA346" s="325"/>
      <c r="AB346" s="329"/>
      <c r="AC346" s="329"/>
      <c r="AD346" s="329"/>
      <c r="AE346" s="329"/>
      <c r="AF346" s="329"/>
      <c r="AG346" s="1321"/>
      <c r="AH346" s="1321"/>
      <c r="AI346" s="1321"/>
      <c r="AJ346" s="1321"/>
      <c r="AK346" s="1321"/>
      <c r="AL346" s="1321"/>
      <c r="AM346" s="1321"/>
      <c r="AN346" s="1321"/>
      <c r="AO346" s="1321"/>
      <c r="AP346" s="1321"/>
      <c r="AQ346" s="1321"/>
      <c r="AR346" s="1321"/>
      <c r="AS346" s="1321"/>
      <c r="AT346" s="1321"/>
      <c r="AU346" s="1321"/>
      <c r="AV346" s="1321"/>
      <c r="AW346" s="1321"/>
      <c r="AX346" s="1321"/>
      <c r="AY346" s="1321"/>
      <c r="AZ346" s="1321"/>
      <c r="BE346" s="325"/>
      <c r="BF346" s="330"/>
      <c r="BG346" s="1321"/>
      <c r="BH346" s="1321"/>
      <c r="BK346" s="1321"/>
      <c r="BL346" s="1321"/>
      <c r="BO346" s="1321"/>
      <c r="BP346" s="1321"/>
    </row>
    <row r="347" spans="1:68" ht="12" customHeight="1">
      <c r="B347" s="1315"/>
      <c r="C347" s="1282"/>
      <c r="D347" s="319"/>
      <c r="AB347" s="448"/>
      <c r="AC347" s="448"/>
      <c r="AD347" s="448"/>
      <c r="AE347" s="448"/>
      <c r="AF347" s="448"/>
      <c r="AG347" s="449"/>
      <c r="AH347" s="449"/>
      <c r="AI347" s="449"/>
      <c r="AJ347" s="449"/>
      <c r="AK347" s="449"/>
      <c r="AL347" s="449"/>
      <c r="AM347" s="449"/>
      <c r="AN347" s="449"/>
      <c r="AO347" s="449"/>
      <c r="AP347" s="449"/>
      <c r="AQ347" s="449"/>
      <c r="AR347" s="449"/>
      <c r="AS347" s="449"/>
      <c r="AT347" s="449"/>
      <c r="AU347" s="449"/>
      <c r="AV347" s="449"/>
      <c r="AW347" s="449"/>
      <c r="AX347" s="449"/>
      <c r="AY347" s="449"/>
      <c r="AZ347" s="449"/>
      <c r="BE347" s="328"/>
      <c r="BF347" s="449"/>
      <c r="BG347" s="450"/>
      <c r="BH347" s="450"/>
    </row>
    <row r="348" spans="1:68" ht="12" customHeight="1">
      <c r="B348" s="1315"/>
      <c r="C348" s="1282"/>
      <c r="D348" s="319"/>
      <c r="AB348" s="1322"/>
      <c r="AC348" s="1322"/>
      <c r="AD348" s="1322"/>
      <c r="AE348" s="1322"/>
      <c r="AF348" s="1322"/>
      <c r="AG348" s="1323"/>
      <c r="AH348" s="1323"/>
      <c r="AI348" s="1323"/>
      <c r="AJ348" s="1323"/>
      <c r="AK348" s="1323"/>
      <c r="AL348" s="1323"/>
      <c r="AM348" s="1323"/>
      <c r="AN348" s="1323"/>
      <c r="AO348" s="1323"/>
      <c r="AP348" s="1323"/>
      <c r="AQ348" s="1323"/>
      <c r="AR348" s="1323"/>
      <c r="AS348" s="1323"/>
      <c r="AT348" s="1323"/>
      <c r="AU348" s="1323"/>
      <c r="AV348" s="1323"/>
      <c r="AW348" s="1323"/>
      <c r="AX348" s="1323"/>
      <c r="AY348" s="1323"/>
      <c r="AZ348" s="1323"/>
      <c r="BE348" s="328"/>
      <c r="BF348" s="449"/>
      <c r="BG348" s="450"/>
      <c r="BH348" s="450"/>
    </row>
    <row r="349" spans="1:68" ht="12" customHeight="1">
      <c r="B349" s="1315"/>
      <c r="C349" s="1282"/>
      <c r="D349" s="319"/>
      <c r="AB349" s="448"/>
      <c r="AC349" s="448"/>
      <c r="AD349" s="448"/>
      <c r="AE349" s="448"/>
      <c r="AF349" s="448"/>
      <c r="AG349" s="449"/>
      <c r="AH349" s="449"/>
      <c r="AI349" s="449"/>
      <c r="AJ349" s="449"/>
      <c r="AK349" s="449"/>
      <c r="AL349" s="449"/>
      <c r="AM349" s="449"/>
      <c r="AN349" s="449"/>
      <c r="AO349" s="449"/>
      <c r="AP349" s="449"/>
      <c r="AQ349" s="449"/>
      <c r="AR349" s="449"/>
      <c r="AS349" s="1324"/>
      <c r="AT349" s="449"/>
      <c r="AU349" s="449"/>
      <c r="AV349" s="449"/>
      <c r="AW349" s="449"/>
      <c r="AX349" s="449"/>
      <c r="AY349" s="449"/>
      <c r="AZ349" s="449"/>
      <c r="BE349" s="328"/>
      <c r="BF349" s="449"/>
      <c r="BG349" s="450"/>
      <c r="BH349" s="450"/>
    </row>
    <row r="350" spans="1:68" s="1269" customFormat="1" ht="12" customHeight="1">
      <c r="A350" s="1310"/>
      <c r="B350" s="1320"/>
      <c r="C350" s="316"/>
      <c r="V350" s="325"/>
      <c r="W350" s="325"/>
      <c r="X350" s="325"/>
      <c r="Y350" s="325"/>
      <c r="Z350" s="325"/>
      <c r="AA350" s="325"/>
      <c r="AB350" s="1325"/>
      <c r="AC350" s="1325"/>
      <c r="AD350" s="1325"/>
      <c r="AE350" s="1325"/>
      <c r="AF350" s="1325"/>
      <c r="AG350" s="1321"/>
      <c r="AH350" s="1321"/>
      <c r="AI350" s="1321"/>
      <c r="AJ350" s="1321"/>
      <c r="AK350" s="1321"/>
      <c r="AL350" s="1321"/>
      <c r="AM350" s="1321"/>
      <c r="AN350" s="1321"/>
      <c r="AO350" s="1321"/>
      <c r="AP350" s="1321"/>
      <c r="AQ350" s="1321"/>
      <c r="AR350" s="1321"/>
      <c r="AS350" s="1321"/>
      <c r="AT350" s="1321"/>
      <c r="AU350" s="1321"/>
      <c r="AV350" s="1321"/>
      <c r="AW350" s="1321"/>
      <c r="AX350" s="1321"/>
      <c r="AY350" s="1321"/>
      <c r="AZ350" s="1321"/>
      <c r="BE350" s="325"/>
      <c r="BF350" s="330"/>
      <c r="BG350" s="1321"/>
      <c r="BH350" s="1321"/>
      <c r="BK350" s="1321"/>
      <c r="BL350" s="1321"/>
      <c r="BO350" s="1321"/>
      <c r="BP350" s="1321"/>
    </row>
    <row r="351" spans="1:68" s="1269" customFormat="1" ht="12" customHeight="1">
      <c r="A351" s="1310"/>
      <c r="B351" s="1320"/>
      <c r="C351" s="316"/>
      <c r="V351" s="325"/>
      <c r="W351" s="325"/>
      <c r="X351" s="325"/>
      <c r="Y351" s="325"/>
      <c r="Z351" s="325"/>
      <c r="AA351" s="325"/>
      <c r="AB351" s="1325"/>
      <c r="AC351" s="1325"/>
      <c r="AD351" s="1325"/>
      <c r="AE351" s="1325"/>
      <c r="AF351" s="1325"/>
      <c r="AG351" s="1321"/>
      <c r="AH351" s="1321"/>
      <c r="AI351" s="1321"/>
      <c r="AJ351" s="1321"/>
      <c r="AK351" s="1321"/>
      <c r="AL351" s="1321"/>
      <c r="AM351" s="1321"/>
      <c r="AN351" s="1321"/>
      <c r="AO351" s="1321"/>
      <c r="AP351" s="1321"/>
      <c r="AQ351" s="1321"/>
      <c r="AR351" s="1321"/>
      <c r="AS351" s="1321"/>
      <c r="AT351" s="1321"/>
      <c r="AU351" s="1321"/>
      <c r="AV351" s="1321"/>
      <c r="AW351" s="1321"/>
      <c r="AX351" s="1321"/>
      <c r="AY351" s="1321"/>
      <c r="AZ351" s="1321"/>
      <c r="BE351" s="325"/>
      <c r="BF351" s="330"/>
      <c r="BG351" s="1321"/>
      <c r="BH351" s="1321"/>
      <c r="BK351" s="1321"/>
      <c r="BL351" s="1321"/>
      <c r="BO351" s="1321"/>
      <c r="BP351" s="1321"/>
    </row>
    <row r="352" spans="1:68" s="1269" customFormat="1" ht="12" customHeight="1">
      <c r="A352" s="1310"/>
      <c r="B352" s="1320"/>
      <c r="C352" s="316"/>
      <c r="V352" s="325"/>
      <c r="W352" s="325"/>
      <c r="X352" s="325"/>
      <c r="Y352" s="325"/>
      <c r="Z352" s="325"/>
      <c r="AA352" s="325"/>
      <c r="AB352" s="1325"/>
      <c r="AC352" s="1325"/>
      <c r="AD352" s="1325"/>
      <c r="AE352" s="1325"/>
      <c r="AF352" s="1325"/>
      <c r="AG352" s="1321"/>
      <c r="AH352" s="1321"/>
      <c r="AI352" s="1321"/>
      <c r="AJ352" s="1321"/>
      <c r="AK352" s="1321"/>
      <c r="AL352" s="1321"/>
      <c r="AM352" s="1321"/>
      <c r="AN352" s="1321"/>
      <c r="AO352" s="1321"/>
      <c r="AP352" s="1321"/>
      <c r="AQ352" s="1321"/>
      <c r="AR352" s="1321"/>
      <c r="AS352" s="1321"/>
      <c r="AT352" s="1321"/>
      <c r="AU352" s="1321"/>
      <c r="AV352" s="1321"/>
      <c r="AW352" s="1321"/>
      <c r="AX352" s="1321"/>
      <c r="AY352" s="1321"/>
      <c r="AZ352" s="1321"/>
      <c r="BE352" s="325"/>
      <c r="BF352" s="330"/>
      <c r="BG352" s="1321"/>
      <c r="BH352" s="1321"/>
      <c r="BK352" s="1321"/>
      <c r="BL352" s="1321"/>
      <c r="BO352" s="1321"/>
      <c r="BP352" s="1321"/>
    </row>
    <row r="353" spans="1:60" ht="12" customHeight="1">
      <c r="B353" s="1315"/>
      <c r="C353" s="1326"/>
      <c r="D353" s="319"/>
      <c r="AB353" s="448"/>
      <c r="AC353" s="448"/>
      <c r="AD353" s="448"/>
      <c r="AE353" s="448"/>
      <c r="AF353" s="448"/>
      <c r="AG353" s="449"/>
      <c r="AH353" s="449"/>
      <c r="AI353" s="449"/>
      <c r="AJ353" s="449"/>
      <c r="AK353" s="449"/>
      <c r="AL353" s="449"/>
      <c r="AM353" s="449"/>
      <c r="AN353" s="449"/>
      <c r="AO353" s="449"/>
      <c r="AP353" s="449"/>
      <c r="AQ353" s="449"/>
      <c r="AR353" s="449"/>
      <c r="AS353" s="449"/>
      <c r="AT353" s="1327"/>
      <c r="AU353" s="449"/>
      <c r="AV353" s="449"/>
      <c r="AW353" s="449"/>
      <c r="AX353" s="449"/>
      <c r="AY353" s="449"/>
      <c r="AZ353" s="449"/>
      <c r="BF353" s="449"/>
      <c r="BG353" s="450"/>
      <c r="BH353" s="450"/>
    </row>
    <row r="354" spans="1:60" ht="12" customHeight="1">
      <c r="B354" s="1315"/>
      <c r="C354" s="1282"/>
      <c r="D354" s="319"/>
      <c r="AB354" s="448"/>
      <c r="AC354" s="448"/>
      <c r="AD354" s="448"/>
      <c r="AE354" s="448"/>
      <c r="AF354" s="448"/>
      <c r="AG354" s="449"/>
      <c r="AH354" s="449"/>
      <c r="AI354" s="449"/>
      <c r="AJ354" s="449"/>
      <c r="AK354" s="449"/>
      <c r="AL354" s="449"/>
      <c r="AM354" s="449"/>
      <c r="AN354" s="449"/>
      <c r="AO354" s="449"/>
      <c r="AP354" s="449"/>
      <c r="AQ354" s="449"/>
      <c r="AR354" s="449"/>
      <c r="AS354" s="449"/>
      <c r="AT354" s="449"/>
      <c r="AU354" s="449"/>
      <c r="AV354" s="449"/>
      <c r="AW354" s="449"/>
      <c r="AX354" s="449"/>
      <c r="AY354" s="449"/>
      <c r="AZ354" s="449"/>
      <c r="BF354" s="449"/>
      <c r="BG354" s="450"/>
      <c r="BH354" s="450"/>
    </row>
    <row r="355" spans="1:60" ht="12" customHeight="1">
      <c r="B355" s="1315"/>
      <c r="C355" s="1282"/>
      <c r="D355" s="319"/>
      <c r="AB355" s="448"/>
      <c r="AC355" s="448"/>
      <c r="AD355" s="448"/>
      <c r="AE355" s="448"/>
      <c r="AF355" s="448"/>
      <c r="AG355" s="449"/>
      <c r="AH355" s="449"/>
      <c r="AI355" s="449"/>
      <c r="AJ355" s="449"/>
      <c r="AK355" s="449"/>
      <c r="AL355" s="449"/>
      <c r="AM355" s="449"/>
      <c r="AN355" s="449"/>
      <c r="AO355" s="449"/>
      <c r="AP355" s="449"/>
      <c r="AQ355" s="449"/>
      <c r="AR355" s="449"/>
      <c r="AS355" s="449"/>
      <c r="AT355" s="449"/>
      <c r="AU355" s="449"/>
      <c r="AV355" s="449"/>
      <c r="AW355" s="449"/>
      <c r="AX355" s="449"/>
      <c r="AY355" s="449"/>
      <c r="AZ355" s="449"/>
      <c r="BF355" s="449"/>
      <c r="BG355" s="450"/>
      <c r="BH355" s="450"/>
    </row>
    <row r="356" spans="1:60" ht="12" customHeight="1">
      <c r="B356" s="1315"/>
      <c r="C356" s="1282"/>
      <c r="D356" s="319"/>
      <c r="AB356" s="448"/>
      <c r="AC356" s="448"/>
      <c r="AD356" s="448"/>
      <c r="AE356" s="448"/>
      <c r="AF356" s="448"/>
      <c r="AG356" s="449"/>
      <c r="AH356" s="449"/>
      <c r="AI356" s="449"/>
      <c r="AJ356" s="449"/>
      <c r="AK356" s="449"/>
      <c r="AL356" s="449"/>
      <c r="AM356" s="449"/>
      <c r="AN356" s="449"/>
      <c r="AO356" s="449"/>
      <c r="AP356" s="449"/>
      <c r="AQ356" s="449"/>
      <c r="AR356" s="449"/>
      <c r="AS356" s="449"/>
      <c r="AT356" s="449"/>
      <c r="AU356" s="449"/>
      <c r="AV356" s="449"/>
      <c r="AW356" s="449"/>
      <c r="AX356" s="449"/>
      <c r="AY356" s="449"/>
      <c r="AZ356" s="449"/>
      <c r="BF356" s="449"/>
      <c r="BG356" s="450"/>
      <c r="BH356" s="450"/>
    </row>
    <row r="357" spans="1:60" ht="12" customHeight="1">
      <c r="B357" s="1315"/>
      <c r="C357" s="1282"/>
      <c r="D357" s="319"/>
      <c r="AB357" s="448"/>
      <c r="AC357" s="448"/>
      <c r="AD357" s="448"/>
      <c r="AE357" s="448"/>
      <c r="AF357" s="448"/>
      <c r="AG357" s="449"/>
      <c r="AH357" s="449"/>
      <c r="AI357" s="449"/>
      <c r="AJ357" s="449"/>
      <c r="AK357" s="449"/>
      <c r="AL357" s="449"/>
      <c r="AM357" s="449"/>
      <c r="AN357" s="449"/>
      <c r="AO357" s="449"/>
      <c r="AP357" s="449"/>
      <c r="AQ357" s="449"/>
      <c r="AR357" s="449"/>
      <c r="AS357" s="449"/>
      <c r="AT357" s="449"/>
      <c r="AU357" s="449"/>
      <c r="AV357" s="449"/>
      <c r="AW357" s="449"/>
      <c r="AX357" s="449"/>
      <c r="AY357" s="449"/>
      <c r="AZ357" s="449"/>
      <c r="BF357" s="449"/>
      <c r="BG357" s="450"/>
      <c r="BH357" s="450"/>
    </row>
    <row r="358" spans="1:60" ht="12" customHeight="1">
      <c r="B358" s="317"/>
      <c r="D358" s="319"/>
      <c r="AB358" s="448"/>
      <c r="AC358" s="448"/>
      <c r="AD358" s="448"/>
      <c r="AE358" s="448"/>
      <c r="AF358" s="448"/>
      <c r="AG358" s="449"/>
      <c r="AH358" s="449"/>
      <c r="AI358" s="449"/>
      <c r="AJ358" s="449"/>
      <c r="AK358" s="449"/>
      <c r="AL358" s="449"/>
      <c r="AM358" s="449"/>
      <c r="AN358" s="449"/>
      <c r="AO358" s="449"/>
      <c r="AP358" s="449"/>
      <c r="AQ358" s="449"/>
      <c r="AR358" s="449"/>
      <c r="AS358" s="449"/>
      <c r="AT358" s="449"/>
      <c r="AU358" s="449"/>
      <c r="AV358" s="449"/>
      <c r="AW358" s="449"/>
      <c r="AX358" s="449"/>
      <c r="AY358" s="449"/>
      <c r="AZ358" s="449"/>
      <c r="BF358" s="449"/>
      <c r="BG358" s="450"/>
      <c r="BH358" s="450"/>
    </row>
    <row r="359" spans="1:60" ht="12" customHeight="1">
      <c r="B359" s="317"/>
      <c r="D359" s="319"/>
      <c r="AB359" s="1288"/>
      <c r="AC359" s="1288"/>
      <c r="AD359" s="1288"/>
      <c r="AE359" s="1288"/>
      <c r="AF359" s="1288"/>
      <c r="AG359" s="1287"/>
      <c r="AH359" s="449"/>
      <c r="AI359" s="449"/>
      <c r="AJ359" s="449"/>
      <c r="AK359" s="449"/>
      <c r="AL359" s="449"/>
      <c r="AM359" s="449"/>
      <c r="AN359" s="449"/>
      <c r="AO359" s="449"/>
      <c r="AP359" s="449"/>
      <c r="AQ359" s="449"/>
      <c r="AR359" s="449"/>
      <c r="AS359" s="449"/>
      <c r="AT359" s="449"/>
      <c r="AU359" s="449"/>
      <c r="AV359" s="449"/>
      <c r="AW359" s="449"/>
      <c r="AX359" s="449"/>
      <c r="AY359" s="449"/>
      <c r="AZ359" s="449"/>
      <c r="BF359" s="449"/>
      <c r="BG359" s="450"/>
      <c r="BH359" s="450"/>
    </row>
    <row r="360" spans="1:60" ht="12" customHeight="1">
      <c r="B360" s="317"/>
      <c r="D360" s="319"/>
      <c r="AB360" s="1288"/>
      <c r="AC360" s="1288"/>
      <c r="AD360" s="1288"/>
      <c r="AE360" s="1288"/>
      <c r="AF360" s="1288"/>
      <c r="AG360" s="1287"/>
      <c r="AH360" s="449"/>
      <c r="AI360" s="449"/>
      <c r="AJ360" s="449"/>
      <c r="AK360" s="449"/>
      <c r="AL360" s="449"/>
      <c r="AM360" s="449"/>
      <c r="AN360" s="449"/>
      <c r="AO360" s="449"/>
      <c r="AP360" s="449"/>
      <c r="AQ360" s="449"/>
      <c r="AR360" s="449"/>
      <c r="AS360" s="449"/>
      <c r="AT360" s="449"/>
      <c r="AU360" s="449"/>
      <c r="AV360" s="449"/>
      <c r="AW360" s="449"/>
      <c r="AX360" s="449"/>
      <c r="AY360" s="449"/>
      <c r="AZ360" s="449"/>
      <c r="BF360" s="449"/>
      <c r="BG360" s="450"/>
      <c r="BH360" s="450"/>
    </row>
    <row r="361" spans="1:60" ht="12" customHeight="1">
      <c r="A361" s="1314"/>
      <c r="C361" s="1326"/>
      <c r="D361" s="319"/>
      <c r="AB361" s="1288"/>
      <c r="AC361" s="1288"/>
      <c r="AD361" s="1288"/>
      <c r="AE361" s="1288"/>
      <c r="AF361" s="1288"/>
      <c r="AG361" s="1287"/>
      <c r="AH361" s="1287"/>
      <c r="AI361" s="1287"/>
      <c r="AJ361" s="1287"/>
      <c r="AK361" s="1287"/>
      <c r="AL361" s="1287"/>
      <c r="AM361" s="1287"/>
      <c r="AN361" s="449"/>
      <c r="AO361" s="449"/>
      <c r="AP361" s="449"/>
      <c r="AQ361" s="449"/>
      <c r="AR361" s="449"/>
      <c r="AS361" s="449"/>
      <c r="AT361" s="449"/>
      <c r="AU361" s="449"/>
      <c r="AV361" s="449"/>
      <c r="AW361" s="449"/>
      <c r="AX361" s="449"/>
      <c r="AY361" s="449"/>
      <c r="AZ361" s="449"/>
      <c r="BF361" s="449"/>
      <c r="BG361" s="450"/>
      <c r="BH361" s="450"/>
    </row>
    <row r="362" spans="1:60" ht="12" customHeight="1">
      <c r="A362" s="1314"/>
      <c r="C362" s="1248"/>
      <c r="D362" s="319"/>
      <c r="AB362" s="1288"/>
      <c r="AC362" s="1288"/>
      <c r="AD362" s="1288"/>
      <c r="AE362" s="1288"/>
      <c r="AF362" s="1288"/>
      <c r="AG362" s="1287"/>
      <c r="AH362" s="1287"/>
      <c r="AI362" s="1287"/>
      <c r="AJ362" s="1287"/>
      <c r="AK362" s="1287"/>
      <c r="AL362" s="1287"/>
      <c r="AM362" s="1287"/>
      <c r="AN362" s="449"/>
      <c r="AO362" s="449"/>
      <c r="AP362" s="449"/>
      <c r="AQ362" s="449"/>
      <c r="AR362" s="449"/>
      <c r="AS362" s="449"/>
      <c r="AT362" s="449"/>
      <c r="AU362" s="449"/>
      <c r="AV362" s="449"/>
      <c r="AW362" s="449"/>
      <c r="AX362" s="449"/>
      <c r="AY362" s="449"/>
      <c r="AZ362" s="449"/>
      <c r="BF362" s="449"/>
      <c r="BG362" s="450"/>
      <c r="BH362" s="450"/>
    </row>
    <row r="363" spans="1:60" ht="12" customHeight="1">
      <c r="A363" s="1314"/>
      <c r="C363" s="1326"/>
      <c r="D363" s="319"/>
      <c r="AB363" s="1288"/>
      <c r="AC363" s="1288"/>
      <c r="AD363" s="1288"/>
      <c r="AE363" s="1288"/>
      <c r="AF363" s="1288"/>
      <c r="AG363" s="1287"/>
      <c r="AH363" s="1287"/>
      <c r="AI363" s="1287"/>
      <c r="AJ363" s="1287"/>
      <c r="AK363" s="1287"/>
      <c r="AL363" s="1287"/>
      <c r="AM363" s="1287"/>
      <c r="AN363" s="1287"/>
      <c r="AO363" s="1287"/>
      <c r="AP363" s="1287"/>
      <c r="AQ363" s="1287"/>
      <c r="AR363" s="1287"/>
      <c r="AS363" s="1287"/>
      <c r="AT363" s="1287"/>
      <c r="AU363" s="1287"/>
      <c r="AV363" s="1287"/>
      <c r="AW363" s="1287"/>
      <c r="AX363" s="1287"/>
      <c r="AY363" s="449"/>
      <c r="AZ363" s="449"/>
      <c r="BF363" s="1287"/>
    </row>
    <row r="364" spans="1:60" ht="12" customHeight="1">
      <c r="A364" s="1314"/>
      <c r="C364" s="1326"/>
      <c r="D364" s="319"/>
      <c r="AB364" s="1288"/>
      <c r="AC364" s="1288"/>
      <c r="AD364" s="1288"/>
      <c r="AE364" s="1288"/>
      <c r="AF364" s="1288"/>
      <c r="AG364" s="1287"/>
      <c r="AH364" s="1287"/>
      <c r="AI364" s="1287"/>
      <c r="AJ364" s="1287"/>
      <c r="AK364" s="1287"/>
      <c r="AL364" s="1287"/>
      <c r="AM364" s="1287"/>
      <c r="AN364" s="1287"/>
      <c r="AO364" s="1287"/>
      <c r="AP364" s="1287"/>
      <c r="AQ364" s="1287"/>
      <c r="AR364" s="1287"/>
      <c r="AS364" s="1287"/>
      <c r="AT364" s="1287"/>
      <c r="AU364" s="1287"/>
      <c r="AV364" s="1287"/>
      <c r="AW364" s="1287"/>
      <c r="AX364" s="1287"/>
      <c r="AY364" s="1287"/>
      <c r="AZ364" s="1287"/>
      <c r="BF364" s="1287"/>
    </row>
    <row r="365" spans="1:60" ht="12" customHeight="1">
      <c r="A365" s="1314"/>
      <c r="C365" s="1326"/>
      <c r="D365" s="319"/>
      <c r="AB365" s="1288"/>
      <c r="AC365" s="1288"/>
      <c r="AD365" s="1288"/>
      <c r="AE365" s="1288"/>
      <c r="AF365" s="1288"/>
      <c r="AG365" s="1287"/>
      <c r="AH365" s="1287"/>
      <c r="AI365" s="1287"/>
      <c r="AJ365" s="1287"/>
      <c r="AK365" s="1287"/>
      <c r="AL365" s="1287"/>
      <c r="AM365" s="1287"/>
      <c r="AN365" s="1287"/>
      <c r="AO365" s="1287"/>
      <c r="AP365" s="1287"/>
      <c r="AQ365" s="1287"/>
      <c r="AR365" s="1287"/>
      <c r="AS365" s="1287"/>
      <c r="AT365" s="1287"/>
      <c r="AU365" s="1287"/>
      <c r="AV365" s="1287"/>
      <c r="AW365" s="1287"/>
      <c r="AX365" s="1287"/>
      <c r="AY365" s="1287"/>
      <c r="AZ365" s="1287"/>
      <c r="BF365" s="1287"/>
    </row>
    <row r="366" spans="1:60" ht="12" customHeight="1">
      <c r="A366" s="1314"/>
      <c r="C366" s="1326"/>
      <c r="D366" s="319"/>
      <c r="AB366" s="1288"/>
      <c r="AC366" s="1288"/>
      <c r="AD366" s="1288"/>
      <c r="AE366" s="1288"/>
      <c r="AF366" s="1288"/>
      <c r="AG366" s="1287"/>
      <c r="AH366" s="1287"/>
      <c r="AI366" s="1287"/>
      <c r="AJ366" s="1287"/>
      <c r="AK366" s="1287"/>
      <c r="AL366" s="1287"/>
      <c r="AM366" s="1287"/>
      <c r="AN366" s="1287"/>
      <c r="AO366" s="1287"/>
      <c r="AP366" s="1287"/>
      <c r="AQ366" s="1287"/>
      <c r="AR366" s="1287"/>
      <c r="AS366" s="1287"/>
      <c r="AT366" s="1287"/>
      <c r="AU366" s="1287"/>
      <c r="AV366" s="1287"/>
      <c r="AW366" s="1287"/>
      <c r="AX366" s="1287"/>
      <c r="AY366" s="1287"/>
      <c r="AZ366" s="1287"/>
      <c r="BF366" s="1287"/>
    </row>
    <row r="367" spans="1:60" ht="12" customHeight="1">
      <c r="A367" s="1314"/>
      <c r="C367" s="1326"/>
      <c r="D367" s="319"/>
      <c r="AB367" s="1288"/>
      <c r="AC367" s="1288"/>
      <c r="AD367" s="1288"/>
      <c r="AE367" s="1288"/>
      <c r="AF367" s="1288"/>
      <c r="AG367" s="1287"/>
      <c r="AH367" s="1287"/>
      <c r="AI367" s="1287"/>
      <c r="AJ367" s="1287"/>
      <c r="AK367" s="1287"/>
      <c r="AL367" s="1287"/>
      <c r="AM367" s="1287"/>
      <c r="AN367" s="1287"/>
      <c r="AO367" s="1287"/>
      <c r="AP367" s="1287"/>
      <c r="AQ367" s="1287"/>
      <c r="AR367" s="1287"/>
      <c r="AS367" s="1287"/>
      <c r="AT367" s="1287"/>
      <c r="AU367" s="1287"/>
      <c r="AV367" s="1287"/>
      <c r="AW367" s="1287"/>
      <c r="AX367" s="1287"/>
      <c r="AY367" s="1287"/>
      <c r="AZ367" s="1287"/>
      <c r="BF367" s="1287"/>
    </row>
    <row r="368" spans="1:60" ht="12" customHeight="1">
      <c r="A368" s="1314"/>
      <c r="C368" s="1326"/>
      <c r="D368" s="319"/>
      <c r="AB368" s="1288"/>
      <c r="AC368" s="1288"/>
      <c r="AD368" s="1288"/>
      <c r="AE368" s="1288"/>
      <c r="AF368" s="1288"/>
      <c r="AG368" s="1287"/>
      <c r="AH368" s="1287"/>
      <c r="AI368" s="1287"/>
      <c r="AJ368" s="1287"/>
      <c r="AK368" s="1287"/>
      <c r="AL368" s="1287"/>
      <c r="AM368" s="1287"/>
      <c r="AN368" s="1287"/>
      <c r="AO368" s="1287"/>
      <c r="AP368" s="1287"/>
      <c r="AQ368" s="1287"/>
      <c r="AR368" s="1287"/>
      <c r="AS368" s="1287"/>
      <c r="AT368" s="1287"/>
      <c r="AU368" s="1287"/>
      <c r="AV368" s="1287"/>
      <c r="AW368" s="1287"/>
      <c r="AX368" s="1287"/>
      <c r="AY368" s="1287"/>
      <c r="AZ368" s="1287"/>
      <c r="BF368" s="1287"/>
    </row>
    <row r="369" spans="1:60" ht="12" customHeight="1">
      <c r="A369" s="1314"/>
      <c r="C369" s="1326"/>
      <c r="D369" s="319"/>
      <c r="AB369" s="1288"/>
      <c r="AC369" s="1288"/>
      <c r="AD369" s="1288"/>
      <c r="AE369" s="1288"/>
      <c r="AF369" s="1288"/>
      <c r="AG369" s="1287"/>
      <c r="AH369" s="1287"/>
      <c r="AI369" s="1287"/>
      <c r="AJ369" s="1287"/>
      <c r="AK369" s="1287"/>
      <c r="AL369" s="1287"/>
      <c r="AM369" s="1287"/>
      <c r="AN369" s="1287"/>
      <c r="AO369" s="1287"/>
      <c r="AP369" s="1287"/>
      <c r="AQ369" s="1287"/>
      <c r="AR369" s="1287"/>
      <c r="AS369" s="1287"/>
      <c r="AT369" s="1287"/>
      <c r="AU369" s="1287"/>
      <c r="AV369" s="1287"/>
      <c r="AW369" s="1287"/>
      <c r="AX369" s="1287"/>
      <c r="AY369" s="1287"/>
      <c r="AZ369" s="1287"/>
      <c r="BF369" s="1287"/>
    </row>
    <row r="370" spans="1:60" ht="12" customHeight="1">
      <c r="A370" s="1314"/>
      <c r="C370" s="1326"/>
      <c r="D370" s="319"/>
      <c r="AB370" s="1288"/>
      <c r="AC370" s="1288"/>
      <c r="AD370" s="1288"/>
      <c r="AE370" s="1288"/>
      <c r="AF370" s="1288"/>
      <c r="AG370" s="1287"/>
      <c r="AH370" s="1287"/>
      <c r="AI370" s="1287"/>
      <c r="AJ370" s="1287"/>
      <c r="AK370" s="1287"/>
      <c r="AL370" s="1287"/>
      <c r="AM370" s="1287"/>
      <c r="AN370" s="1287"/>
      <c r="AO370" s="1287"/>
      <c r="AP370" s="1287"/>
      <c r="AQ370" s="1287"/>
      <c r="AR370" s="1287"/>
      <c r="AS370" s="1287"/>
      <c r="AT370" s="1287"/>
      <c r="AU370" s="1287"/>
      <c r="AV370" s="1287"/>
      <c r="AW370" s="1287"/>
      <c r="AX370" s="1287"/>
      <c r="AY370" s="1287"/>
      <c r="AZ370" s="1287"/>
      <c r="BF370" s="1287"/>
    </row>
    <row r="371" spans="1:60" ht="12" customHeight="1">
      <c r="A371" s="1314"/>
      <c r="C371" s="1326"/>
      <c r="D371" s="319"/>
      <c r="AB371" s="1288"/>
      <c r="AC371" s="1288"/>
      <c r="AD371" s="1288"/>
      <c r="AE371" s="1288"/>
      <c r="AF371" s="1288"/>
      <c r="AG371" s="1287"/>
      <c r="AH371" s="1287"/>
      <c r="AI371" s="1287"/>
      <c r="AJ371" s="1287"/>
      <c r="AK371" s="1287"/>
      <c r="AL371" s="1287"/>
      <c r="AM371" s="1287"/>
      <c r="AN371" s="1287"/>
      <c r="AO371" s="1287"/>
      <c r="AP371" s="1287"/>
      <c r="AQ371" s="1287"/>
      <c r="AR371" s="1287"/>
      <c r="AS371" s="1287"/>
      <c r="AT371" s="1287"/>
      <c r="AU371" s="1287"/>
      <c r="AV371" s="1287"/>
      <c r="AW371" s="1287"/>
      <c r="AX371" s="1287"/>
      <c r="AY371" s="1287"/>
      <c r="AZ371" s="1287"/>
      <c r="BF371" s="1287"/>
    </row>
    <row r="372" spans="1:60" ht="12" customHeight="1">
      <c r="A372" s="1314"/>
      <c r="C372" s="1326"/>
      <c r="D372" s="319"/>
      <c r="AB372" s="1288"/>
      <c r="AC372" s="1288"/>
      <c r="AD372" s="1288"/>
      <c r="AE372" s="1288"/>
      <c r="AF372" s="1288"/>
      <c r="AG372" s="1287"/>
      <c r="AH372" s="1287"/>
      <c r="AI372" s="1287"/>
      <c r="AJ372" s="1287"/>
      <c r="AK372" s="1287"/>
      <c r="AL372" s="1287"/>
      <c r="AM372" s="1287"/>
      <c r="AN372" s="1287"/>
      <c r="AO372" s="1287"/>
      <c r="AP372" s="1287"/>
      <c r="AQ372" s="1287"/>
      <c r="AR372" s="1287"/>
      <c r="AS372" s="1287"/>
      <c r="AT372" s="1287"/>
      <c r="AU372" s="1287"/>
      <c r="AV372" s="1287"/>
      <c r="AW372" s="1287"/>
      <c r="AX372" s="1287"/>
      <c r="AY372" s="1287"/>
      <c r="AZ372" s="1287"/>
      <c r="BF372" s="1287"/>
    </row>
    <row r="373" spans="1:60" ht="12" customHeight="1">
      <c r="A373" s="1314"/>
      <c r="C373" s="1326"/>
      <c r="D373" s="319"/>
      <c r="AB373" s="1288"/>
      <c r="AC373" s="1288"/>
      <c r="AD373" s="1288"/>
      <c r="AE373" s="1288"/>
      <c r="AF373" s="1288"/>
      <c r="AG373" s="1287"/>
      <c r="AH373" s="1287"/>
      <c r="AI373" s="1287"/>
      <c r="AJ373" s="1287"/>
      <c r="AK373" s="1287"/>
      <c r="AL373" s="1287"/>
      <c r="AM373" s="1287"/>
      <c r="AN373" s="1287"/>
      <c r="AO373" s="1287"/>
      <c r="AP373" s="1287"/>
      <c r="AQ373" s="1287"/>
      <c r="AR373" s="1287"/>
      <c r="AS373" s="1287"/>
      <c r="AT373" s="1287"/>
      <c r="AU373" s="1287"/>
      <c r="AV373" s="1287"/>
      <c r="AW373" s="1287"/>
      <c r="AX373" s="1287"/>
      <c r="AY373" s="1287"/>
      <c r="AZ373" s="1287"/>
      <c r="BF373" s="1287"/>
    </row>
    <row r="374" spans="1:60" ht="12" customHeight="1">
      <c r="A374" s="1314"/>
      <c r="B374" s="317"/>
      <c r="D374" s="319"/>
      <c r="AB374" s="1288"/>
      <c r="AC374" s="1288"/>
      <c r="AD374" s="1288"/>
      <c r="AE374" s="1288"/>
      <c r="AF374" s="1288"/>
      <c r="AG374" s="1287"/>
      <c r="AH374" s="1287"/>
      <c r="AI374" s="1287"/>
      <c r="AJ374" s="1287"/>
      <c r="AK374" s="1287"/>
      <c r="AL374" s="1287"/>
      <c r="AM374" s="1287"/>
      <c r="AN374" s="1287"/>
      <c r="AO374" s="1287"/>
      <c r="AP374" s="1287"/>
      <c r="AQ374" s="1287"/>
      <c r="AR374" s="1287"/>
      <c r="AS374" s="1287"/>
      <c r="AT374" s="1287"/>
      <c r="AU374" s="1287"/>
      <c r="AV374" s="1287"/>
      <c r="AW374" s="1287"/>
      <c r="AX374" s="1287"/>
      <c r="AY374" s="1287"/>
      <c r="AZ374" s="1287"/>
      <c r="BF374" s="1287"/>
    </row>
    <row r="375" spans="1:60" ht="12" customHeight="1">
      <c r="B375" s="1328"/>
      <c r="D375" s="319"/>
      <c r="AB375" s="1288"/>
      <c r="AC375" s="1288"/>
      <c r="AD375" s="1288"/>
      <c r="AE375" s="1288"/>
      <c r="AF375" s="1288"/>
      <c r="AG375" s="1287"/>
      <c r="AH375" s="1287"/>
      <c r="AI375" s="1287"/>
      <c r="AJ375" s="1287"/>
      <c r="AK375" s="1287"/>
      <c r="AL375" s="1287"/>
      <c r="AM375" s="1287"/>
      <c r="AN375" s="1287"/>
      <c r="AO375" s="1287"/>
      <c r="AP375" s="1287"/>
      <c r="AQ375" s="1287"/>
      <c r="AR375" s="1287"/>
      <c r="AS375" s="1287"/>
      <c r="AT375" s="1287"/>
      <c r="AU375" s="1287"/>
      <c r="AV375" s="1287"/>
      <c r="AW375" s="1287"/>
      <c r="AX375" s="1287"/>
      <c r="AY375" s="1287"/>
      <c r="AZ375" s="1287"/>
      <c r="BF375" s="1287"/>
    </row>
    <row r="376" spans="1:60" ht="12" customHeight="1">
      <c r="C376" s="1326"/>
      <c r="D376" s="319"/>
      <c r="AB376" s="1288"/>
      <c r="AC376" s="1288"/>
      <c r="AD376" s="1288"/>
      <c r="AE376" s="1288"/>
      <c r="AF376" s="1288"/>
      <c r="AG376" s="1287"/>
      <c r="AH376" s="1287"/>
      <c r="AI376" s="1287"/>
      <c r="AJ376" s="1287"/>
      <c r="AK376" s="1287"/>
      <c r="AL376" s="1287"/>
      <c r="AM376" s="1287"/>
      <c r="AN376" s="1287"/>
      <c r="AO376" s="1287"/>
      <c r="AP376" s="1287"/>
      <c r="AQ376" s="1287"/>
      <c r="AR376" s="1287"/>
      <c r="AS376" s="1287"/>
      <c r="AT376" s="1287"/>
      <c r="AU376" s="1287"/>
      <c r="AV376" s="1287"/>
      <c r="AW376" s="1287"/>
      <c r="AX376" s="1287"/>
      <c r="AY376" s="1287"/>
      <c r="AZ376" s="1287"/>
      <c r="BF376" s="1287"/>
    </row>
    <row r="377" spans="1:60" ht="12" customHeight="1">
      <c r="D377" s="319"/>
      <c r="AB377" s="1288"/>
      <c r="AC377" s="1288"/>
      <c r="AD377" s="1288"/>
      <c r="AE377" s="1288"/>
      <c r="AF377" s="1288"/>
      <c r="AG377" s="1287"/>
      <c r="AH377" s="1287"/>
      <c r="AI377" s="1287"/>
      <c r="AJ377" s="1287"/>
      <c r="AK377" s="1287"/>
      <c r="AL377" s="1287"/>
      <c r="AM377" s="1287"/>
      <c r="AN377" s="1287"/>
      <c r="AO377" s="1287"/>
      <c r="AP377" s="1287"/>
      <c r="AQ377" s="1287"/>
      <c r="AR377" s="1287"/>
      <c r="AS377" s="1287"/>
      <c r="AT377" s="1287"/>
      <c r="AU377" s="1287"/>
      <c r="AV377" s="1287"/>
      <c r="AW377" s="1287"/>
      <c r="AX377" s="1287"/>
      <c r="AY377" s="1287"/>
      <c r="AZ377" s="1287"/>
      <c r="BF377" s="1287"/>
    </row>
    <row r="378" spans="1:60" ht="12" customHeight="1">
      <c r="B378" s="1328"/>
      <c r="D378" s="319"/>
      <c r="AB378" s="1288"/>
      <c r="AC378" s="1288"/>
      <c r="AD378" s="1288"/>
      <c r="AE378" s="1288"/>
      <c r="AF378" s="1288"/>
      <c r="AG378" s="1287"/>
      <c r="AH378" s="1287"/>
      <c r="AI378" s="1287"/>
      <c r="AJ378" s="1287"/>
      <c r="AK378" s="1287"/>
      <c r="AL378" s="1287"/>
      <c r="AM378" s="1287"/>
      <c r="AN378" s="1287"/>
      <c r="AO378" s="1287"/>
      <c r="AP378" s="1287"/>
      <c r="AQ378" s="1287"/>
      <c r="AR378" s="1287"/>
      <c r="AS378" s="1287"/>
      <c r="AT378" s="1287"/>
      <c r="AU378" s="1287"/>
      <c r="AV378" s="1287"/>
      <c r="AW378" s="1287"/>
      <c r="AX378" s="1287"/>
      <c r="AY378" s="1287"/>
      <c r="AZ378" s="1287"/>
      <c r="BF378" s="1287"/>
    </row>
    <row r="379" spans="1:60" ht="12" customHeight="1">
      <c r="B379" s="1328"/>
      <c r="C379" s="1282"/>
      <c r="D379" s="319"/>
      <c r="AN379" s="1329"/>
      <c r="AO379" s="1329"/>
      <c r="AP379" s="1329"/>
      <c r="AQ379" s="1329"/>
      <c r="AR379" s="1329"/>
      <c r="AS379" s="1329"/>
      <c r="AT379" s="1329"/>
      <c r="AU379" s="1329"/>
      <c r="AV379" s="1329"/>
      <c r="AW379" s="1329"/>
      <c r="AX379" s="1329"/>
      <c r="AY379" s="1287"/>
      <c r="AZ379" s="1287"/>
      <c r="BF379" s="1329"/>
    </row>
    <row r="380" spans="1:60" ht="12" customHeight="1">
      <c r="B380" s="316"/>
      <c r="C380" s="317"/>
      <c r="D380" s="319"/>
      <c r="AB380" s="1330"/>
      <c r="AC380" s="1330"/>
      <c r="AD380" s="1330"/>
      <c r="AE380" s="1330"/>
      <c r="AF380" s="1330"/>
      <c r="AG380" s="1331"/>
      <c r="AH380" s="1331"/>
      <c r="AI380" s="1331"/>
      <c r="AJ380" s="1331"/>
      <c r="AK380" s="1331"/>
      <c r="AL380" s="1331"/>
      <c r="AM380" s="1331"/>
      <c r="AN380" s="1331"/>
      <c r="AO380" s="1331"/>
      <c r="AP380" s="1331"/>
      <c r="AQ380" s="1331"/>
      <c r="AR380" s="1331"/>
      <c r="AS380" s="1331"/>
      <c r="AT380" s="1331"/>
      <c r="AU380" s="1331"/>
      <c r="AV380" s="1331"/>
      <c r="AW380" s="1331"/>
      <c r="AX380" s="1331"/>
      <c r="AY380" s="1329"/>
      <c r="AZ380" s="1329"/>
      <c r="BF380" s="1331"/>
      <c r="BG380" s="450"/>
      <c r="BH380" s="450"/>
    </row>
    <row r="381" spans="1:60" ht="12" customHeight="1">
      <c r="B381" s="317"/>
      <c r="C381" s="317"/>
      <c r="D381" s="319"/>
      <c r="AG381" s="1329"/>
      <c r="AH381" s="1329"/>
      <c r="AI381" s="1329"/>
      <c r="AJ381" s="1329"/>
      <c r="AK381" s="1329"/>
      <c r="AL381" s="1329"/>
      <c r="AM381" s="1329"/>
      <c r="AN381" s="1329"/>
      <c r="AO381" s="1329"/>
      <c r="AP381" s="1329"/>
      <c r="AQ381" s="1329"/>
      <c r="AR381" s="1329"/>
      <c r="AS381" s="1329"/>
      <c r="AT381" s="1329"/>
      <c r="AU381" s="1329"/>
      <c r="AV381" s="1329"/>
      <c r="AW381" s="1329"/>
      <c r="AX381" s="1329"/>
      <c r="AY381" s="1331"/>
      <c r="AZ381" s="1331"/>
      <c r="BF381" s="1329"/>
    </row>
    <row r="382" spans="1:60" ht="12" customHeight="1">
      <c r="B382" s="317"/>
      <c r="C382" s="316"/>
      <c r="D382" s="319"/>
      <c r="AB382" s="1330"/>
      <c r="AC382" s="1330"/>
      <c r="AD382" s="1330"/>
      <c r="AE382" s="1330"/>
      <c r="AF382" s="1330"/>
      <c r="AG382" s="1331"/>
      <c r="AH382" s="1331"/>
      <c r="AI382" s="1331"/>
      <c r="AJ382" s="1331"/>
      <c r="AK382" s="1331"/>
      <c r="AL382" s="1331"/>
      <c r="AM382" s="1331"/>
      <c r="AN382" s="1331"/>
      <c r="AO382" s="1331"/>
      <c r="AP382" s="1331"/>
      <c r="AQ382" s="1331"/>
      <c r="AR382" s="1331"/>
      <c r="AS382" s="1331"/>
      <c r="AT382" s="1331"/>
      <c r="AU382" s="1331"/>
      <c r="AV382" s="1331"/>
      <c r="AW382" s="1331"/>
      <c r="AX382" s="1331"/>
      <c r="AY382" s="1329"/>
      <c r="AZ382" s="1329"/>
      <c r="BF382" s="1331"/>
      <c r="BG382" s="450"/>
      <c r="BH382" s="450"/>
    </row>
    <row r="383" spans="1:60" ht="12" customHeight="1">
      <c r="B383" s="317"/>
      <c r="C383" s="317"/>
      <c r="D383" s="319"/>
      <c r="AG383" s="1329"/>
      <c r="AH383" s="1329"/>
      <c r="AI383" s="1329"/>
      <c r="AJ383" s="1329"/>
      <c r="AK383" s="1329"/>
      <c r="AL383" s="1329"/>
      <c r="AM383" s="1329"/>
      <c r="AN383" s="1329"/>
      <c r="AO383" s="1329"/>
      <c r="AP383" s="1329"/>
      <c r="AQ383" s="1329"/>
      <c r="AR383" s="1329"/>
      <c r="AS383" s="1329"/>
      <c r="AT383" s="1329"/>
      <c r="AU383" s="1329"/>
      <c r="AV383" s="1329"/>
      <c r="AW383" s="1329"/>
      <c r="AX383" s="1329"/>
      <c r="AY383" s="1331"/>
      <c r="AZ383" s="1331"/>
      <c r="BF383" s="1329"/>
    </row>
    <row r="384" spans="1:60" ht="12" customHeight="1">
      <c r="B384" s="317"/>
      <c r="C384" s="316"/>
      <c r="D384" s="319"/>
      <c r="AB384" s="1330"/>
      <c r="AC384" s="1330"/>
      <c r="AD384" s="1330"/>
      <c r="AE384" s="1330"/>
      <c r="AF384" s="1330"/>
      <c r="AG384" s="1331"/>
      <c r="AH384" s="1331"/>
      <c r="AI384" s="1331"/>
      <c r="AJ384" s="1331"/>
      <c r="AK384" s="1331"/>
      <c r="AL384" s="1331"/>
      <c r="AM384" s="1331"/>
      <c r="AN384" s="1331"/>
      <c r="AO384" s="1331"/>
      <c r="AP384" s="1331"/>
      <c r="AQ384" s="1331"/>
      <c r="AR384" s="1331"/>
      <c r="AS384" s="1331"/>
      <c r="AT384" s="1331"/>
      <c r="AU384" s="1331"/>
      <c r="AV384" s="1331"/>
      <c r="AW384" s="1331"/>
      <c r="AX384" s="1331"/>
      <c r="AY384" s="1329"/>
      <c r="AZ384" s="1329"/>
      <c r="BF384" s="1331"/>
      <c r="BG384" s="450"/>
      <c r="BH384" s="450"/>
    </row>
    <row r="385" spans="2:60" ht="12" customHeight="1">
      <c r="B385" s="317"/>
      <c r="C385" s="317"/>
      <c r="D385" s="319"/>
      <c r="AG385" s="1329"/>
      <c r="AH385" s="1329"/>
      <c r="AI385" s="1329"/>
      <c r="AJ385" s="1329"/>
      <c r="AK385" s="1329"/>
      <c r="AL385" s="1329"/>
      <c r="AM385" s="1329"/>
      <c r="AN385" s="1329"/>
      <c r="AO385" s="1329"/>
      <c r="AP385" s="1329"/>
      <c r="AQ385" s="1329"/>
      <c r="AR385" s="1329"/>
      <c r="AS385" s="1329"/>
      <c r="AT385" s="1329"/>
      <c r="AU385" s="1329"/>
      <c r="AV385" s="1329"/>
      <c r="AW385" s="1329"/>
      <c r="AX385" s="1329"/>
      <c r="AY385" s="1331"/>
      <c r="AZ385" s="1331"/>
      <c r="BF385" s="1329"/>
    </row>
    <row r="386" spans="2:60" ht="12" customHeight="1">
      <c r="B386" s="317"/>
      <c r="C386" s="316"/>
      <c r="D386" s="319"/>
      <c r="AB386" s="1330"/>
      <c r="AC386" s="1330"/>
      <c r="AD386" s="1330"/>
      <c r="AE386" s="1330"/>
      <c r="AF386" s="1330"/>
      <c r="AG386" s="1331"/>
      <c r="AH386" s="1331"/>
      <c r="AI386" s="1331"/>
      <c r="AJ386" s="1331"/>
      <c r="AK386" s="1331"/>
      <c r="AL386" s="1331"/>
      <c r="AM386" s="1331"/>
      <c r="AN386" s="1331"/>
      <c r="AO386" s="1331"/>
      <c r="AP386" s="1331"/>
      <c r="AQ386" s="1331"/>
      <c r="AR386" s="1331"/>
      <c r="AS386" s="1331"/>
      <c r="AT386" s="1331"/>
      <c r="AU386" s="1331"/>
      <c r="AV386" s="1331"/>
      <c r="AW386" s="1331"/>
      <c r="AX386" s="1331"/>
      <c r="AY386" s="1329"/>
      <c r="AZ386" s="1329"/>
      <c r="BF386" s="1331"/>
      <c r="BG386" s="450"/>
      <c r="BH386" s="450"/>
    </row>
    <row r="387" spans="2:60" ht="12" customHeight="1">
      <c r="B387" s="317"/>
      <c r="C387" s="317"/>
      <c r="D387" s="319"/>
      <c r="AG387" s="1329"/>
      <c r="AH387" s="1329"/>
      <c r="AI387" s="1329"/>
      <c r="AJ387" s="1329"/>
      <c r="AK387" s="1329"/>
      <c r="AL387" s="1329"/>
      <c r="AM387" s="1329"/>
      <c r="AN387" s="1329"/>
      <c r="AO387" s="1329"/>
      <c r="AP387" s="1329"/>
      <c r="AQ387" s="1329"/>
      <c r="AR387" s="1329"/>
      <c r="AS387" s="1329"/>
      <c r="AT387" s="1329"/>
      <c r="AU387" s="1329"/>
      <c r="AV387" s="1329"/>
      <c r="AW387" s="1329"/>
      <c r="AX387" s="1329"/>
      <c r="AY387" s="1331"/>
      <c r="AZ387" s="1331"/>
      <c r="BF387" s="1329"/>
    </row>
    <row r="388" spans="2:60" ht="12" customHeight="1">
      <c r="B388" s="317"/>
      <c r="C388" s="316"/>
      <c r="D388" s="319"/>
      <c r="AB388" s="1332"/>
      <c r="AC388" s="1332"/>
      <c r="AD388" s="1332"/>
      <c r="AE388" s="1332"/>
      <c r="AF388" s="1332"/>
      <c r="AG388" s="1333"/>
      <c r="AH388" s="1333"/>
      <c r="AI388" s="1333"/>
      <c r="AJ388" s="1333"/>
      <c r="AK388" s="1333"/>
      <c r="AL388" s="1333"/>
      <c r="AM388" s="1333"/>
      <c r="AN388" s="1333"/>
      <c r="AO388" s="1333"/>
      <c r="AP388" s="1333"/>
      <c r="AQ388" s="1333"/>
      <c r="AR388" s="1333"/>
      <c r="AS388" s="1333"/>
      <c r="AT388" s="1333"/>
      <c r="AU388" s="1333"/>
      <c r="AV388" s="1333"/>
      <c r="AW388" s="1333"/>
      <c r="AX388" s="1333"/>
      <c r="AY388" s="1329"/>
      <c r="AZ388" s="1329"/>
      <c r="BF388" s="1333"/>
      <c r="BG388" s="450"/>
      <c r="BH388" s="450"/>
    </row>
    <row r="389" spans="2:60" ht="12" customHeight="1">
      <c r="B389" s="317"/>
      <c r="C389" s="317"/>
      <c r="D389" s="319"/>
      <c r="AG389" s="1329"/>
      <c r="AH389" s="1329"/>
      <c r="AI389" s="1329"/>
      <c r="AJ389" s="1329"/>
      <c r="AK389" s="1329"/>
      <c r="AL389" s="1329"/>
      <c r="AM389" s="1329"/>
      <c r="AN389" s="1329"/>
      <c r="AO389" s="1329"/>
      <c r="AP389" s="1329"/>
      <c r="AQ389" s="1329"/>
      <c r="AR389" s="1329"/>
      <c r="AS389" s="1329"/>
      <c r="AT389" s="1329"/>
      <c r="AU389" s="1329"/>
      <c r="AV389" s="1329"/>
      <c r="AW389" s="1329"/>
      <c r="AX389" s="1329"/>
      <c r="AY389" s="1333"/>
      <c r="AZ389" s="1333"/>
      <c r="BF389" s="1329"/>
    </row>
    <row r="390" spans="2:60" ht="12" customHeight="1">
      <c r="B390" s="317"/>
      <c r="C390" s="1282"/>
      <c r="D390" s="319"/>
      <c r="AB390" s="1330"/>
      <c r="AC390" s="1330"/>
      <c r="AD390" s="1330"/>
      <c r="AE390" s="1330"/>
      <c r="AF390" s="1330"/>
      <c r="AG390" s="1331"/>
      <c r="AH390" s="1331"/>
      <c r="AI390" s="1331"/>
      <c r="AJ390" s="1331"/>
      <c r="AK390" s="1331"/>
      <c r="AL390" s="1331"/>
      <c r="AM390" s="1331"/>
      <c r="AN390" s="1331"/>
      <c r="AO390" s="1331"/>
      <c r="AP390" s="1331"/>
      <c r="AQ390" s="1331"/>
      <c r="AR390" s="1331"/>
      <c r="AS390" s="1331"/>
      <c r="AT390" s="1331"/>
      <c r="AU390" s="1331"/>
      <c r="AV390" s="1331"/>
      <c r="AW390" s="1331"/>
      <c r="AX390" s="1331"/>
      <c r="AY390" s="1329"/>
      <c r="AZ390" s="1329"/>
      <c r="BF390" s="1331"/>
      <c r="BG390" s="450"/>
      <c r="BH390" s="450"/>
    </row>
    <row r="391" spans="2:60" ht="12" customHeight="1">
      <c r="B391" s="317"/>
      <c r="C391" s="316"/>
      <c r="D391" s="319"/>
      <c r="AB391" s="1330"/>
      <c r="AC391" s="1330"/>
      <c r="AD391" s="1330"/>
      <c r="AE391" s="1330"/>
      <c r="AF391" s="1330"/>
      <c r="AG391" s="1331"/>
      <c r="AH391" s="1331"/>
      <c r="AI391" s="1331"/>
      <c r="AJ391" s="1331"/>
      <c r="AK391" s="1331"/>
      <c r="AL391" s="1331"/>
      <c r="AM391" s="1331"/>
      <c r="AN391" s="1331"/>
      <c r="AO391" s="1331"/>
      <c r="AP391" s="1331"/>
      <c r="AQ391" s="1331"/>
      <c r="AR391" s="1331"/>
      <c r="AS391" s="1331"/>
      <c r="AT391" s="1331"/>
      <c r="AU391" s="1331"/>
      <c r="AV391" s="1331"/>
      <c r="AW391" s="1331"/>
      <c r="AX391" s="1331"/>
      <c r="AY391" s="1331"/>
      <c r="AZ391" s="1331"/>
      <c r="BF391" s="1331"/>
      <c r="BG391" s="450"/>
      <c r="BH391" s="450"/>
    </row>
    <row r="392" spans="2:60" ht="12" customHeight="1">
      <c r="B392" s="317"/>
      <c r="C392" s="316"/>
      <c r="D392" s="319"/>
      <c r="AB392" s="1330"/>
      <c r="AC392" s="1330"/>
      <c r="AD392" s="1330"/>
      <c r="AE392" s="1330"/>
      <c r="AF392" s="1330"/>
      <c r="AG392" s="1331"/>
      <c r="AH392" s="1331"/>
      <c r="AI392" s="1331"/>
      <c r="AJ392" s="1331"/>
      <c r="AK392" s="1331"/>
      <c r="AL392" s="1331"/>
      <c r="AM392" s="1331"/>
      <c r="AN392" s="1331"/>
      <c r="AO392" s="1331"/>
      <c r="AP392" s="1331"/>
      <c r="AQ392" s="1331"/>
      <c r="AR392" s="1331"/>
      <c r="AS392" s="1331"/>
      <c r="AT392" s="1331"/>
      <c r="AU392" s="1331"/>
      <c r="AV392" s="1331"/>
      <c r="AW392" s="1331"/>
      <c r="AX392" s="1331"/>
      <c r="AY392" s="1331"/>
      <c r="AZ392" s="1331"/>
      <c r="BF392" s="1331"/>
      <c r="BG392" s="450"/>
      <c r="BH392" s="450"/>
    </row>
    <row r="393" spans="2:60" ht="12" customHeight="1">
      <c r="B393" s="317"/>
      <c r="C393" s="317"/>
      <c r="D393" s="319"/>
      <c r="AG393" s="1329"/>
      <c r="AH393" s="1329"/>
      <c r="AI393" s="1329"/>
      <c r="AJ393" s="1329"/>
      <c r="AK393" s="1329"/>
      <c r="AL393" s="1329"/>
      <c r="AM393" s="1329"/>
      <c r="AN393" s="1329"/>
      <c r="AO393" s="1329"/>
      <c r="AP393" s="1329"/>
      <c r="AQ393" s="1329"/>
      <c r="AR393" s="1329"/>
      <c r="AS393" s="1329"/>
      <c r="AT393" s="1329"/>
      <c r="AU393" s="1329"/>
      <c r="AV393" s="1329"/>
      <c r="AW393" s="1329"/>
      <c r="AX393" s="1329"/>
      <c r="AY393" s="1331"/>
      <c r="AZ393" s="1331"/>
      <c r="BF393" s="1329"/>
    </row>
    <row r="394" spans="2:60" ht="12" customHeight="1">
      <c r="B394" s="317"/>
      <c r="C394" s="316"/>
      <c r="D394" s="319"/>
      <c r="AB394" s="1330"/>
      <c r="AC394" s="1330"/>
      <c r="AD394" s="1330"/>
      <c r="AE394" s="1330"/>
      <c r="AF394" s="1330"/>
      <c r="AG394" s="1331"/>
      <c r="AH394" s="1331"/>
      <c r="AI394" s="1331"/>
      <c r="AJ394" s="1331"/>
      <c r="AK394" s="1331"/>
      <c r="AL394" s="1331"/>
      <c r="AM394" s="1331"/>
      <c r="AN394" s="1331"/>
      <c r="AO394" s="1331"/>
      <c r="AP394" s="1331"/>
      <c r="AQ394" s="1331"/>
      <c r="AR394" s="1331"/>
      <c r="AS394" s="1331"/>
      <c r="AT394" s="1331"/>
      <c r="AU394" s="1331"/>
      <c r="AV394" s="1331"/>
      <c r="AW394" s="1331"/>
      <c r="AX394" s="1331"/>
      <c r="AY394" s="1329"/>
      <c r="AZ394" s="1329"/>
      <c r="BF394" s="1331"/>
      <c r="BG394" s="450"/>
      <c r="BH394" s="450"/>
    </row>
    <row r="395" spans="2:60" ht="12" customHeight="1">
      <c r="B395" s="317"/>
      <c r="C395" s="317"/>
      <c r="D395" s="319"/>
      <c r="AG395" s="1329"/>
      <c r="AH395" s="1329"/>
      <c r="AI395" s="1329"/>
      <c r="AJ395" s="1329"/>
      <c r="AK395" s="1329"/>
      <c r="AL395" s="1329"/>
      <c r="AM395" s="1329"/>
      <c r="AN395" s="1329"/>
      <c r="AO395" s="1329"/>
      <c r="AP395" s="1329"/>
      <c r="AQ395" s="1329"/>
      <c r="AR395" s="1329"/>
      <c r="AS395" s="1329"/>
      <c r="AT395" s="1329"/>
      <c r="AU395" s="1329"/>
      <c r="AV395" s="1329"/>
      <c r="AW395" s="1329"/>
      <c r="AX395" s="1329"/>
      <c r="AY395" s="1331"/>
      <c r="AZ395" s="1331"/>
      <c r="BF395" s="1329"/>
    </row>
    <row r="396" spans="2:60" ht="12" customHeight="1">
      <c r="B396" s="316"/>
      <c r="C396" s="317"/>
      <c r="D396" s="319"/>
      <c r="AB396" s="1330"/>
      <c r="AC396" s="1330"/>
      <c r="AD396" s="1330"/>
      <c r="AE396" s="1330"/>
      <c r="AF396" s="1330"/>
      <c r="AG396" s="1331"/>
      <c r="AH396" s="1331"/>
      <c r="AI396" s="1331"/>
      <c r="AJ396" s="1331"/>
      <c r="AK396" s="1331"/>
      <c r="AL396" s="1331"/>
      <c r="AM396" s="1331"/>
      <c r="AN396" s="1331"/>
      <c r="AO396" s="1331"/>
      <c r="AP396" s="1331"/>
      <c r="AQ396" s="1331"/>
      <c r="AR396" s="1331"/>
      <c r="AS396" s="1331"/>
      <c r="AT396" s="1331"/>
      <c r="AU396" s="1331"/>
      <c r="AV396" s="1331"/>
      <c r="AW396" s="1331"/>
      <c r="AX396" s="1331"/>
      <c r="AY396" s="1329"/>
      <c r="AZ396" s="1329"/>
      <c r="BF396" s="1331"/>
      <c r="BG396" s="450"/>
      <c r="BH396" s="450"/>
    </row>
    <row r="397" spans="2:60" ht="12" customHeight="1">
      <c r="B397" s="317"/>
      <c r="C397" s="317"/>
      <c r="D397" s="319"/>
      <c r="AG397" s="1329"/>
      <c r="AH397" s="1329"/>
      <c r="AI397" s="1329"/>
      <c r="AJ397" s="1329"/>
      <c r="AK397" s="1329"/>
      <c r="AL397" s="1329"/>
      <c r="AM397" s="1329"/>
      <c r="AN397" s="1329"/>
      <c r="AO397" s="1329"/>
      <c r="AP397" s="1329"/>
      <c r="AQ397" s="1329"/>
      <c r="AR397" s="1329"/>
      <c r="AS397" s="1329"/>
      <c r="AT397" s="1329"/>
      <c r="AU397" s="1329"/>
      <c r="AV397" s="1329"/>
      <c r="AW397" s="1329"/>
      <c r="AX397" s="1329"/>
      <c r="AY397" s="1331"/>
      <c r="AZ397" s="1331"/>
      <c r="BF397" s="1329"/>
    </row>
    <row r="398" spans="2:60" ht="12" customHeight="1">
      <c r="B398" s="317"/>
      <c r="C398" s="316"/>
      <c r="D398" s="319"/>
      <c r="AB398" s="1330"/>
      <c r="AC398" s="1330"/>
      <c r="AD398" s="1330"/>
      <c r="AE398" s="1330"/>
      <c r="AF398" s="1330"/>
      <c r="AG398" s="1331"/>
      <c r="AH398" s="1331"/>
      <c r="AI398" s="1331"/>
      <c r="AJ398" s="1331"/>
      <c r="AK398" s="1331"/>
      <c r="AL398" s="1331"/>
      <c r="AM398" s="1331"/>
      <c r="AN398" s="1331"/>
      <c r="AO398" s="1331"/>
      <c r="AP398" s="1331"/>
      <c r="AQ398" s="1331"/>
      <c r="AR398" s="1331"/>
      <c r="AS398" s="1331"/>
      <c r="AT398" s="1331"/>
      <c r="AU398" s="1331"/>
      <c r="AV398" s="1331"/>
      <c r="AW398" s="1331"/>
      <c r="AX398" s="1331"/>
      <c r="AY398" s="1329"/>
      <c r="AZ398" s="1329"/>
      <c r="BF398" s="1331"/>
      <c r="BG398" s="450"/>
      <c r="BH398" s="450"/>
    </row>
    <row r="399" spans="2:60" ht="12" customHeight="1">
      <c r="B399" s="317"/>
      <c r="C399" s="317"/>
      <c r="D399" s="319"/>
      <c r="AG399" s="1329"/>
      <c r="AH399" s="1329"/>
      <c r="AI399" s="1329"/>
      <c r="AJ399" s="1329"/>
      <c r="AK399" s="1329"/>
      <c r="AL399" s="1329"/>
      <c r="AM399" s="1329"/>
      <c r="AN399" s="1329"/>
      <c r="AO399" s="1329"/>
      <c r="AP399" s="1329"/>
      <c r="AQ399" s="1329"/>
      <c r="AR399" s="1329"/>
      <c r="AS399" s="1329"/>
      <c r="AT399" s="1329"/>
      <c r="AU399" s="1329"/>
      <c r="AV399" s="1329"/>
      <c r="AW399" s="1329"/>
      <c r="AX399" s="1329"/>
      <c r="AY399" s="1331"/>
      <c r="AZ399" s="1331"/>
      <c r="BF399" s="1329"/>
    </row>
    <row r="400" spans="2:60" ht="12" customHeight="1">
      <c r="B400" s="317"/>
      <c r="C400" s="316"/>
      <c r="D400" s="319"/>
      <c r="AB400" s="1330"/>
      <c r="AC400" s="1330"/>
      <c r="AD400" s="1330"/>
      <c r="AE400" s="1330"/>
      <c r="AF400" s="1330"/>
      <c r="AG400" s="1331"/>
      <c r="AH400" s="1331"/>
      <c r="AI400" s="1331"/>
      <c r="AJ400" s="1331"/>
      <c r="AK400" s="1331"/>
      <c r="AL400" s="1331"/>
      <c r="AM400" s="1331"/>
      <c r="AN400" s="1331"/>
      <c r="AO400" s="1331"/>
      <c r="AP400" s="1331"/>
      <c r="AQ400" s="1331"/>
      <c r="AR400" s="1331"/>
      <c r="AS400" s="1331"/>
      <c r="AT400" s="1331"/>
      <c r="AU400" s="1331"/>
      <c r="AV400" s="1331"/>
      <c r="AW400" s="1331"/>
      <c r="AX400" s="1331"/>
      <c r="AY400" s="1329"/>
      <c r="AZ400" s="1329"/>
      <c r="BF400" s="1331"/>
      <c r="BG400" s="450"/>
      <c r="BH400" s="450"/>
    </row>
    <row r="401" spans="2:60" ht="12" customHeight="1">
      <c r="B401" s="317"/>
      <c r="C401" s="317"/>
      <c r="D401" s="319"/>
      <c r="AG401" s="1329"/>
      <c r="AH401" s="1329"/>
      <c r="AI401" s="1329"/>
      <c r="AJ401" s="1329"/>
      <c r="AK401" s="1329"/>
      <c r="AL401" s="1329"/>
      <c r="AM401" s="1329"/>
      <c r="AN401" s="1329"/>
      <c r="AO401" s="1329"/>
      <c r="AP401" s="1329"/>
      <c r="AQ401" s="1329"/>
      <c r="AR401" s="1329"/>
      <c r="AS401" s="1329"/>
      <c r="AT401" s="1329"/>
      <c r="AU401" s="1329"/>
      <c r="AV401" s="1329"/>
      <c r="AW401" s="1329"/>
      <c r="AX401" s="1329"/>
      <c r="AY401" s="1331"/>
      <c r="AZ401" s="1331"/>
      <c r="BF401" s="1329"/>
    </row>
    <row r="402" spans="2:60" ht="12" customHeight="1">
      <c r="B402" s="316"/>
      <c r="C402" s="1299"/>
      <c r="D402" s="319"/>
      <c r="AB402" s="1330"/>
      <c r="AC402" s="1330"/>
      <c r="AD402" s="1330"/>
      <c r="AE402" s="1330"/>
      <c r="AF402" s="1330"/>
      <c r="AG402" s="1331"/>
      <c r="AH402" s="1331"/>
      <c r="AI402" s="1331"/>
      <c r="AJ402" s="1331"/>
      <c r="AK402" s="1331"/>
      <c r="AL402" s="1331"/>
      <c r="AM402" s="1331"/>
      <c r="AN402" s="1331"/>
      <c r="AO402" s="1331"/>
      <c r="AP402" s="1331"/>
      <c r="AQ402" s="1331"/>
      <c r="AR402" s="1331"/>
      <c r="AS402" s="1331"/>
      <c r="AT402" s="1331"/>
      <c r="AU402" s="1331"/>
      <c r="AV402" s="1331"/>
      <c r="AW402" s="1331"/>
      <c r="AX402" s="1331"/>
      <c r="AY402" s="1329"/>
      <c r="AZ402" s="1329"/>
      <c r="BF402" s="1331"/>
      <c r="BG402" s="450"/>
      <c r="BH402" s="450"/>
    </row>
    <row r="403" spans="2:60" ht="12" customHeight="1">
      <c r="B403" s="317"/>
      <c r="C403" s="317"/>
      <c r="D403" s="319"/>
      <c r="AG403" s="1329"/>
      <c r="AH403" s="1329"/>
      <c r="AI403" s="1329"/>
      <c r="AJ403" s="1329"/>
      <c r="AK403" s="1329"/>
      <c r="AL403" s="1329"/>
      <c r="AM403" s="1329"/>
      <c r="AN403" s="1329"/>
      <c r="AO403" s="1329"/>
      <c r="AP403" s="1329"/>
      <c r="AQ403" s="1329"/>
      <c r="AR403" s="1329"/>
      <c r="AS403" s="1329"/>
      <c r="AT403" s="1329"/>
      <c r="AU403" s="1329"/>
      <c r="AV403" s="1329"/>
      <c r="AW403" s="1329"/>
      <c r="AX403" s="1329"/>
      <c r="AY403" s="1331"/>
      <c r="AZ403" s="1331"/>
      <c r="BF403" s="1329"/>
    </row>
    <row r="404" spans="2:60" ht="12" customHeight="1">
      <c r="B404" s="317"/>
      <c r="C404" s="316"/>
      <c r="D404" s="319"/>
      <c r="AB404" s="1330"/>
      <c r="AC404" s="1330"/>
      <c r="AD404" s="1330"/>
      <c r="AE404" s="1330"/>
      <c r="AF404" s="1330"/>
      <c r="AG404" s="1331"/>
      <c r="AH404" s="1331"/>
      <c r="AI404" s="1331"/>
      <c r="AJ404" s="1331"/>
      <c r="AK404" s="1331"/>
      <c r="AL404" s="1331"/>
      <c r="AM404" s="1331"/>
      <c r="AN404" s="1331"/>
      <c r="AO404" s="1331"/>
      <c r="AP404" s="1331"/>
      <c r="AQ404" s="1331"/>
      <c r="AR404" s="1331"/>
      <c r="AS404" s="1331"/>
      <c r="AT404" s="1331"/>
      <c r="AU404" s="1331"/>
      <c r="AV404" s="1331"/>
      <c r="AW404" s="1331"/>
      <c r="AX404" s="1331"/>
      <c r="AY404" s="1329"/>
      <c r="AZ404" s="1329"/>
      <c r="BF404" s="1331"/>
      <c r="BG404" s="450"/>
      <c r="BH404" s="450"/>
    </row>
    <row r="405" spans="2:60" ht="12" customHeight="1">
      <c r="B405" s="317"/>
      <c r="C405" s="317"/>
      <c r="D405" s="319"/>
      <c r="AG405" s="1329"/>
      <c r="AH405" s="1329"/>
      <c r="AI405" s="1329"/>
      <c r="AJ405" s="1329"/>
      <c r="AK405" s="1329"/>
      <c r="AL405" s="1329"/>
      <c r="AM405" s="1329"/>
      <c r="AN405" s="1329"/>
      <c r="AO405" s="1329"/>
      <c r="AP405" s="1329"/>
      <c r="AQ405" s="1329"/>
      <c r="AR405" s="1329"/>
      <c r="AS405" s="1329"/>
      <c r="AT405" s="1329"/>
      <c r="AU405" s="1329"/>
      <c r="AV405" s="1329"/>
      <c r="AW405" s="1329"/>
      <c r="AX405" s="1329"/>
      <c r="AY405" s="1331"/>
      <c r="AZ405" s="1331"/>
      <c r="BF405" s="1329"/>
    </row>
    <row r="406" spans="2:60" ht="12" customHeight="1">
      <c r="B406" s="317"/>
      <c r="C406" s="316"/>
      <c r="D406" s="319"/>
      <c r="AB406" s="1330"/>
      <c r="AC406" s="1330"/>
      <c r="AD406" s="1330"/>
      <c r="AE406" s="1330"/>
      <c r="AF406" s="1330"/>
      <c r="AG406" s="1331"/>
      <c r="AH406" s="1331"/>
      <c r="AI406" s="1331"/>
      <c r="AJ406" s="1331"/>
      <c r="AK406" s="1331"/>
      <c r="AL406" s="1331"/>
      <c r="AM406" s="1331"/>
      <c r="AN406" s="1331"/>
      <c r="AO406" s="1331"/>
      <c r="AP406" s="1331"/>
      <c r="AQ406" s="1331"/>
      <c r="AR406" s="1331"/>
      <c r="AS406" s="1331"/>
      <c r="AT406" s="1331"/>
      <c r="AU406" s="1331"/>
      <c r="AV406" s="1331"/>
      <c r="AW406" s="1331"/>
      <c r="AX406" s="1331"/>
      <c r="AY406" s="1329"/>
      <c r="AZ406" s="1329"/>
      <c r="BF406" s="1331"/>
      <c r="BG406" s="450"/>
      <c r="BH406" s="450"/>
    </row>
    <row r="407" spans="2:60" ht="12" customHeight="1">
      <c r="B407" s="317"/>
      <c r="C407" s="317"/>
      <c r="D407" s="319"/>
      <c r="AB407" s="1334"/>
      <c r="AC407" s="1334"/>
      <c r="AD407" s="1334"/>
      <c r="AE407" s="1334"/>
      <c r="AF407" s="1334"/>
      <c r="AG407" s="1335"/>
      <c r="AH407" s="1335"/>
      <c r="AI407" s="1335"/>
      <c r="AJ407" s="1335"/>
      <c r="AK407" s="1335"/>
      <c r="AL407" s="1335"/>
      <c r="AM407" s="1335"/>
      <c r="AN407" s="1335"/>
      <c r="AO407" s="1335"/>
      <c r="AP407" s="1335"/>
      <c r="AQ407" s="1335"/>
      <c r="AR407" s="1335"/>
      <c r="AS407" s="1335"/>
      <c r="AT407" s="1335"/>
      <c r="AU407" s="1335"/>
      <c r="AV407" s="1335"/>
      <c r="AW407" s="1335"/>
      <c r="AX407" s="1335"/>
      <c r="AY407" s="1331"/>
      <c r="AZ407" s="1331"/>
      <c r="BF407" s="1335"/>
      <c r="BG407" s="450"/>
      <c r="BH407" s="450"/>
    </row>
    <row r="408" spans="2:60" ht="12" customHeight="1">
      <c r="B408" s="316"/>
      <c r="C408" s="317"/>
      <c r="D408" s="319"/>
      <c r="AB408" s="1330"/>
      <c r="AC408" s="1330"/>
      <c r="AD408" s="1330"/>
      <c r="AE408" s="1330"/>
      <c r="AF408" s="1330"/>
      <c r="AG408" s="1331"/>
      <c r="AH408" s="1331"/>
      <c r="AI408" s="1331"/>
      <c r="AJ408" s="1331"/>
      <c r="AK408" s="1331"/>
      <c r="AL408" s="1331"/>
      <c r="AM408" s="1331"/>
      <c r="AN408" s="1331"/>
      <c r="AO408" s="1331"/>
      <c r="AP408" s="1331"/>
      <c r="AQ408" s="1331"/>
      <c r="AR408" s="1331"/>
      <c r="AS408" s="1331"/>
      <c r="AT408" s="1331"/>
      <c r="AU408" s="1331"/>
      <c r="AV408" s="1331"/>
      <c r="AW408" s="1331"/>
      <c r="AX408" s="1331"/>
      <c r="AY408" s="1335"/>
      <c r="AZ408" s="1335"/>
      <c r="BF408" s="1331"/>
      <c r="BG408" s="450"/>
      <c r="BH408" s="450"/>
    </row>
    <row r="409" spans="2:60" ht="12" customHeight="1">
      <c r="B409" s="316"/>
      <c r="C409" s="317"/>
      <c r="D409" s="319"/>
      <c r="AB409" s="1330"/>
      <c r="AC409" s="1330"/>
      <c r="AD409" s="1330"/>
      <c r="AE409" s="1330"/>
      <c r="AF409" s="1330"/>
      <c r="AG409" s="1331"/>
      <c r="AH409" s="1331"/>
      <c r="AI409" s="1331"/>
      <c r="AJ409" s="1331"/>
      <c r="AK409" s="1331"/>
      <c r="AL409" s="1331"/>
      <c r="AM409" s="1331"/>
      <c r="AN409" s="1331"/>
      <c r="AO409" s="1331"/>
      <c r="AP409" s="1331"/>
      <c r="AQ409" s="1331"/>
      <c r="AR409" s="1331"/>
      <c r="AS409" s="1331"/>
      <c r="AT409" s="1331"/>
      <c r="AU409" s="1331"/>
      <c r="AV409" s="1331"/>
      <c r="AW409" s="1331"/>
      <c r="AX409" s="1331"/>
      <c r="AY409" s="1331"/>
      <c r="AZ409" s="1331"/>
      <c r="BF409" s="1331"/>
      <c r="BG409" s="450"/>
      <c r="BH409" s="450"/>
    </row>
    <row r="410" spans="2:60" ht="12" customHeight="1">
      <c r="B410" s="1299"/>
      <c r="C410" s="1282"/>
      <c r="D410" s="319"/>
      <c r="AB410" s="1330"/>
      <c r="AC410" s="1330"/>
      <c r="AD410" s="1330"/>
      <c r="AE410" s="1330"/>
      <c r="AF410" s="1330"/>
      <c r="AG410" s="1331"/>
      <c r="AH410" s="1331"/>
      <c r="AI410" s="1331"/>
      <c r="AJ410" s="1331"/>
      <c r="AK410" s="1331"/>
      <c r="AL410" s="1331"/>
      <c r="AM410" s="1331"/>
      <c r="AN410" s="1329"/>
      <c r="AO410" s="1329"/>
      <c r="AP410" s="1329"/>
      <c r="AQ410" s="1329"/>
      <c r="AR410" s="1329"/>
      <c r="AS410" s="1329"/>
      <c r="AT410" s="1329"/>
      <c r="AU410" s="1329"/>
      <c r="AV410" s="1329"/>
      <c r="AW410" s="1329"/>
      <c r="AX410" s="1329"/>
      <c r="AY410" s="1331"/>
      <c r="AZ410" s="1331"/>
      <c r="BF410" s="1329"/>
    </row>
    <row r="411" spans="2:60" ht="12" customHeight="1">
      <c r="B411" s="317"/>
      <c r="C411" s="317"/>
      <c r="D411" s="319"/>
      <c r="AG411" s="1329"/>
      <c r="AH411" s="1329"/>
      <c r="AI411" s="1329"/>
      <c r="AJ411" s="1329"/>
      <c r="AK411" s="1329"/>
      <c r="AL411" s="1329"/>
      <c r="AM411" s="1329"/>
      <c r="AN411" s="1329"/>
      <c r="AO411" s="1329"/>
      <c r="AP411" s="1329"/>
      <c r="AQ411" s="1329"/>
      <c r="AR411" s="1329"/>
      <c r="AS411" s="1329"/>
      <c r="AT411" s="1329"/>
      <c r="AU411" s="1329"/>
      <c r="AV411" s="1329"/>
      <c r="AW411" s="1329"/>
      <c r="AX411" s="1329"/>
      <c r="AY411" s="1329"/>
      <c r="AZ411" s="1329"/>
      <c r="BF411" s="1329"/>
    </row>
    <row r="412" spans="2:60" ht="12" customHeight="1">
      <c r="B412" s="317"/>
      <c r="C412" s="316"/>
      <c r="D412" s="319"/>
      <c r="AB412" s="1330"/>
      <c r="AC412" s="1330"/>
      <c r="AD412" s="1330"/>
      <c r="AE412" s="1330"/>
      <c r="AF412" s="1330"/>
      <c r="AG412" s="1331"/>
      <c r="AH412" s="1331"/>
      <c r="AI412" s="1331"/>
      <c r="AJ412" s="1331"/>
      <c r="AK412" s="1331"/>
      <c r="AL412" s="1331"/>
      <c r="AM412" s="1331"/>
      <c r="AN412" s="1331"/>
      <c r="AO412" s="1331"/>
      <c r="AP412" s="1331"/>
      <c r="AQ412" s="1331"/>
      <c r="AR412" s="1331"/>
      <c r="AS412" s="1331"/>
      <c r="AT412" s="1331"/>
      <c r="AU412" s="1331"/>
      <c r="AV412" s="1331"/>
      <c r="AW412" s="1331"/>
      <c r="AX412" s="1331"/>
      <c r="AY412" s="1329"/>
      <c r="AZ412" s="1329"/>
      <c r="BF412" s="1331"/>
      <c r="BG412" s="450"/>
      <c r="BH412" s="450"/>
    </row>
    <row r="413" spans="2:60" ht="12" customHeight="1">
      <c r="B413" s="317"/>
      <c r="C413" s="317"/>
      <c r="D413" s="319"/>
      <c r="AG413" s="1329"/>
      <c r="AH413" s="1329"/>
      <c r="AI413" s="1329"/>
      <c r="AJ413" s="1329"/>
      <c r="AK413" s="1329"/>
      <c r="AL413" s="1329"/>
      <c r="AM413" s="1329"/>
      <c r="AN413" s="1329"/>
      <c r="AO413" s="1329"/>
      <c r="AP413" s="1329"/>
      <c r="AQ413" s="1329"/>
      <c r="AR413" s="1329"/>
      <c r="AS413" s="1329"/>
      <c r="AT413" s="1329"/>
      <c r="AU413" s="1329"/>
      <c r="AV413" s="1329"/>
      <c r="AW413" s="1329"/>
      <c r="AX413" s="1329"/>
      <c r="AY413" s="1331"/>
      <c r="AZ413" s="1331"/>
      <c r="BF413" s="1329"/>
    </row>
    <row r="414" spans="2:60" ht="12" customHeight="1">
      <c r="B414" s="317"/>
      <c r="C414" s="316"/>
      <c r="D414" s="319"/>
      <c r="AB414" s="1330"/>
      <c r="AC414" s="1330"/>
      <c r="AD414" s="1330"/>
      <c r="AE414" s="1330"/>
      <c r="AF414" s="1330"/>
      <c r="AG414" s="1331"/>
      <c r="AH414" s="1331"/>
      <c r="AI414" s="1331"/>
      <c r="AJ414" s="1331"/>
      <c r="AK414" s="1331"/>
      <c r="AL414" s="1331"/>
      <c r="AM414" s="1331"/>
      <c r="AN414" s="1331"/>
      <c r="AO414" s="1331"/>
      <c r="AP414" s="1331"/>
      <c r="AQ414" s="1331"/>
      <c r="AR414" s="1331"/>
      <c r="AS414" s="1331"/>
      <c r="AT414" s="1331"/>
      <c r="AU414" s="1331"/>
      <c r="AV414" s="1331"/>
      <c r="AW414" s="1331"/>
      <c r="AX414" s="1331"/>
      <c r="AY414" s="1329"/>
      <c r="AZ414" s="1329"/>
      <c r="BF414" s="1331"/>
      <c r="BG414" s="450"/>
      <c r="BH414" s="450"/>
    </row>
    <row r="415" spans="2:60" ht="12" customHeight="1">
      <c r="B415" s="317"/>
      <c r="C415" s="317"/>
      <c r="D415" s="319"/>
      <c r="AG415" s="1329"/>
      <c r="AH415" s="1329"/>
      <c r="AI415" s="1329"/>
      <c r="AJ415" s="1329"/>
      <c r="AK415" s="1329"/>
      <c r="AL415" s="1329"/>
      <c r="AM415" s="1329"/>
      <c r="AN415" s="1329"/>
      <c r="AO415" s="1329"/>
      <c r="AP415" s="1329"/>
      <c r="AQ415" s="1329"/>
      <c r="AR415" s="1329"/>
      <c r="AS415" s="1329"/>
      <c r="AT415" s="1329"/>
      <c r="AU415" s="1329"/>
      <c r="AV415" s="1329"/>
      <c r="AW415" s="1329"/>
      <c r="AX415" s="1329"/>
      <c r="AY415" s="1331"/>
      <c r="AZ415" s="1331"/>
      <c r="BF415" s="1329"/>
    </row>
    <row r="416" spans="2:60" ht="12" customHeight="1">
      <c r="B416" s="317"/>
      <c r="C416" s="316"/>
      <c r="D416" s="319"/>
      <c r="AB416" s="1330"/>
      <c r="AC416" s="1330"/>
      <c r="AD416" s="1330"/>
      <c r="AE416" s="1330"/>
      <c r="AF416" s="1330"/>
      <c r="AG416" s="1331"/>
      <c r="AH416" s="1331"/>
      <c r="AI416" s="1331"/>
      <c r="AJ416" s="1331"/>
      <c r="AK416" s="1331"/>
      <c r="AL416" s="1331"/>
      <c r="AM416" s="1331"/>
      <c r="AN416" s="1331"/>
      <c r="AO416" s="1331"/>
      <c r="AP416" s="1331"/>
      <c r="AQ416" s="1331"/>
      <c r="AR416" s="1331"/>
      <c r="AS416" s="1331"/>
      <c r="AT416" s="1331"/>
      <c r="AU416" s="1331"/>
      <c r="AV416" s="1331"/>
      <c r="AW416" s="1331"/>
      <c r="AX416" s="1331"/>
      <c r="AY416" s="1329"/>
      <c r="AZ416" s="1329"/>
      <c r="BF416" s="1331"/>
      <c r="BG416" s="450"/>
      <c r="BH416" s="450"/>
    </row>
    <row r="417" spans="2:60" ht="12" customHeight="1">
      <c r="B417" s="317"/>
      <c r="C417" s="317"/>
      <c r="D417" s="319"/>
      <c r="AG417" s="1329"/>
      <c r="AH417" s="1329"/>
      <c r="AI417" s="1329"/>
      <c r="AJ417" s="1329"/>
      <c r="AK417" s="1329"/>
      <c r="AL417" s="1329"/>
      <c r="AM417" s="1329"/>
      <c r="AN417" s="1329"/>
      <c r="AO417" s="1329"/>
      <c r="AP417" s="1329"/>
      <c r="AQ417" s="1329"/>
      <c r="AR417" s="1329"/>
      <c r="AS417" s="1329"/>
      <c r="AT417" s="1329"/>
      <c r="AU417" s="1329"/>
      <c r="AV417" s="1329"/>
      <c r="AW417" s="1329"/>
      <c r="AX417" s="1329"/>
      <c r="AY417" s="1331"/>
      <c r="AZ417" s="1331"/>
      <c r="BF417" s="1329"/>
    </row>
    <row r="418" spans="2:60" ht="12" customHeight="1">
      <c r="B418" s="317"/>
      <c r="C418" s="316"/>
      <c r="D418" s="319"/>
      <c r="AB418" s="1330"/>
      <c r="AC418" s="1330"/>
      <c r="AD418" s="1330"/>
      <c r="AE418" s="1330"/>
      <c r="AF418" s="1330"/>
      <c r="AG418" s="1331"/>
      <c r="AH418" s="1331"/>
      <c r="AI418" s="1331"/>
      <c r="AJ418" s="1331"/>
      <c r="AK418" s="1331"/>
      <c r="AL418" s="1331"/>
      <c r="AM418" s="1331"/>
      <c r="AN418" s="1331"/>
      <c r="AO418" s="1331"/>
      <c r="AP418" s="1331"/>
      <c r="AQ418" s="1331"/>
      <c r="AR418" s="1331"/>
      <c r="AS418" s="1331"/>
      <c r="AT418" s="1331"/>
      <c r="AU418" s="1331"/>
      <c r="AV418" s="1331"/>
      <c r="AW418" s="1331"/>
      <c r="AX418" s="1331"/>
      <c r="AY418" s="1329"/>
      <c r="AZ418" s="1329"/>
      <c r="BF418" s="1331"/>
      <c r="BG418" s="450"/>
      <c r="BH418" s="450"/>
    </row>
    <row r="419" spans="2:60" ht="12" customHeight="1">
      <c r="B419" s="317"/>
      <c r="C419" s="317"/>
      <c r="D419" s="319"/>
      <c r="AG419" s="1329"/>
      <c r="AH419" s="1329"/>
      <c r="AI419" s="1329"/>
      <c r="AJ419" s="1329"/>
      <c r="AK419" s="1329"/>
      <c r="AL419" s="1329"/>
      <c r="AM419" s="1329"/>
      <c r="AN419" s="1329"/>
      <c r="AO419" s="1329"/>
      <c r="AP419" s="1329"/>
      <c r="AQ419" s="1329"/>
      <c r="AR419" s="1329"/>
      <c r="AS419" s="1329"/>
      <c r="AT419" s="1329"/>
      <c r="AU419" s="1329"/>
      <c r="AV419" s="1329"/>
      <c r="AW419" s="1329"/>
      <c r="AX419" s="1329"/>
      <c r="AY419" s="1331"/>
      <c r="AZ419" s="1331"/>
      <c r="BF419" s="1329"/>
    </row>
    <row r="420" spans="2:60" ht="12" customHeight="1">
      <c r="B420" s="317"/>
      <c r="C420" s="316"/>
      <c r="D420" s="319"/>
      <c r="AB420" s="1330"/>
      <c r="AC420" s="1330"/>
      <c r="AD420" s="1330"/>
      <c r="AE420" s="1330"/>
      <c r="AF420" s="1330"/>
      <c r="AG420" s="1331"/>
      <c r="AH420" s="1331"/>
      <c r="AI420" s="1331"/>
      <c r="AJ420" s="1331"/>
      <c r="AK420" s="1331"/>
      <c r="AL420" s="1331"/>
      <c r="AM420" s="1331"/>
      <c r="AN420" s="1331"/>
      <c r="AO420" s="1331"/>
      <c r="AP420" s="1331"/>
      <c r="AQ420" s="1331"/>
      <c r="AR420" s="1331"/>
      <c r="AS420" s="1331"/>
      <c r="AT420" s="1331"/>
      <c r="AU420" s="1331"/>
      <c r="AV420" s="1331"/>
      <c r="AW420" s="1331"/>
      <c r="AX420" s="1331"/>
      <c r="AY420" s="1329"/>
      <c r="AZ420" s="1329"/>
      <c r="BF420" s="1331"/>
      <c r="BG420" s="450"/>
      <c r="BH420" s="450"/>
    </row>
    <row r="421" spans="2:60" ht="12" customHeight="1">
      <c r="B421" s="317"/>
      <c r="C421" s="317"/>
      <c r="D421" s="319"/>
      <c r="AG421" s="1329"/>
      <c r="AH421" s="1329"/>
      <c r="AI421" s="1329"/>
      <c r="AJ421" s="1329"/>
      <c r="AK421" s="1329"/>
      <c r="AL421" s="1329"/>
      <c r="AM421" s="1329"/>
      <c r="AN421" s="1329"/>
      <c r="AO421" s="1329"/>
      <c r="AP421" s="1329"/>
      <c r="AQ421" s="1329"/>
      <c r="AR421" s="1329"/>
      <c r="AS421" s="1329"/>
      <c r="AT421" s="1329"/>
      <c r="AU421" s="1329"/>
      <c r="AV421" s="1329"/>
      <c r="AW421" s="1329"/>
      <c r="AX421" s="1329"/>
      <c r="AY421" s="1331"/>
      <c r="AZ421" s="1331"/>
      <c r="BF421" s="1329"/>
    </row>
    <row r="422" spans="2:60" ht="12" customHeight="1">
      <c r="B422" s="316"/>
      <c r="C422" s="317"/>
      <c r="D422" s="319"/>
      <c r="AB422" s="1330"/>
      <c r="AC422" s="1330"/>
      <c r="AD422" s="1330"/>
      <c r="AE422" s="1330"/>
      <c r="AF422" s="1330"/>
      <c r="AG422" s="1331"/>
      <c r="AH422" s="1331"/>
      <c r="AI422" s="1331"/>
      <c r="AJ422" s="1331"/>
      <c r="AK422" s="1331"/>
      <c r="AL422" s="1331"/>
      <c r="AM422" s="1331"/>
      <c r="AN422" s="1331"/>
      <c r="AO422" s="1331"/>
      <c r="AP422" s="1331"/>
      <c r="AQ422" s="1331"/>
      <c r="AR422" s="1331"/>
      <c r="AS422" s="1331"/>
      <c r="AT422" s="1331"/>
      <c r="AU422" s="1331"/>
      <c r="AV422" s="1331"/>
      <c r="AW422" s="1331"/>
      <c r="AX422" s="1331"/>
      <c r="AY422" s="1329"/>
      <c r="AZ422" s="1329"/>
      <c r="BF422" s="1331"/>
      <c r="BG422" s="450"/>
      <c r="BH422" s="450"/>
    </row>
    <row r="423" spans="2:60" ht="12" customHeight="1">
      <c r="B423" s="317"/>
      <c r="C423" s="317"/>
      <c r="D423" s="319"/>
      <c r="AG423" s="1329"/>
      <c r="AH423" s="1329"/>
      <c r="AI423" s="1329"/>
      <c r="AJ423" s="1329"/>
      <c r="AK423" s="1329"/>
      <c r="AL423" s="1329"/>
      <c r="AM423" s="1329"/>
      <c r="AN423" s="1329"/>
      <c r="AO423" s="1329"/>
      <c r="AP423" s="1329"/>
      <c r="AQ423" s="1329"/>
      <c r="AR423" s="1329"/>
      <c r="AS423" s="1329"/>
      <c r="AT423" s="1329"/>
      <c r="AU423" s="1329"/>
      <c r="AV423" s="1329"/>
      <c r="AW423" s="1329"/>
      <c r="AX423" s="1329"/>
      <c r="AY423" s="1331"/>
      <c r="AZ423" s="1331"/>
      <c r="BF423" s="1329"/>
    </row>
    <row r="424" spans="2:60" ht="12" customHeight="1">
      <c r="B424" s="317"/>
      <c r="C424" s="316"/>
      <c r="D424" s="319"/>
      <c r="AB424" s="1330"/>
      <c r="AC424" s="1330"/>
      <c r="AD424" s="1330"/>
      <c r="AE424" s="1330"/>
      <c r="AF424" s="1330"/>
      <c r="AG424" s="1331"/>
      <c r="AH424" s="1331"/>
      <c r="AI424" s="1331"/>
      <c r="AJ424" s="1331"/>
      <c r="AK424" s="1331"/>
      <c r="AL424" s="1331"/>
      <c r="AM424" s="1331"/>
      <c r="AN424" s="1331"/>
      <c r="AO424" s="1331"/>
      <c r="AP424" s="1331"/>
      <c r="AQ424" s="1331"/>
      <c r="AR424" s="1331"/>
      <c r="AS424" s="1331"/>
      <c r="AT424" s="1331"/>
      <c r="AU424" s="1331"/>
      <c r="AV424" s="1331"/>
      <c r="AW424" s="1331"/>
      <c r="AX424" s="1331"/>
      <c r="AY424" s="1329"/>
      <c r="AZ424" s="1329"/>
      <c r="BF424" s="1331"/>
      <c r="BG424" s="450"/>
      <c r="BH424" s="450"/>
    </row>
    <row r="425" spans="2:60" ht="12" customHeight="1">
      <c r="D425" s="319"/>
      <c r="AG425" s="1329"/>
      <c r="AH425" s="1329"/>
      <c r="AI425" s="1329"/>
      <c r="AJ425" s="1329"/>
      <c r="AK425" s="1329"/>
      <c r="AL425" s="1329"/>
      <c r="AM425" s="1329"/>
      <c r="AN425" s="1329"/>
      <c r="AO425" s="1329"/>
      <c r="AP425" s="1329"/>
      <c r="AQ425" s="1329"/>
      <c r="AR425" s="1329"/>
      <c r="AS425" s="1329"/>
      <c r="AT425" s="1329"/>
      <c r="AU425" s="1329"/>
      <c r="AV425" s="1329"/>
      <c r="AW425" s="1329"/>
      <c r="AX425" s="1329"/>
      <c r="AY425" s="1331"/>
      <c r="AZ425" s="1331"/>
      <c r="BF425" s="1329"/>
    </row>
    <row r="426" spans="2:60" ht="12" customHeight="1">
      <c r="B426" s="316"/>
      <c r="C426" s="317"/>
      <c r="D426" s="319"/>
      <c r="AB426" s="1330"/>
      <c r="AC426" s="1330"/>
      <c r="AD426" s="1330"/>
      <c r="AE426" s="1330"/>
      <c r="AF426" s="1330"/>
      <c r="AG426" s="1331"/>
      <c r="AH426" s="1331"/>
      <c r="AI426" s="1331"/>
      <c r="AJ426" s="1331"/>
      <c r="AK426" s="1331"/>
      <c r="AL426" s="1331"/>
      <c r="AM426" s="1331"/>
      <c r="AN426" s="1331"/>
      <c r="AO426" s="1331"/>
      <c r="AP426" s="1331"/>
      <c r="AQ426" s="1331"/>
      <c r="AR426" s="1331"/>
      <c r="AS426" s="1331"/>
      <c r="AT426" s="1331"/>
      <c r="AU426" s="1331"/>
      <c r="AV426" s="1331"/>
      <c r="AW426" s="1331"/>
      <c r="AX426" s="1331"/>
      <c r="AY426" s="1329"/>
      <c r="AZ426" s="1329"/>
      <c r="BF426" s="1331"/>
      <c r="BG426" s="450"/>
      <c r="BH426" s="450"/>
    </row>
    <row r="427" spans="2:60" ht="12" customHeight="1">
      <c r="B427" s="317"/>
      <c r="C427" s="1299"/>
      <c r="D427" s="319"/>
      <c r="AG427" s="1329"/>
      <c r="AH427" s="1329"/>
      <c r="AI427" s="1329"/>
      <c r="AJ427" s="1329"/>
      <c r="AK427" s="1329"/>
      <c r="AL427" s="1329"/>
      <c r="AM427" s="1329"/>
      <c r="AN427" s="1329"/>
      <c r="AO427" s="1329"/>
      <c r="AP427" s="1329"/>
      <c r="AQ427" s="1329"/>
      <c r="AR427" s="1329"/>
      <c r="AS427" s="1329"/>
      <c r="AT427" s="1329"/>
      <c r="AU427" s="1329"/>
      <c r="AV427" s="1329"/>
      <c r="AW427" s="1329"/>
      <c r="AX427" s="1329"/>
      <c r="AY427" s="1331"/>
      <c r="AZ427" s="1331"/>
      <c r="BF427" s="1329"/>
    </row>
    <row r="428" spans="2:60" ht="12" customHeight="1">
      <c r="B428" s="317"/>
      <c r="C428" s="316"/>
      <c r="D428" s="319"/>
      <c r="AB428" s="1330"/>
      <c r="AC428" s="1330"/>
      <c r="AD428" s="1330"/>
      <c r="AE428" s="1330"/>
      <c r="AF428" s="1330"/>
      <c r="AG428" s="1331"/>
      <c r="AH428" s="1331"/>
      <c r="AI428" s="1331"/>
      <c r="AJ428" s="1331"/>
      <c r="AK428" s="1331"/>
      <c r="AL428" s="1331"/>
      <c r="AM428" s="1331"/>
      <c r="AN428" s="1331"/>
      <c r="AO428" s="1331"/>
      <c r="AP428" s="1331"/>
      <c r="AQ428" s="1331"/>
      <c r="AR428" s="1331"/>
      <c r="AS428" s="1331"/>
      <c r="AT428" s="1331"/>
      <c r="AU428" s="1331"/>
      <c r="AV428" s="1331"/>
      <c r="AW428" s="1331"/>
      <c r="AX428" s="1331"/>
      <c r="AY428" s="1329"/>
      <c r="AZ428" s="1329"/>
      <c r="BF428" s="1331"/>
      <c r="BG428" s="450"/>
      <c r="BH428" s="450"/>
    </row>
    <row r="429" spans="2:60" ht="12" customHeight="1">
      <c r="B429" s="317"/>
      <c r="C429" s="317"/>
      <c r="D429" s="319"/>
      <c r="AY429" s="1331"/>
      <c r="AZ429" s="1331"/>
    </row>
    <row r="430" spans="2:60" ht="12" customHeight="1">
      <c r="B430" s="317"/>
      <c r="C430" s="316"/>
      <c r="D430" s="319"/>
      <c r="AB430" s="1330"/>
      <c r="AC430" s="1330"/>
      <c r="AD430" s="1330"/>
      <c r="AE430" s="1330"/>
      <c r="AF430" s="1330"/>
      <c r="AG430" s="1336"/>
      <c r="AH430" s="1336"/>
      <c r="AI430" s="1336"/>
      <c r="AJ430" s="1336"/>
      <c r="AK430" s="1336"/>
      <c r="AL430" s="1336"/>
      <c r="AM430" s="1336"/>
      <c r="AN430" s="1336"/>
      <c r="AO430" s="1336"/>
      <c r="AP430" s="1336"/>
      <c r="AQ430" s="1336"/>
      <c r="AR430" s="1336"/>
      <c r="AS430" s="1336"/>
      <c r="AT430" s="1336"/>
      <c r="AU430" s="1336"/>
      <c r="AV430" s="1336"/>
      <c r="AW430" s="1336"/>
      <c r="AX430" s="1336"/>
      <c r="BF430" s="1336"/>
      <c r="BG430" s="450"/>
      <c r="BH430" s="450"/>
    </row>
    <row r="431" spans="2:60" ht="12" customHeight="1">
      <c r="D431" s="319"/>
      <c r="AY431" s="1336"/>
      <c r="AZ431" s="1336"/>
    </row>
    <row r="432" spans="2:60" ht="12" customHeight="1">
      <c r="B432" s="317"/>
      <c r="C432" s="316"/>
      <c r="D432" s="319"/>
      <c r="AB432" s="1330"/>
      <c r="AC432" s="1330"/>
      <c r="AD432" s="1330"/>
      <c r="AE432" s="1330"/>
      <c r="AF432" s="1330"/>
      <c r="AG432" s="1336"/>
      <c r="AH432" s="1336"/>
      <c r="AI432" s="1336"/>
      <c r="AJ432" s="1336"/>
      <c r="AK432" s="1336"/>
      <c r="AL432" s="1336"/>
      <c r="AM432" s="1336"/>
      <c r="AN432" s="1336"/>
      <c r="AO432" s="1336"/>
      <c r="AP432" s="1336"/>
      <c r="AQ432" s="1336"/>
      <c r="AR432" s="1336"/>
      <c r="AS432" s="1336"/>
      <c r="AT432" s="1336"/>
      <c r="AU432" s="1336"/>
      <c r="AV432" s="1336"/>
      <c r="AW432" s="1336"/>
      <c r="AX432" s="1336"/>
      <c r="BF432" s="1336"/>
      <c r="BG432" s="450"/>
      <c r="BH432" s="450"/>
    </row>
    <row r="433" spans="2:60" ht="12" customHeight="1">
      <c r="D433" s="319"/>
      <c r="AY433" s="1336"/>
      <c r="AZ433" s="1336"/>
    </row>
    <row r="434" spans="2:60" ht="12" customHeight="1">
      <c r="B434" s="316"/>
      <c r="C434" s="1299"/>
      <c r="D434" s="319"/>
      <c r="AB434" s="1330"/>
      <c r="AC434" s="1330"/>
      <c r="AD434" s="1330"/>
      <c r="AE434" s="1330"/>
      <c r="AF434" s="1330"/>
      <c r="AG434" s="1336"/>
      <c r="AH434" s="1336"/>
      <c r="AI434" s="1336"/>
      <c r="AJ434" s="1336"/>
      <c r="AK434" s="1336"/>
      <c r="AL434" s="1336"/>
      <c r="AM434" s="1336"/>
      <c r="AN434" s="1336"/>
      <c r="AO434" s="1336"/>
      <c r="AP434" s="1336"/>
      <c r="AQ434" s="1336"/>
      <c r="AR434" s="1336"/>
      <c r="AS434" s="1336"/>
      <c r="AT434" s="1336"/>
      <c r="AU434" s="1336"/>
      <c r="AV434" s="1336"/>
      <c r="AW434" s="1336"/>
      <c r="AX434" s="1336"/>
      <c r="BF434" s="1336"/>
      <c r="BG434" s="450"/>
      <c r="BH434" s="450"/>
    </row>
    <row r="435" spans="2:60" ht="12" customHeight="1">
      <c r="B435" s="1299"/>
      <c r="C435" s="1299"/>
      <c r="D435" s="319"/>
      <c r="AY435" s="1336"/>
      <c r="AZ435" s="1336"/>
    </row>
    <row r="436" spans="2:60" ht="12" customHeight="1">
      <c r="B436" s="1299"/>
      <c r="C436" s="316"/>
      <c r="D436" s="319"/>
      <c r="AB436" s="1330"/>
      <c r="AC436" s="1330"/>
      <c r="AD436" s="1330"/>
      <c r="AE436" s="1330"/>
      <c r="AF436" s="1330"/>
      <c r="AG436" s="1336"/>
      <c r="AH436" s="1336"/>
      <c r="AI436" s="1336"/>
      <c r="AJ436" s="1336"/>
      <c r="AK436" s="1336"/>
      <c r="AL436" s="1336"/>
      <c r="AM436" s="1336"/>
      <c r="AN436" s="1336"/>
      <c r="AO436" s="1336"/>
      <c r="AP436" s="1336"/>
      <c r="AQ436" s="1336"/>
      <c r="AR436" s="1336"/>
      <c r="AS436" s="1336"/>
      <c r="AT436" s="1336"/>
      <c r="AU436" s="1336"/>
      <c r="AV436" s="1336"/>
      <c r="AW436" s="1336"/>
      <c r="AX436" s="1336"/>
      <c r="BF436" s="1336"/>
      <c r="BG436" s="450"/>
      <c r="BH436" s="450"/>
    </row>
    <row r="437" spans="2:60" ht="12" customHeight="1">
      <c r="B437" s="1299"/>
      <c r="C437" s="1299"/>
      <c r="D437" s="319"/>
      <c r="AY437" s="1336"/>
      <c r="AZ437" s="1336"/>
    </row>
    <row r="438" spans="2:60" ht="12" customHeight="1">
      <c r="B438" s="316"/>
      <c r="C438" s="317"/>
      <c r="D438" s="319"/>
      <c r="AB438" s="1330"/>
      <c r="AC438" s="1330"/>
      <c r="AD438" s="1330"/>
      <c r="AE438" s="1330"/>
      <c r="AF438" s="1330"/>
      <c r="AG438" s="1336"/>
      <c r="AH438" s="1336"/>
      <c r="AI438" s="1336"/>
      <c r="AJ438" s="1336"/>
      <c r="AK438" s="1336"/>
      <c r="AL438" s="1336"/>
      <c r="AM438" s="1336"/>
      <c r="AN438" s="1336"/>
      <c r="AO438" s="1336"/>
      <c r="AP438" s="1336"/>
      <c r="AQ438" s="1336"/>
      <c r="AR438" s="1336"/>
      <c r="AS438" s="1336"/>
      <c r="AT438" s="1336"/>
      <c r="AU438" s="1336"/>
      <c r="AV438" s="1336"/>
      <c r="AW438" s="1336"/>
      <c r="AX438" s="1336"/>
      <c r="BF438" s="1336"/>
      <c r="BG438" s="450"/>
      <c r="BH438" s="450"/>
    </row>
    <row r="439" spans="2:60" ht="12" customHeight="1">
      <c r="D439" s="319"/>
      <c r="AY439" s="1336"/>
      <c r="AZ439" s="1336"/>
    </row>
    <row r="440" spans="2:60" ht="12" customHeight="1">
      <c r="B440" s="316"/>
      <c r="C440" s="317"/>
      <c r="D440" s="319"/>
      <c r="AB440" s="1330"/>
      <c r="AC440" s="1330"/>
      <c r="AD440" s="1330"/>
      <c r="AE440" s="1330"/>
      <c r="AF440" s="1330"/>
      <c r="AG440" s="1336"/>
      <c r="AH440" s="1336"/>
      <c r="AI440" s="1336"/>
      <c r="AJ440" s="1336"/>
      <c r="AK440" s="1336"/>
      <c r="AL440" s="1336"/>
      <c r="AM440" s="1336"/>
      <c r="AN440" s="1336"/>
      <c r="AO440" s="1336"/>
      <c r="AP440" s="1336"/>
      <c r="AQ440" s="1336"/>
      <c r="AR440" s="1336"/>
      <c r="AS440" s="1336"/>
      <c r="AT440" s="1336"/>
      <c r="AU440" s="1336"/>
      <c r="AV440" s="1336"/>
      <c r="AW440" s="1336"/>
      <c r="AX440" s="1336"/>
      <c r="BF440" s="1336"/>
      <c r="BG440" s="450"/>
      <c r="BH440" s="450"/>
    </row>
    <row r="441" spans="2:60" ht="12" customHeight="1">
      <c r="B441" s="316"/>
      <c r="C441" s="317"/>
      <c r="D441" s="319"/>
      <c r="AB441" s="1330"/>
      <c r="AC441" s="1330"/>
      <c r="AD441" s="1330"/>
      <c r="AE441" s="1330"/>
      <c r="AF441" s="1330"/>
      <c r="AG441" s="1336"/>
      <c r="AH441" s="1336"/>
      <c r="AI441" s="1336"/>
      <c r="AJ441" s="1336"/>
      <c r="AK441" s="1336"/>
      <c r="AL441" s="1336"/>
      <c r="AM441" s="1336"/>
      <c r="AN441" s="1336"/>
      <c r="AO441" s="1336"/>
      <c r="AP441" s="1336"/>
      <c r="AQ441" s="1336"/>
      <c r="AR441" s="1336"/>
      <c r="AS441" s="1336"/>
      <c r="AT441" s="1336"/>
      <c r="AU441" s="1336"/>
      <c r="AV441" s="1336"/>
      <c r="AW441" s="1336"/>
      <c r="AX441" s="1336"/>
      <c r="AY441" s="1336"/>
      <c r="AZ441" s="1336"/>
      <c r="BF441" s="1336"/>
      <c r="BG441" s="450"/>
      <c r="BH441" s="450"/>
    </row>
    <row r="442" spans="2:60" ht="12" customHeight="1">
      <c r="B442" s="316"/>
      <c r="C442" s="1299"/>
      <c r="D442" s="319"/>
      <c r="AB442" s="1330"/>
      <c r="AC442" s="1330"/>
      <c r="AD442" s="1330"/>
      <c r="AE442" s="1330"/>
      <c r="AF442" s="1330"/>
      <c r="AG442" s="1336"/>
      <c r="AH442" s="1336"/>
      <c r="AI442" s="1336"/>
      <c r="AJ442" s="1336"/>
      <c r="AK442" s="1336"/>
      <c r="AL442" s="1336"/>
      <c r="AM442" s="1336"/>
      <c r="AN442" s="1336"/>
      <c r="AO442" s="1336"/>
      <c r="AP442" s="1336"/>
      <c r="AQ442" s="1336"/>
      <c r="AR442" s="1336"/>
      <c r="AS442" s="1336"/>
      <c r="AT442" s="1336"/>
      <c r="AU442" s="1336"/>
      <c r="AV442" s="1336"/>
      <c r="AW442" s="1336"/>
      <c r="AX442" s="1336"/>
      <c r="AY442" s="1336"/>
      <c r="AZ442" s="1336"/>
      <c r="BF442" s="1336"/>
      <c r="BG442" s="450"/>
      <c r="BH442" s="450"/>
    </row>
    <row r="443" spans="2:60" ht="12" customHeight="1">
      <c r="B443" s="317"/>
      <c r="C443" s="317"/>
      <c r="D443" s="319"/>
      <c r="AB443" s="1334"/>
      <c r="AC443" s="1334"/>
      <c r="AD443" s="1334"/>
      <c r="AE443" s="1334"/>
      <c r="AF443" s="1334"/>
      <c r="AG443" s="1337"/>
      <c r="AH443" s="1337"/>
      <c r="AI443" s="1337"/>
      <c r="AJ443" s="1337"/>
      <c r="AK443" s="1337"/>
      <c r="AL443" s="1337"/>
      <c r="AM443" s="1337"/>
      <c r="AN443" s="1337"/>
      <c r="AO443" s="1337"/>
      <c r="AP443" s="1337"/>
      <c r="AQ443" s="1337"/>
      <c r="AR443" s="1337"/>
      <c r="AS443" s="1337"/>
      <c r="AT443" s="1337"/>
      <c r="AU443" s="1337"/>
      <c r="AV443" s="1337"/>
      <c r="AW443" s="1337"/>
      <c r="AX443" s="1337"/>
      <c r="AY443" s="1336"/>
      <c r="AZ443" s="1336"/>
      <c r="BF443" s="1337"/>
      <c r="BG443" s="450"/>
      <c r="BH443" s="450"/>
    </row>
    <row r="444" spans="2:60" ht="12" customHeight="1">
      <c r="B444" s="317"/>
      <c r="C444" s="316"/>
      <c r="D444" s="319"/>
      <c r="AB444" s="1330"/>
      <c r="AC444" s="1330"/>
      <c r="AD444" s="1330"/>
      <c r="AE444" s="1330"/>
      <c r="AF444" s="1330"/>
      <c r="AG444" s="1336"/>
      <c r="AH444" s="1336"/>
      <c r="AI444" s="1336"/>
      <c r="AJ444" s="1336"/>
      <c r="AK444" s="1336"/>
      <c r="AL444" s="1336"/>
      <c r="AM444" s="1336"/>
      <c r="AN444" s="1336"/>
      <c r="AO444" s="1336"/>
      <c r="AP444" s="1336"/>
      <c r="AQ444" s="1336"/>
      <c r="AR444" s="1336"/>
      <c r="AS444" s="1336"/>
      <c r="AT444" s="1336"/>
      <c r="AU444" s="1336"/>
      <c r="AV444" s="1336"/>
      <c r="AW444" s="1336"/>
      <c r="AX444" s="1336"/>
      <c r="AY444" s="1337"/>
      <c r="AZ444" s="1337"/>
      <c r="BF444" s="1336"/>
      <c r="BG444" s="450"/>
      <c r="BH444" s="450"/>
    </row>
    <row r="445" spans="2:60" ht="12" customHeight="1">
      <c r="B445" s="317"/>
      <c r="C445" s="317"/>
      <c r="D445" s="319"/>
      <c r="AB445" s="1334"/>
      <c r="AC445" s="1334"/>
      <c r="AD445" s="1334"/>
      <c r="AE445" s="1334"/>
      <c r="AF445" s="1334"/>
      <c r="AG445" s="1337"/>
      <c r="AH445" s="1337"/>
      <c r="AI445" s="1337"/>
      <c r="AJ445" s="1337"/>
      <c r="AK445" s="1337"/>
      <c r="AL445" s="1337"/>
      <c r="AM445" s="1337"/>
      <c r="AN445" s="1337"/>
      <c r="AO445" s="1337"/>
      <c r="AP445" s="1337"/>
      <c r="AQ445" s="1337"/>
      <c r="AR445" s="1337"/>
      <c r="AS445" s="1337"/>
      <c r="AT445" s="1337"/>
      <c r="AU445" s="1337"/>
      <c r="AV445" s="1337"/>
      <c r="AW445" s="1337"/>
      <c r="AX445" s="1337"/>
      <c r="AY445" s="1336"/>
      <c r="AZ445" s="1336"/>
      <c r="BF445" s="1337"/>
      <c r="BG445" s="450"/>
      <c r="BH445" s="450"/>
    </row>
    <row r="446" spans="2:60" ht="12" customHeight="1">
      <c r="B446" s="317"/>
      <c r="C446" s="317"/>
      <c r="D446" s="319"/>
      <c r="AB446" s="1338"/>
      <c r="AC446" s="1338"/>
      <c r="AD446" s="1338"/>
      <c r="AE446" s="1338"/>
      <c r="AF446" s="1338"/>
      <c r="AG446" s="317"/>
      <c r="AH446" s="317"/>
      <c r="AI446" s="317"/>
      <c r="AJ446" s="317"/>
      <c r="AK446" s="317"/>
      <c r="AL446" s="317"/>
      <c r="AM446" s="317"/>
      <c r="AN446" s="317"/>
      <c r="AO446" s="317"/>
      <c r="AP446" s="317"/>
      <c r="AQ446" s="317"/>
      <c r="AR446" s="317"/>
      <c r="AS446" s="317"/>
      <c r="AT446" s="317"/>
      <c r="AU446" s="317"/>
      <c r="AV446" s="317"/>
      <c r="AW446" s="317"/>
      <c r="AX446" s="317"/>
      <c r="BF446" s="317"/>
      <c r="BG446" s="450"/>
      <c r="BH446" s="450"/>
    </row>
    <row r="447" spans="2:60" ht="12" customHeight="1">
      <c r="B447" s="317"/>
      <c r="C447" s="317"/>
      <c r="D447" s="319"/>
      <c r="AB447" s="1338"/>
      <c r="AC447" s="1338"/>
      <c r="AD447" s="1338"/>
      <c r="AE447" s="1338"/>
      <c r="AF447" s="1338"/>
      <c r="AG447" s="317"/>
      <c r="AH447" s="317"/>
      <c r="AI447" s="317"/>
      <c r="AJ447" s="317"/>
      <c r="AK447" s="317"/>
      <c r="AL447" s="317"/>
      <c r="AM447" s="317"/>
      <c r="AN447" s="317"/>
      <c r="AO447" s="317"/>
      <c r="AP447" s="317"/>
      <c r="AQ447" s="317"/>
      <c r="AR447" s="317"/>
      <c r="AS447" s="317"/>
      <c r="AT447" s="317"/>
      <c r="AU447" s="317"/>
      <c r="AV447" s="317"/>
      <c r="AW447" s="317"/>
      <c r="AX447" s="317"/>
      <c r="BF447" s="317"/>
      <c r="BG447" s="450"/>
      <c r="BH447" s="450"/>
    </row>
    <row r="448" spans="2:60" ht="12" customHeight="1">
      <c r="B448" s="317"/>
      <c r="C448" s="317"/>
      <c r="D448" s="319"/>
      <c r="AB448" s="1338"/>
      <c r="AC448" s="1338"/>
      <c r="AD448" s="1338"/>
      <c r="AE448" s="1338"/>
      <c r="AF448" s="1338"/>
      <c r="AG448" s="317"/>
      <c r="AH448" s="317"/>
      <c r="AI448" s="317"/>
      <c r="AJ448" s="317"/>
      <c r="AK448" s="317"/>
      <c r="AL448" s="317"/>
      <c r="AM448" s="317"/>
      <c r="AN448" s="317"/>
      <c r="AO448" s="317"/>
      <c r="AP448" s="317"/>
      <c r="AQ448" s="317"/>
      <c r="AR448" s="317"/>
      <c r="AS448" s="317"/>
      <c r="AT448" s="317"/>
      <c r="AU448" s="317"/>
      <c r="AV448" s="317"/>
      <c r="AW448" s="317"/>
      <c r="AX448" s="317"/>
      <c r="BF448" s="317"/>
      <c r="BG448" s="450"/>
      <c r="BH448" s="450"/>
    </row>
    <row r="449" spans="2:60" ht="12" customHeight="1">
      <c r="B449" s="317"/>
      <c r="C449" s="317"/>
      <c r="D449" s="319"/>
      <c r="AB449" s="1338"/>
      <c r="AC449" s="1338"/>
      <c r="AD449" s="1338"/>
      <c r="AE449" s="1338"/>
      <c r="AF449" s="1338"/>
      <c r="AG449" s="317"/>
      <c r="AH449" s="317"/>
      <c r="AI449" s="317"/>
      <c r="AJ449" s="317"/>
      <c r="AK449" s="317"/>
      <c r="AL449" s="317"/>
      <c r="AM449" s="317"/>
      <c r="AN449" s="317"/>
      <c r="AO449" s="317"/>
      <c r="AP449" s="317"/>
      <c r="AQ449" s="317"/>
      <c r="AR449" s="317"/>
      <c r="AS449" s="317"/>
      <c r="AT449" s="317"/>
      <c r="AU449" s="317"/>
      <c r="AV449" s="317"/>
      <c r="AW449" s="317"/>
      <c r="AX449" s="317"/>
      <c r="BF449" s="317"/>
      <c r="BG449" s="450"/>
      <c r="BH449" s="450"/>
    </row>
    <row r="450" spans="2:60" ht="12" customHeight="1">
      <c r="B450" s="317"/>
      <c r="C450" s="317"/>
      <c r="D450" s="319"/>
      <c r="AB450" s="1338"/>
      <c r="AC450" s="1338"/>
      <c r="AD450" s="1338"/>
      <c r="AE450" s="1338"/>
      <c r="AF450" s="1338"/>
      <c r="AG450" s="317"/>
      <c r="AH450" s="317"/>
      <c r="AI450" s="317"/>
      <c r="AJ450" s="317"/>
      <c r="AK450" s="317"/>
      <c r="AL450" s="317"/>
      <c r="AM450" s="317"/>
      <c r="AN450" s="317"/>
      <c r="AO450" s="317"/>
      <c r="AP450" s="317"/>
      <c r="AQ450" s="317"/>
      <c r="AR450" s="317"/>
      <c r="AS450" s="317"/>
      <c r="AT450" s="317"/>
      <c r="AU450" s="317"/>
      <c r="AV450" s="317"/>
      <c r="AW450" s="317"/>
      <c r="AX450" s="317"/>
      <c r="BF450" s="317"/>
      <c r="BG450" s="450"/>
      <c r="BH450" s="450"/>
    </row>
    <row r="451" spans="2:60" ht="12" customHeight="1">
      <c r="B451" s="317"/>
      <c r="C451" s="317"/>
      <c r="D451" s="319"/>
      <c r="AB451" s="1338"/>
      <c r="AC451" s="1338"/>
      <c r="AD451" s="1338"/>
      <c r="AE451" s="1338"/>
      <c r="AF451" s="1338"/>
      <c r="AG451" s="317"/>
      <c r="AH451" s="317"/>
      <c r="AI451" s="317"/>
      <c r="AJ451" s="317"/>
      <c r="AK451" s="317"/>
      <c r="AL451" s="317"/>
      <c r="AM451" s="317"/>
      <c r="AN451" s="317"/>
      <c r="AO451" s="317"/>
      <c r="AP451" s="317"/>
      <c r="AQ451" s="317"/>
      <c r="AR451" s="317"/>
      <c r="AS451" s="317"/>
      <c r="AT451" s="317"/>
      <c r="AU451" s="317"/>
      <c r="AV451" s="317"/>
      <c r="AW451" s="317"/>
      <c r="AX451" s="317"/>
      <c r="BF451" s="317"/>
      <c r="BG451" s="450"/>
      <c r="BH451" s="450"/>
    </row>
    <row r="452" spans="2:60" ht="12" customHeight="1">
      <c r="B452" s="317"/>
      <c r="C452" s="317"/>
      <c r="D452" s="319"/>
      <c r="AB452" s="1338"/>
      <c r="AC452" s="1338"/>
      <c r="AD452" s="1338"/>
      <c r="AE452" s="1338"/>
      <c r="AF452" s="1338"/>
      <c r="AG452" s="317"/>
      <c r="AH452" s="317"/>
      <c r="AI452" s="317"/>
      <c r="AJ452" s="317"/>
      <c r="AK452" s="317"/>
      <c r="AL452" s="317"/>
      <c r="AM452" s="317"/>
      <c r="AN452" s="317"/>
      <c r="AO452" s="317"/>
      <c r="AP452" s="317"/>
      <c r="AQ452" s="317"/>
      <c r="AR452" s="317"/>
      <c r="AS452" s="317"/>
      <c r="AT452" s="317"/>
      <c r="AU452" s="317"/>
      <c r="AV452" s="317"/>
      <c r="AW452" s="317"/>
      <c r="AX452" s="317"/>
      <c r="BF452" s="317"/>
      <c r="BG452" s="450"/>
      <c r="BH452" s="450"/>
    </row>
    <row r="453" spans="2:60" ht="12" customHeight="1">
      <c r="B453" s="317"/>
      <c r="C453" s="317"/>
      <c r="D453" s="319"/>
      <c r="AB453" s="1338"/>
      <c r="AC453" s="1338"/>
      <c r="AD453" s="1338"/>
      <c r="AE453" s="1338"/>
      <c r="AF453" s="1338"/>
      <c r="AG453" s="317"/>
      <c r="AH453" s="317"/>
      <c r="AI453" s="317"/>
      <c r="AJ453" s="317"/>
      <c r="AK453" s="317"/>
      <c r="AL453" s="317"/>
      <c r="AM453" s="317"/>
      <c r="AN453" s="317"/>
      <c r="AO453" s="317"/>
      <c r="AP453" s="317"/>
      <c r="AQ453" s="317"/>
      <c r="AR453" s="317"/>
      <c r="AS453" s="317"/>
      <c r="AT453" s="317"/>
      <c r="AU453" s="317"/>
      <c r="AV453" s="317"/>
      <c r="AW453" s="317"/>
      <c r="AX453" s="317"/>
      <c r="BF453" s="317"/>
      <c r="BG453" s="450"/>
      <c r="BH453" s="450"/>
    </row>
    <row r="454" spans="2:60" ht="12" customHeight="1">
      <c r="B454" s="317"/>
      <c r="C454" s="317"/>
      <c r="D454" s="319"/>
      <c r="AB454" s="1338"/>
      <c r="AC454" s="1338"/>
      <c r="AD454" s="1338"/>
      <c r="AE454" s="1338"/>
      <c r="AF454" s="1338"/>
      <c r="AG454" s="317"/>
      <c r="AH454" s="317"/>
      <c r="AI454" s="317"/>
      <c r="AJ454" s="317"/>
      <c r="AK454" s="317"/>
      <c r="AL454" s="317"/>
      <c r="AM454" s="317"/>
      <c r="AN454" s="317"/>
      <c r="AO454" s="317"/>
      <c r="AP454" s="317"/>
      <c r="AQ454" s="317"/>
      <c r="AR454" s="317"/>
      <c r="AS454" s="317"/>
      <c r="AT454" s="317"/>
      <c r="AU454" s="317"/>
      <c r="AV454" s="317"/>
      <c r="AW454" s="317"/>
      <c r="AX454" s="317"/>
      <c r="BF454" s="317"/>
      <c r="BG454" s="450"/>
      <c r="BH454" s="450"/>
    </row>
    <row r="455" spans="2:60" ht="12" customHeight="1">
      <c r="B455" s="317"/>
      <c r="C455" s="317"/>
      <c r="D455" s="319"/>
      <c r="AB455" s="1338"/>
      <c r="AC455" s="1338"/>
      <c r="AD455" s="1338"/>
      <c r="AE455" s="1338"/>
      <c r="AF455" s="1338"/>
      <c r="AG455" s="317"/>
      <c r="AH455" s="317"/>
      <c r="AI455" s="317"/>
      <c r="AJ455" s="317"/>
      <c r="AK455" s="317"/>
      <c r="AL455" s="317"/>
      <c r="AM455" s="317"/>
      <c r="AN455" s="317"/>
      <c r="AO455" s="317"/>
      <c r="AP455" s="317"/>
      <c r="AQ455" s="317"/>
      <c r="AR455" s="317"/>
      <c r="AS455" s="317"/>
      <c r="AT455" s="317"/>
      <c r="AU455" s="317"/>
      <c r="AV455" s="317"/>
      <c r="AW455" s="317"/>
      <c r="AX455" s="317"/>
      <c r="BF455" s="317"/>
      <c r="BG455" s="450"/>
      <c r="BH455" s="450"/>
    </row>
    <row r="456" spans="2:60" ht="12" customHeight="1">
      <c r="B456" s="317"/>
      <c r="C456" s="317"/>
      <c r="D456" s="319"/>
      <c r="AB456" s="1338"/>
      <c r="AC456" s="1338"/>
      <c r="AD456" s="1338"/>
      <c r="AE456" s="1338"/>
      <c r="AF456" s="1338"/>
      <c r="AG456" s="317"/>
      <c r="AH456" s="317"/>
      <c r="AI456" s="317"/>
      <c r="AJ456" s="317"/>
      <c r="AK456" s="317"/>
      <c r="AL456" s="317"/>
      <c r="AM456" s="317"/>
      <c r="AN456" s="317"/>
      <c r="AO456" s="317"/>
      <c r="AP456" s="317"/>
      <c r="AQ456" s="317"/>
      <c r="AR456" s="317"/>
      <c r="AS456" s="317"/>
      <c r="AT456" s="317"/>
      <c r="AU456" s="317"/>
      <c r="AV456" s="317"/>
      <c r="AW456" s="317"/>
      <c r="AX456" s="317"/>
      <c r="BF456" s="317"/>
      <c r="BG456" s="450"/>
      <c r="BH456" s="450"/>
    </row>
    <row r="457" spans="2:60" ht="12" customHeight="1">
      <c r="B457" s="317"/>
      <c r="C457" s="317"/>
      <c r="D457" s="319"/>
      <c r="AB457" s="1338"/>
      <c r="AC457" s="1338"/>
      <c r="AD457" s="1338"/>
      <c r="AE457" s="1338"/>
      <c r="AF457" s="1338"/>
      <c r="AG457" s="317"/>
      <c r="AH457" s="317"/>
      <c r="AI457" s="317"/>
      <c r="AJ457" s="317"/>
      <c r="AK457" s="317"/>
      <c r="AL457" s="317"/>
      <c r="AM457" s="317"/>
      <c r="AN457" s="317"/>
      <c r="AO457" s="317"/>
      <c r="AP457" s="317"/>
      <c r="AQ457" s="317"/>
      <c r="AR457" s="317"/>
      <c r="AS457" s="317"/>
      <c r="AT457" s="317"/>
      <c r="AU457" s="317"/>
      <c r="AV457" s="317"/>
      <c r="AW457" s="317"/>
      <c r="AX457" s="317"/>
      <c r="BF457" s="317"/>
      <c r="BG457" s="450"/>
      <c r="BH457" s="450"/>
    </row>
    <row r="458" spans="2:60" ht="12" customHeight="1">
      <c r="B458" s="317"/>
      <c r="C458" s="317"/>
      <c r="D458" s="319"/>
      <c r="AB458" s="1338"/>
      <c r="AC458" s="1338"/>
      <c r="AD458" s="1338"/>
      <c r="AE458" s="1338"/>
      <c r="AF458" s="1338"/>
      <c r="AG458" s="317"/>
      <c r="AH458" s="317"/>
      <c r="AI458" s="317"/>
      <c r="AJ458" s="317"/>
      <c r="AK458" s="317"/>
      <c r="AL458" s="317"/>
      <c r="AM458" s="317"/>
      <c r="AN458" s="317"/>
      <c r="AO458" s="317"/>
      <c r="AP458" s="317"/>
      <c r="AQ458" s="317"/>
      <c r="AR458" s="317"/>
      <c r="AS458" s="317"/>
      <c r="AT458" s="317"/>
      <c r="AU458" s="317"/>
      <c r="AV458" s="317"/>
      <c r="AW458" s="317"/>
      <c r="AX458" s="317"/>
      <c r="BF458" s="317"/>
      <c r="BG458" s="450"/>
      <c r="BH458" s="450"/>
    </row>
    <row r="459" spans="2:60" ht="12" customHeight="1">
      <c r="B459" s="317"/>
      <c r="C459" s="317"/>
      <c r="D459" s="319"/>
      <c r="AB459" s="1338"/>
      <c r="AC459" s="1338"/>
      <c r="AD459" s="1338"/>
      <c r="AE459" s="1338"/>
      <c r="AF459" s="1338"/>
      <c r="AG459" s="317"/>
      <c r="AH459" s="317"/>
      <c r="AI459" s="317"/>
      <c r="AJ459" s="317"/>
      <c r="AK459" s="317"/>
      <c r="AL459" s="317"/>
      <c r="AM459" s="317"/>
      <c r="AN459" s="317"/>
      <c r="AO459" s="317"/>
      <c r="AP459" s="317"/>
      <c r="AQ459" s="317"/>
      <c r="AR459" s="317"/>
      <c r="AS459" s="317"/>
      <c r="AT459" s="317"/>
      <c r="AU459" s="317"/>
      <c r="AV459" s="317"/>
      <c r="AW459" s="317"/>
      <c r="AX459" s="317"/>
      <c r="BF459" s="317"/>
      <c r="BG459" s="450"/>
      <c r="BH459" s="450"/>
    </row>
    <row r="460" spans="2:60" ht="12" customHeight="1">
      <c r="B460" s="317"/>
      <c r="C460" s="317"/>
      <c r="D460" s="319"/>
      <c r="AB460" s="1338"/>
      <c r="AC460" s="1338"/>
      <c r="AD460" s="1338"/>
      <c r="AE460" s="1338"/>
      <c r="AF460" s="1338"/>
      <c r="AG460" s="317"/>
      <c r="AH460" s="317"/>
      <c r="AI460" s="317"/>
      <c r="AJ460" s="317"/>
      <c r="AK460" s="317"/>
      <c r="AL460" s="317"/>
      <c r="AM460" s="317"/>
      <c r="AN460" s="317"/>
      <c r="AO460" s="317"/>
      <c r="AP460" s="317"/>
      <c r="AQ460" s="317"/>
      <c r="AR460" s="317"/>
      <c r="AS460" s="317"/>
      <c r="AT460" s="317"/>
      <c r="AU460" s="317"/>
      <c r="AV460" s="317"/>
      <c r="AW460" s="317"/>
      <c r="AX460" s="317"/>
      <c r="BF460" s="317"/>
      <c r="BG460" s="450"/>
      <c r="BH460" s="450"/>
    </row>
    <row r="461" spans="2:60" ht="12" customHeight="1">
      <c r="B461" s="317"/>
      <c r="C461" s="317"/>
      <c r="D461" s="319"/>
      <c r="AB461" s="1338"/>
      <c r="AC461" s="1338"/>
      <c r="AD461" s="1338"/>
      <c r="AE461" s="1338"/>
      <c r="AF461" s="1338"/>
      <c r="AG461" s="317"/>
      <c r="AH461" s="317"/>
      <c r="AI461" s="317"/>
      <c r="AJ461" s="317"/>
      <c r="AK461" s="317"/>
      <c r="AL461" s="317"/>
      <c r="AM461" s="317"/>
      <c r="AN461" s="317"/>
      <c r="AO461" s="317"/>
      <c r="AP461" s="317"/>
      <c r="AQ461" s="317"/>
      <c r="AR461" s="317"/>
      <c r="AS461" s="317"/>
      <c r="AT461" s="317"/>
      <c r="AU461" s="317"/>
      <c r="AV461" s="317"/>
      <c r="AW461" s="317"/>
      <c r="AX461" s="317"/>
      <c r="BF461" s="317"/>
      <c r="BG461" s="450"/>
      <c r="BH461" s="450"/>
    </row>
    <row r="462" spans="2:60" ht="12" customHeight="1">
      <c r="B462" s="317"/>
      <c r="C462" s="317"/>
      <c r="D462" s="319"/>
      <c r="AB462" s="1338"/>
      <c r="AC462" s="1338"/>
      <c r="AD462" s="1338"/>
      <c r="AE462" s="1338"/>
      <c r="AF462" s="1338"/>
      <c r="AG462" s="317"/>
      <c r="AH462" s="317"/>
      <c r="AI462" s="317"/>
      <c r="AJ462" s="317"/>
      <c r="AK462" s="317"/>
      <c r="AL462" s="317"/>
      <c r="AM462" s="317"/>
      <c r="AN462" s="317"/>
      <c r="AO462" s="317"/>
      <c r="AP462" s="317"/>
      <c r="AQ462" s="317"/>
      <c r="AR462" s="317"/>
      <c r="AS462" s="317"/>
      <c r="AT462" s="317"/>
      <c r="AU462" s="317"/>
      <c r="AV462" s="317"/>
      <c r="AW462" s="317"/>
      <c r="AX462" s="317"/>
      <c r="BF462" s="317"/>
      <c r="BG462" s="450"/>
      <c r="BH462" s="450"/>
    </row>
    <row r="463" spans="2:60" ht="12" customHeight="1">
      <c r="B463" s="317"/>
      <c r="C463" s="317"/>
      <c r="D463" s="319"/>
      <c r="AB463" s="1338"/>
      <c r="AC463" s="1338"/>
      <c r="AD463" s="1338"/>
      <c r="AE463" s="1338"/>
      <c r="AF463" s="1338"/>
      <c r="AG463" s="317"/>
      <c r="AH463" s="317"/>
      <c r="AI463" s="317"/>
      <c r="AJ463" s="317"/>
      <c r="AK463" s="317"/>
      <c r="AL463" s="317"/>
      <c r="AM463" s="317"/>
      <c r="AN463" s="317"/>
      <c r="AO463" s="317"/>
      <c r="AP463" s="317"/>
      <c r="AQ463" s="317"/>
      <c r="AR463" s="317"/>
      <c r="AS463" s="317"/>
      <c r="AT463" s="317"/>
      <c r="AU463" s="317"/>
      <c r="AV463" s="317"/>
      <c r="AW463" s="317"/>
      <c r="AX463" s="317"/>
      <c r="BF463" s="317"/>
      <c r="BG463" s="450"/>
      <c r="BH463" s="450"/>
    </row>
    <row r="464" spans="2:60" ht="12" customHeight="1">
      <c r="B464" s="317"/>
      <c r="C464" s="317"/>
      <c r="D464" s="319"/>
      <c r="AB464" s="1338"/>
      <c r="AC464" s="1338"/>
      <c r="AD464" s="1338"/>
      <c r="AE464" s="1338"/>
      <c r="AF464" s="1338"/>
      <c r="AG464" s="317"/>
      <c r="AH464" s="317"/>
      <c r="AI464" s="317"/>
      <c r="AJ464" s="317"/>
      <c r="AK464" s="317"/>
      <c r="AL464" s="317"/>
      <c r="AM464" s="317"/>
      <c r="AN464" s="317"/>
      <c r="AO464" s="317"/>
      <c r="AP464" s="317"/>
      <c r="AQ464" s="317"/>
      <c r="AR464" s="317"/>
      <c r="AS464" s="317"/>
      <c r="AT464" s="317"/>
      <c r="AU464" s="317"/>
      <c r="AV464" s="317"/>
      <c r="AW464" s="317"/>
      <c r="AX464" s="317"/>
      <c r="BF464" s="317"/>
      <c r="BG464" s="450"/>
      <c r="BH464" s="450"/>
    </row>
    <row r="465" spans="2:60" ht="12" customHeight="1">
      <c r="B465" s="317"/>
      <c r="C465" s="317"/>
      <c r="D465" s="319"/>
      <c r="AB465" s="1338"/>
      <c r="AC465" s="1338"/>
      <c r="AD465" s="1338"/>
      <c r="AE465" s="1338"/>
      <c r="AF465" s="1338"/>
      <c r="AG465" s="317"/>
      <c r="AH465" s="317"/>
      <c r="AI465" s="317"/>
      <c r="AJ465" s="317"/>
      <c r="AK465" s="317"/>
      <c r="AL465" s="317"/>
      <c r="AM465" s="317"/>
      <c r="AN465" s="317"/>
      <c r="AO465" s="317"/>
      <c r="AP465" s="317"/>
      <c r="AQ465" s="317"/>
      <c r="AR465" s="317"/>
      <c r="AS465" s="317"/>
      <c r="AT465" s="317"/>
      <c r="AU465" s="317"/>
      <c r="AV465" s="317"/>
      <c r="AW465" s="317"/>
      <c r="AX465" s="317"/>
      <c r="BF465" s="317"/>
      <c r="BG465" s="450"/>
      <c r="BH465" s="450"/>
    </row>
    <row r="466" spans="2:60" ht="12" customHeight="1">
      <c r="B466" s="317"/>
      <c r="C466" s="317"/>
      <c r="D466" s="319"/>
      <c r="AB466" s="1338"/>
      <c r="AC466" s="1338"/>
      <c r="AD466" s="1338"/>
      <c r="AE466" s="1338"/>
      <c r="AF466" s="1338"/>
      <c r="AG466" s="317"/>
      <c r="AH466" s="317"/>
      <c r="AI466" s="317"/>
      <c r="AJ466" s="317"/>
      <c r="AK466" s="317"/>
      <c r="AL466" s="317"/>
      <c r="AM466" s="317"/>
      <c r="AN466" s="317"/>
      <c r="AO466" s="317"/>
      <c r="AP466" s="317"/>
      <c r="AQ466" s="317"/>
      <c r="AR466" s="317"/>
      <c r="AS466" s="317"/>
      <c r="AT466" s="317"/>
      <c r="AU466" s="317"/>
      <c r="AV466" s="317"/>
      <c r="AW466" s="317"/>
      <c r="AX466" s="317"/>
      <c r="BF466" s="317"/>
      <c r="BG466" s="450"/>
      <c r="BH466" s="450"/>
    </row>
    <row r="467" spans="2:60" ht="12" customHeight="1">
      <c r="B467" s="317"/>
      <c r="C467" s="317"/>
      <c r="D467" s="319"/>
      <c r="AB467" s="1338"/>
      <c r="AC467" s="1338"/>
      <c r="AD467" s="1338"/>
      <c r="AE467" s="1338"/>
      <c r="AF467" s="1338"/>
      <c r="AG467" s="317"/>
      <c r="AH467" s="317"/>
      <c r="AI467" s="317"/>
      <c r="AJ467" s="317"/>
      <c r="AK467" s="317"/>
      <c r="AL467" s="317"/>
      <c r="AM467" s="317"/>
      <c r="AN467" s="317"/>
      <c r="AO467" s="317"/>
      <c r="AP467" s="317"/>
      <c r="AQ467" s="317"/>
      <c r="AR467" s="317"/>
      <c r="AS467" s="317"/>
      <c r="AT467" s="317"/>
      <c r="AU467" s="317"/>
      <c r="AV467" s="317"/>
      <c r="AW467" s="317"/>
      <c r="AX467" s="317"/>
      <c r="BF467" s="317"/>
      <c r="BG467" s="450"/>
      <c r="BH467" s="450"/>
    </row>
    <row r="468" spans="2:60" ht="12" customHeight="1">
      <c r="B468" s="317"/>
      <c r="C468" s="317"/>
      <c r="D468" s="319"/>
      <c r="AB468" s="1338"/>
      <c r="AC468" s="1338"/>
      <c r="AD468" s="1338"/>
      <c r="AE468" s="1338"/>
      <c r="AF468" s="1338"/>
      <c r="AG468" s="317"/>
      <c r="AH468" s="317"/>
      <c r="AI468" s="317"/>
      <c r="AJ468" s="317"/>
      <c r="AK468" s="317"/>
      <c r="AL468" s="317"/>
      <c r="AM468" s="317"/>
      <c r="AN468" s="317"/>
      <c r="AO468" s="317"/>
      <c r="AP468" s="317"/>
      <c r="AQ468" s="317"/>
      <c r="AR468" s="317"/>
      <c r="AS468" s="317"/>
      <c r="AT468" s="317"/>
      <c r="AU468" s="317"/>
      <c r="AV468" s="317"/>
      <c r="AW468" s="317"/>
      <c r="AX468" s="317"/>
      <c r="BF468" s="317"/>
      <c r="BG468" s="450"/>
      <c r="BH468" s="450"/>
    </row>
    <row r="469" spans="2:60" ht="12" customHeight="1">
      <c r="B469" s="317"/>
      <c r="C469" s="317"/>
      <c r="D469" s="319"/>
      <c r="AB469" s="1338"/>
      <c r="AC469" s="1338"/>
      <c r="AD469" s="1338"/>
      <c r="AE469" s="1338"/>
      <c r="AF469" s="1338"/>
      <c r="AG469" s="317"/>
      <c r="AH469" s="317"/>
      <c r="AI469" s="317"/>
      <c r="AJ469" s="317"/>
      <c r="AK469" s="317"/>
      <c r="AL469" s="317"/>
      <c r="AM469" s="317"/>
      <c r="AN469" s="317"/>
      <c r="AO469" s="317"/>
      <c r="AP469" s="317"/>
      <c r="AQ469" s="317"/>
      <c r="AR469" s="317"/>
      <c r="AS469" s="317"/>
      <c r="AT469" s="317"/>
      <c r="AU469" s="317"/>
      <c r="AV469" s="317"/>
      <c r="AW469" s="317"/>
      <c r="AX469" s="317"/>
      <c r="BF469" s="317"/>
      <c r="BG469" s="450"/>
      <c r="BH469" s="450"/>
    </row>
    <row r="470" spans="2:60" ht="12" customHeight="1">
      <c r="B470" s="317"/>
      <c r="C470" s="317"/>
      <c r="D470" s="319"/>
      <c r="AB470" s="1338"/>
      <c r="AC470" s="1338"/>
      <c r="AD470" s="1338"/>
      <c r="AE470" s="1338"/>
      <c r="AF470" s="1338"/>
      <c r="AG470" s="317"/>
      <c r="AH470" s="317"/>
      <c r="AI470" s="317"/>
      <c r="AJ470" s="317"/>
      <c r="AK470" s="317"/>
      <c r="AL470" s="317"/>
      <c r="AM470" s="317"/>
      <c r="AN470" s="317"/>
      <c r="AO470" s="317"/>
      <c r="AP470" s="317"/>
      <c r="AQ470" s="317"/>
      <c r="AR470" s="317"/>
      <c r="AS470" s="317"/>
      <c r="AT470" s="317"/>
      <c r="AU470" s="317"/>
      <c r="AV470" s="317"/>
      <c r="AW470" s="317"/>
      <c r="AX470" s="317"/>
      <c r="BF470" s="317"/>
      <c r="BG470" s="450"/>
      <c r="BH470" s="450"/>
    </row>
    <row r="471" spans="2:60" ht="12" customHeight="1">
      <c r="B471" s="317"/>
      <c r="C471" s="317"/>
      <c r="D471" s="319"/>
      <c r="AB471" s="1338"/>
      <c r="AC471" s="1338"/>
      <c r="AD471" s="1338"/>
      <c r="AE471" s="1338"/>
      <c r="AF471" s="1338"/>
      <c r="AG471" s="317"/>
      <c r="AH471" s="317"/>
      <c r="AI471" s="317"/>
      <c r="AJ471" s="317"/>
      <c r="AK471" s="317"/>
      <c r="AL471" s="317"/>
      <c r="AM471" s="317"/>
      <c r="AN471" s="317"/>
      <c r="AO471" s="317"/>
      <c r="AP471" s="317"/>
      <c r="AQ471" s="317"/>
      <c r="AR471" s="317"/>
      <c r="AS471" s="317"/>
      <c r="AT471" s="317"/>
      <c r="AU471" s="317"/>
      <c r="AV471" s="317"/>
      <c r="AW471" s="317"/>
      <c r="AX471" s="317"/>
      <c r="BF471" s="317"/>
      <c r="BG471" s="450"/>
      <c r="BH471" s="450"/>
    </row>
    <row r="472" spans="2:60" ht="12" customHeight="1">
      <c r="B472" s="317"/>
      <c r="C472" s="317"/>
      <c r="D472" s="319"/>
      <c r="AB472" s="1338"/>
      <c r="AC472" s="1338"/>
      <c r="AD472" s="1338"/>
      <c r="AE472" s="1338"/>
      <c r="AF472" s="1338"/>
      <c r="AG472" s="317"/>
      <c r="AH472" s="317"/>
      <c r="AI472" s="317"/>
      <c r="AJ472" s="317"/>
      <c r="AK472" s="317"/>
      <c r="AL472" s="317"/>
      <c r="AM472" s="317"/>
      <c r="AN472" s="317"/>
      <c r="AO472" s="317"/>
      <c r="AP472" s="317"/>
      <c r="AQ472" s="317"/>
      <c r="AR472" s="317"/>
      <c r="AS472" s="317"/>
      <c r="AT472" s="317"/>
      <c r="AU472" s="317"/>
      <c r="AV472" s="317"/>
      <c r="AW472" s="317"/>
      <c r="AX472" s="317"/>
      <c r="BF472" s="317"/>
      <c r="BG472" s="450"/>
      <c r="BH472" s="450"/>
    </row>
    <row r="473" spans="2:60" ht="12" customHeight="1">
      <c r="B473" s="317"/>
      <c r="C473" s="317"/>
      <c r="D473" s="319"/>
      <c r="AB473" s="1338"/>
      <c r="AC473" s="1338"/>
      <c r="AD473" s="1338"/>
      <c r="AE473" s="1338"/>
      <c r="AF473" s="1338"/>
      <c r="AG473" s="317"/>
      <c r="AH473" s="317"/>
      <c r="AI473" s="317"/>
      <c r="AJ473" s="317"/>
      <c r="AK473" s="317"/>
      <c r="AL473" s="317"/>
      <c r="AM473" s="317"/>
      <c r="AN473" s="317"/>
      <c r="AO473" s="317"/>
      <c r="AP473" s="317"/>
      <c r="AQ473" s="317"/>
      <c r="AR473" s="317"/>
      <c r="AS473" s="317"/>
      <c r="AT473" s="317"/>
      <c r="AU473" s="317"/>
      <c r="AV473" s="317"/>
      <c r="AW473" s="317"/>
      <c r="AX473" s="317"/>
      <c r="BF473" s="317"/>
      <c r="BG473" s="450"/>
      <c r="BH473" s="450"/>
    </row>
    <row r="474" spans="2:60" ht="12" customHeight="1">
      <c r="B474" s="317"/>
      <c r="C474" s="317"/>
      <c r="D474" s="319"/>
      <c r="AB474" s="1338"/>
      <c r="AC474" s="1338"/>
      <c r="AD474" s="1338"/>
      <c r="AE474" s="1338"/>
      <c r="AF474" s="1338"/>
      <c r="AG474" s="317"/>
      <c r="AH474" s="317"/>
      <c r="AI474" s="317"/>
      <c r="AJ474" s="317"/>
      <c r="AK474" s="317"/>
      <c r="AL474" s="317"/>
      <c r="AM474" s="317"/>
      <c r="AN474" s="317"/>
      <c r="AO474" s="317"/>
      <c r="AP474" s="317"/>
      <c r="AQ474" s="317"/>
      <c r="AR474" s="317"/>
      <c r="AS474" s="317"/>
      <c r="AT474" s="317"/>
      <c r="AU474" s="317"/>
      <c r="AV474" s="317"/>
      <c r="AW474" s="317"/>
      <c r="AX474" s="317"/>
      <c r="BF474" s="317"/>
      <c r="BG474" s="450"/>
      <c r="BH474" s="450"/>
    </row>
    <row r="475" spans="2:60" ht="12" customHeight="1">
      <c r="B475" s="317"/>
      <c r="C475" s="317"/>
      <c r="D475" s="319"/>
      <c r="AB475" s="1338"/>
      <c r="AC475" s="1338"/>
      <c r="AD475" s="1338"/>
      <c r="AE475" s="1338"/>
      <c r="AF475" s="1338"/>
      <c r="AG475" s="317"/>
      <c r="AH475" s="317"/>
      <c r="AI475" s="317"/>
      <c r="AJ475" s="317"/>
      <c r="AK475" s="317"/>
      <c r="AL475" s="317"/>
      <c r="AM475" s="317"/>
      <c r="AN475" s="317"/>
      <c r="AO475" s="317"/>
      <c r="AP475" s="317"/>
      <c r="AQ475" s="317"/>
      <c r="AR475" s="317"/>
      <c r="AS475" s="317"/>
      <c r="AT475" s="317"/>
      <c r="AU475" s="317"/>
      <c r="AV475" s="317"/>
      <c r="AW475" s="317"/>
      <c r="AX475" s="317"/>
      <c r="BF475" s="317"/>
      <c r="BG475" s="450"/>
      <c r="BH475" s="450"/>
    </row>
    <row r="476" spans="2:60" ht="12" customHeight="1">
      <c r="B476" s="317"/>
      <c r="C476" s="317"/>
      <c r="D476" s="319"/>
      <c r="AB476" s="1338"/>
      <c r="AC476" s="1338"/>
      <c r="AD476" s="1338"/>
      <c r="AE476" s="1338"/>
      <c r="AF476" s="1338"/>
      <c r="AG476" s="317"/>
      <c r="AH476" s="317"/>
      <c r="AI476" s="317"/>
      <c r="AJ476" s="317"/>
      <c r="AK476" s="317"/>
      <c r="AL476" s="317"/>
      <c r="AM476" s="317"/>
      <c r="AN476" s="317"/>
      <c r="AO476" s="317"/>
      <c r="AP476" s="317"/>
      <c r="AQ476" s="317"/>
      <c r="AR476" s="317"/>
      <c r="AS476" s="317"/>
      <c r="AT476" s="317"/>
      <c r="AU476" s="317"/>
      <c r="AV476" s="317"/>
      <c r="AW476" s="317"/>
      <c r="AX476" s="317"/>
      <c r="BF476" s="317"/>
      <c r="BG476" s="450"/>
      <c r="BH476" s="450"/>
    </row>
    <row r="477" spans="2:60" ht="12" customHeight="1">
      <c r="B477" s="317"/>
      <c r="C477" s="317"/>
      <c r="D477" s="319"/>
      <c r="AB477" s="1338"/>
      <c r="AC477" s="1338"/>
      <c r="AD477" s="1338"/>
      <c r="AE477" s="1338"/>
      <c r="AF477" s="1338"/>
      <c r="AG477" s="317"/>
      <c r="AH477" s="317"/>
      <c r="AI477" s="317"/>
      <c r="AJ477" s="317"/>
      <c r="AK477" s="317"/>
      <c r="AL477" s="317"/>
      <c r="AM477" s="317"/>
      <c r="AN477" s="317"/>
      <c r="AO477" s="317"/>
      <c r="AP477" s="317"/>
      <c r="AQ477" s="317"/>
      <c r="AR477" s="317"/>
      <c r="AS477" s="317"/>
      <c r="AT477" s="317"/>
      <c r="AU477" s="317"/>
      <c r="AV477" s="317"/>
      <c r="AW477" s="317"/>
      <c r="AX477" s="317"/>
      <c r="BF477" s="317"/>
      <c r="BG477" s="450"/>
      <c r="BH477" s="450"/>
    </row>
    <row r="478" spans="2:60" ht="12" customHeight="1">
      <c r="B478" s="317"/>
      <c r="C478" s="317"/>
      <c r="D478" s="319"/>
      <c r="AB478" s="1338"/>
      <c r="AC478" s="1338"/>
      <c r="AD478" s="1338"/>
      <c r="AE478" s="1338"/>
      <c r="AF478" s="1338"/>
      <c r="AG478" s="317"/>
      <c r="AH478" s="317"/>
      <c r="AI478" s="317"/>
      <c r="AJ478" s="317"/>
      <c r="AK478" s="317"/>
      <c r="AL478" s="317"/>
      <c r="AM478" s="317"/>
      <c r="AN478" s="317"/>
      <c r="AO478" s="317"/>
      <c r="AP478" s="317"/>
      <c r="AQ478" s="317"/>
      <c r="AR478" s="317"/>
      <c r="AS478" s="317"/>
      <c r="AT478" s="317"/>
      <c r="AU478" s="317"/>
      <c r="AV478" s="317"/>
      <c r="AW478" s="317"/>
      <c r="AX478" s="317"/>
      <c r="BF478" s="317"/>
      <c r="BG478" s="450"/>
      <c r="BH478" s="450"/>
    </row>
    <row r="479" spans="2:60" ht="12" customHeight="1">
      <c r="B479" s="317"/>
      <c r="C479" s="317"/>
      <c r="D479" s="319"/>
      <c r="AB479" s="1338"/>
      <c r="AC479" s="1338"/>
      <c r="AD479" s="1338"/>
      <c r="AE479" s="1338"/>
      <c r="AF479" s="1338"/>
      <c r="AG479" s="317"/>
      <c r="AH479" s="317"/>
      <c r="AI479" s="317"/>
      <c r="AJ479" s="317"/>
      <c r="AK479" s="317"/>
      <c r="AL479" s="317"/>
      <c r="AM479" s="317"/>
      <c r="AN479" s="317"/>
      <c r="AO479" s="317"/>
      <c r="AP479" s="317"/>
      <c r="AQ479" s="317"/>
      <c r="AR479" s="317"/>
      <c r="AS479" s="317"/>
      <c r="AT479" s="317"/>
      <c r="AU479" s="317"/>
      <c r="AV479" s="317"/>
      <c r="AW479" s="317"/>
      <c r="AX479" s="317"/>
      <c r="BF479" s="317"/>
      <c r="BG479" s="450"/>
      <c r="BH479" s="450"/>
    </row>
    <row r="480" spans="2:60" ht="12" customHeight="1">
      <c r="B480" s="317"/>
      <c r="C480" s="317"/>
      <c r="D480" s="319"/>
      <c r="AB480" s="1338"/>
      <c r="AC480" s="1338"/>
      <c r="AD480" s="1338"/>
      <c r="AE480" s="1338"/>
      <c r="AF480" s="1338"/>
      <c r="AG480" s="317"/>
      <c r="AH480" s="317"/>
      <c r="AI480" s="317"/>
      <c r="AJ480" s="317"/>
      <c r="AK480" s="317"/>
      <c r="AL480" s="317"/>
      <c r="AM480" s="317"/>
      <c r="AN480" s="317"/>
      <c r="AO480" s="317"/>
      <c r="AP480" s="317"/>
      <c r="AQ480" s="317"/>
      <c r="AR480" s="317"/>
      <c r="AS480" s="317"/>
      <c r="AT480" s="317"/>
      <c r="AU480" s="317"/>
      <c r="AV480" s="317"/>
      <c r="AW480" s="317"/>
      <c r="AX480" s="317"/>
      <c r="BF480" s="317"/>
      <c r="BG480" s="450"/>
      <c r="BH480" s="450"/>
    </row>
    <row r="481" spans="2:60" ht="12" customHeight="1">
      <c r="B481" s="317"/>
      <c r="C481" s="317"/>
      <c r="D481" s="319"/>
      <c r="AB481" s="1338"/>
      <c r="AC481" s="1338"/>
      <c r="AD481" s="1338"/>
      <c r="AE481" s="1338"/>
      <c r="AF481" s="1338"/>
      <c r="AG481" s="317"/>
      <c r="AH481" s="317"/>
      <c r="AI481" s="317"/>
      <c r="AJ481" s="317"/>
      <c r="AK481" s="317"/>
      <c r="AL481" s="317"/>
      <c r="AM481" s="317"/>
      <c r="AN481" s="317"/>
      <c r="AO481" s="317"/>
      <c r="AP481" s="317"/>
      <c r="AQ481" s="317"/>
      <c r="AR481" s="317"/>
      <c r="AS481" s="317"/>
      <c r="AT481" s="317"/>
      <c r="AU481" s="317"/>
      <c r="AV481" s="317"/>
      <c r="AW481" s="317"/>
      <c r="AX481" s="317"/>
      <c r="BF481" s="317"/>
      <c r="BG481" s="450"/>
      <c r="BH481" s="450"/>
    </row>
    <row r="482" spans="2:60" ht="12" customHeight="1">
      <c r="B482" s="317"/>
      <c r="C482" s="317"/>
      <c r="D482" s="319"/>
      <c r="AB482" s="1338"/>
      <c r="AC482" s="1338"/>
      <c r="AD482" s="1338"/>
      <c r="AE482" s="1338"/>
      <c r="AF482" s="1338"/>
      <c r="AG482" s="317"/>
      <c r="AH482" s="317"/>
      <c r="AI482" s="317"/>
      <c r="AJ482" s="317"/>
      <c r="AK482" s="317"/>
      <c r="AL482" s="317"/>
      <c r="AM482" s="317"/>
      <c r="AN482" s="317"/>
      <c r="AO482" s="317"/>
      <c r="AP482" s="317"/>
      <c r="AQ482" s="317"/>
      <c r="AR482" s="317"/>
      <c r="AS482" s="317"/>
      <c r="AT482" s="317"/>
      <c r="AU482" s="317"/>
      <c r="AV482" s="317"/>
      <c r="AW482" s="317"/>
      <c r="AX482" s="317"/>
      <c r="BF482" s="317"/>
      <c r="BG482" s="450"/>
      <c r="BH482" s="450"/>
    </row>
    <row r="483" spans="2:60" ht="12" customHeight="1">
      <c r="B483" s="317"/>
      <c r="C483" s="317"/>
      <c r="D483" s="319"/>
      <c r="AB483" s="1338"/>
      <c r="AC483" s="1338"/>
      <c r="AD483" s="1338"/>
      <c r="AE483" s="1338"/>
      <c r="AF483" s="1338"/>
      <c r="AG483" s="317"/>
      <c r="AH483" s="317"/>
      <c r="AI483" s="317"/>
      <c r="AJ483" s="317"/>
      <c r="AK483" s="317"/>
      <c r="AL483" s="317"/>
      <c r="AM483" s="317"/>
      <c r="AN483" s="317"/>
      <c r="AO483" s="317"/>
      <c r="AP483" s="317"/>
      <c r="AQ483" s="317"/>
      <c r="AR483" s="317"/>
      <c r="AS483" s="317"/>
      <c r="AT483" s="317"/>
      <c r="AU483" s="317"/>
      <c r="AV483" s="317"/>
      <c r="AW483" s="317"/>
      <c r="AX483" s="317"/>
      <c r="BF483" s="317"/>
      <c r="BG483" s="450"/>
      <c r="BH483" s="450"/>
    </row>
    <row r="484" spans="2:60" ht="12" customHeight="1">
      <c r="B484" s="317"/>
      <c r="C484" s="317"/>
      <c r="D484" s="319"/>
      <c r="AB484" s="1338"/>
      <c r="AC484" s="1338"/>
      <c r="AD484" s="1338"/>
      <c r="AE484" s="1338"/>
      <c r="AF484" s="1338"/>
      <c r="AG484" s="317"/>
      <c r="AH484" s="317"/>
      <c r="AI484" s="317"/>
      <c r="AJ484" s="317"/>
      <c r="AK484" s="317"/>
      <c r="AL484" s="317"/>
      <c r="AM484" s="317"/>
      <c r="AN484" s="317"/>
      <c r="AO484" s="317"/>
      <c r="AP484" s="317"/>
      <c r="AQ484" s="317"/>
      <c r="AR484" s="317"/>
      <c r="AS484" s="317"/>
      <c r="AT484" s="317"/>
      <c r="AU484" s="317"/>
      <c r="AV484" s="317"/>
      <c r="AW484" s="317"/>
      <c r="AX484" s="317"/>
      <c r="BF484" s="317"/>
      <c r="BG484" s="450"/>
      <c r="BH484" s="450"/>
    </row>
    <row r="485" spans="2:60" ht="12" customHeight="1">
      <c r="B485" s="317"/>
      <c r="C485" s="317"/>
      <c r="D485" s="319"/>
      <c r="AB485" s="1338"/>
      <c r="AC485" s="1338"/>
      <c r="AD485" s="1338"/>
      <c r="AE485" s="1338"/>
      <c r="AF485" s="1338"/>
      <c r="AG485" s="317"/>
      <c r="AH485" s="317"/>
      <c r="AI485" s="317"/>
      <c r="AJ485" s="317"/>
      <c r="AK485" s="317"/>
      <c r="AL485" s="317"/>
      <c r="AM485" s="317"/>
      <c r="AN485" s="317"/>
      <c r="AO485" s="317"/>
      <c r="AP485" s="317"/>
      <c r="AQ485" s="317"/>
      <c r="AR485" s="317"/>
      <c r="AS485" s="317"/>
      <c r="AT485" s="317"/>
      <c r="AU485" s="317"/>
      <c r="AV485" s="317"/>
      <c r="AW485" s="317"/>
      <c r="AX485" s="317"/>
      <c r="BF485" s="317"/>
      <c r="BG485" s="450"/>
      <c r="BH485" s="450"/>
    </row>
    <row r="486" spans="2:60" ht="12" customHeight="1">
      <c r="B486" s="317"/>
      <c r="C486" s="317"/>
      <c r="D486" s="319"/>
      <c r="AB486" s="1338"/>
      <c r="AC486" s="1338"/>
      <c r="AD486" s="1338"/>
      <c r="AE486" s="1338"/>
      <c r="AF486" s="1338"/>
      <c r="AG486" s="317"/>
      <c r="AH486" s="317"/>
      <c r="AI486" s="317"/>
      <c r="AJ486" s="317"/>
      <c r="AK486" s="317"/>
      <c r="AL486" s="317"/>
      <c r="AM486" s="317"/>
      <c r="AN486" s="317"/>
      <c r="AO486" s="317"/>
      <c r="AP486" s="317"/>
      <c r="AQ486" s="317"/>
      <c r="AR486" s="317"/>
      <c r="AS486" s="317"/>
      <c r="AT486" s="317"/>
      <c r="AU486" s="317"/>
      <c r="AV486" s="317"/>
      <c r="AW486" s="317"/>
      <c r="AX486" s="317"/>
      <c r="BF486" s="317"/>
      <c r="BG486" s="450"/>
      <c r="BH486" s="450"/>
    </row>
    <row r="487" spans="2:60" ht="12" customHeight="1">
      <c r="B487" s="317"/>
      <c r="C487" s="317"/>
      <c r="D487" s="319"/>
      <c r="AB487" s="1338"/>
      <c r="AC487" s="1338"/>
      <c r="AD487" s="1338"/>
      <c r="AE487" s="1338"/>
      <c r="AF487" s="1338"/>
      <c r="AG487" s="317"/>
      <c r="AH487" s="317"/>
      <c r="AI487" s="317"/>
      <c r="AJ487" s="317"/>
      <c r="AK487" s="317"/>
      <c r="AL487" s="317"/>
      <c r="AM487" s="317"/>
      <c r="AN487" s="317"/>
      <c r="AO487" s="317"/>
      <c r="AP487" s="317"/>
      <c r="AQ487" s="317"/>
      <c r="AR487" s="317"/>
      <c r="AS487" s="317"/>
      <c r="AT487" s="317"/>
      <c r="AU487" s="317"/>
      <c r="AV487" s="317"/>
      <c r="AW487" s="317"/>
      <c r="AX487" s="317"/>
      <c r="BF487" s="317"/>
      <c r="BG487" s="450"/>
      <c r="BH487" s="450"/>
    </row>
    <row r="488" spans="2:60" ht="12" customHeight="1">
      <c r="B488" s="317"/>
      <c r="C488" s="317"/>
      <c r="D488" s="319"/>
      <c r="AB488" s="1338"/>
      <c r="AC488" s="1338"/>
      <c r="AD488" s="1338"/>
      <c r="AE488" s="1338"/>
      <c r="AF488" s="1338"/>
      <c r="AG488" s="317"/>
      <c r="AH488" s="317"/>
      <c r="AI488" s="317"/>
      <c r="AJ488" s="317"/>
      <c r="AK488" s="317"/>
      <c r="AL488" s="317"/>
      <c r="AM488" s="317"/>
      <c r="AN488" s="317"/>
      <c r="AO488" s="317"/>
      <c r="AP488" s="317"/>
      <c r="AQ488" s="317"/>
      <c r="AR488" s="317"/>
      <c r="AS488" s="317"/>
      <c r="AT488" s="317"/>
      <c r="AU488" s="317"/>
      <c r="AV488" s="317"/>
      <c r="AW488" s="317"/>
      <c r="AX488" s="317"/>
      <c r="BF488" s="317"/>
      <c r="BG488" s="450"/>
      <c r="BH488" s="450"/>
    </row>
    <row r="489" spans="2:60" ht="12" customHeight="1">
      <c r="B489" s="317"/>
      <c r="C489" s="317"/>
      <c r="D489" s="319"/>
      <c r="AB489" s="1338"/>
      <c r="AC489" s="1338"/>
      <c r="AD489" s="1338"/>
      <c r="AE489" s="1338"/>
      <c r="AF489" s="1338"/>
      <c r="AG489" s="317"/>
      <c r="AH489" s="317"/>
      <c r="AI489" s="317"/>
      <c r="AJ489" s="317"/>
      <c r="AK489" s="317"/>
      <c r="AL489" s="317"/>
      <c r="AM489" s="317"/>
      <c r="AN489" s="317"/>
      <c r="AO489" s="317"/>
      <c r="AP489" s="317"/>
      <c r="AQ489" s="317"/>
      <c r="AR489" s="317"/>
      <c r="AS489" s="317"/>
      <c r="AT489" s="317"/>
      <c r="AU489" s="317"/>
      <c r="AV489" s="317"/>
      <c r="AW489" s="317"/>
      <c r="AX489" s="317"/>
      <c r="BF489" s="317"/>
      <c r="BG489" s="450"/>
      <c r="BH489" s="450"/>
    </row>
    <row r="490" spans="2:60" ht="12" customHeight="1">
      <c r="B490" s="317"/>
      <c r="C490" s="317"/>
      <c r="D490" s="319"/>
      <c r="AB490" s="1338"/>
      <c r="AC490" s="1338"/>
      <c r="AD490" s="1338"/>
      <c r="AE490" s="1338"/>
      <c r="AF490" s="1338"/>
      <c r="AG490" s="317"/>
      <c r="AH490" s="317"/>
      <c r="AI490" s="317"/>
      <c r="AJ490" s="317"/>
      <c r="AK490" s="317"/>
      <c r="AL490" s="317"/>
      <c r="AM490" s="317"/>
      <c r="AN490" s="317"/>
      <c r="AO490" s="317"/>
      <c r="AP490" s="317"/>
      <c r="AQ490" s="317"/>
      <c r="AR490" s="317"/>
      <c r="AS490" s="317"/>
      <c r="AT490" s="317"/>
      <c r="AU490" s="317"/>
      <c r="AV490" s="317"/>
      <c r="AW490" s="317"/>
      <c r="AX490" s="317"/>
      <c r="BF490" s="317"/>
      <c r="BG490" s="450"/>
      <c r="BH490" s="450"/>
    </row>
    <row r="491" spans="2:60" ht="12" customHeight="1">
      <c r="B491" s="317"/>
      <c r="C491" s="317"/>
      <c r="D491" s="319"/>
      <c r="AB491" s="1338"/>
      <c r="AC491" s="1338"/>
      <c r="AD491" s="1338"/>
      <c r="AE491" s="1338"/>
      <c r="AF491" s="1338"/>
      <c r="AG491" s="317"/>
      <c r="AH491" s="317"/>
      <c r="AI491" s="317"/>
      <c r="AJ491" s="317"/>
      <c r="AK491" s="317"/>
      <c r="AL491" s="317"/>
      <c r="AM491" s="317"/>
      <c r="AN491" s="317"/>
      <c r="AO491" s="317"/>
      <c r="AP491" s="317"/>
      <c r="AQ491" s="317"/>
      <c r="AR491" s="317"/>
      <c r="AS491" s="317"/>
      <c r="AT491" s="317"/>
      <c r="AU491" s="317"/>
      <c r="AV491" s="317"/>
      <c r="AW491" s="317"/>
      <c r="AX491" s="317"/>
      <c r="BF491" s="317"/>
      <c r="BG491" s="450"/>
      <c r="BH491" s="450"/>
    </row>
    <row r="492" spans="2:60" ht="12" customHeight="1">
      <c r="B492" s="317"/>
      <c r="C492" s="317"/>
      <c r="D492" s="319"/>
      <c r="AB492" s="1338"/>
      <c r="AC492" s="1338"/>
      <c r="AD492" s="1338"/>
      <c r="AE492" s="1338"/>
      <c r="AF492" s="1338"/>
      <c r="AG492" s="317"/>
      <c r="AH492" s="317"/>
      <c r="AI492" s="317"/>
      <c r="AJ492" s="317"/>
      <c r="AK492" s="317"/>
      <c r="AL492" s="317"/>
      <c r="AM492" s="317"/>
      <c r="AN492" s="317"/>
      <c r="AO492" s="317"/>
      <c r="AP492" s="317"/>
      <c r="AQ492" s="317"/>
      <c r="AR492" s="317"/>
      <c r="AS492" s="317"/>
      <c r="AT492" s="317"/>
      <c r="AU492" s="317"/>
      <c r="AV492" s="317"/>
      <c r="AW492" s="317"/>
      <c r="AX492" s="317"/>
      <c r="BF492" s="317"/>
      <c r="BG492" s="450"/>
      <c r="BH492" s="450"/>
    </row>
    <row r="493" spans="2:60" ht="12" customHeight="1">
      <c r="B493" s="317"/>
      <c r="C493" s="317"/>
      <c r="D493" s="319"/>
      <c r="AB493" s="1338"/>
      <c r="AC493" s="1338"/>
      <c r="AD493" s="1338"/>
      <c r="AE493" s="1338"/>
      <c r="AF493" s="1338"/>
      <c r="AG493" s="317"/>
      <c r="AH493" s="317"/>
      <c r="AI493" s="317"/>
      <c r="AJ493" s="317"/>
      <c r="AK493" s="317"/>
      <c r="AL493" s="317"/>
      <c r="AM493" s="317"/>
      <c r="AN493" s="317"/>
      <c r="AO493" s="317"/>
      <c r="AP493" s="317"/>
      <c r="AQ493" s="317"/>
      <c r="AR493" s="317"/>
      <c r="AS493" s="317"/>
      <c r="AT493" s="317"/>
      <c r="AU493" s="317"/>
      <c r="AV493" s="317"/>
      <c r="AW493" s="317"/>
      <c r="AX493" s="317"/>
      <c r="BF493" s="317"/>
      <c r="BG493" s="450"/>
      <c r="BH493" s="450"/>
    </row>
    <row r="494" spans="2:60" ht="12" customHeight="1">
      <c r="B494" s="317"/>
      <c r="C494" s="317"/>
      <c r="D494" s="319"/>
      <c r="AB494" s="1338"/>
      <c r="AC494" s="1338"/>
      <c r="AD494" s="1338"/>
      <c r="AE494" s="1338"/>
      <c r="AF494" s="1338"/>
      <c r="AG494" s="317"/>
      <c r="AH494" s="317"/>
      <c r="AI494" s="317"/>
      <c r="AJ494" s="317"/>
      <c r="AK494" s="317"/>
      <c r="AL494" s="317"/>
      <c r="AM494" s="317"/>
      <c r="AN494" s="317"/>
      <c r="AO494" s="317"/>
      <c r="AP494" s="317"/>
      <c r="AQ494" s="317"/>
      <c r="AR494" s="317"/>
      <c r="AS494" s="317"/>
      <c r="AT494" s="317"/>
      <c r="AU494" s="317"/>
      <c r="AV494" s="317"/>
      <c r="AW494" s="317"/>
      <c r="AX494" s="317"/>
      <c r="BF494" s="317"/>
      <c r="BG494" s="450"/>
      <c r="BH494" s="450"/>
    </row>
    <row r="495" spans="2:60" ht="12" customHeight="1">
      <c r="B495" s="317"/>
      <c r="C495" s="317"/>
      <c r="D495" s="319"/>
      <c r="AB495" s="1338"/>
      <c r="AC495" s="1338"/>
      <c r="AD495" s="1338"/>
      <c r="AE495" s="1338"/>
      <c r="AF495" s="1338"/>
      <c r="AG495" s="317"/>
      <c r="AH495" s="317"/>
      <c r="AI495" s="317"/>
      <c r="AJ495" s="317"/>
      <c r="AK495" s="317"/>
      <c r="AL495" s="317"/>
      <c r="AM495" s="317"/>
      <c r="AN495" s="317"/>
      <c r="AO495" s="317"/>
      <c r="AP495" s="317"/>
      <c r="AQ495" s="317"/>
      <c r="AR495" s="317"/>
      <c r="AS495" s="317"/>
      <c r="AT495" s="317"/>
      <c r="AU495" s="317"/>
      <c r="AV495" s="317"/>
      <c r="AW495" s="317"/>
      <c r="AX495" s="317"/>
      <c r="BF495" s="317"/>
      <c r="BG495" s="450"/>
      <c r="BH495" s="450"/>
    </row>
    <row r="496" spans="2:60" ht="12" customHeight="1">
      <c r="B496" s="317"/>
      <c r="C496" s="317"/>
      <c r="D496" s="319"/>
      <c r="AB496" s="1338"/>
      <c r="AC496" s="1338"/>
      <c r="AD496" s="1338"/>
      <c r="AE496" s="1338"/>
      <c r="AF496" s="1338"/>
      <c r="AG496" s="317"/>
      <c r="AH496" s="317"/>
      <c r="AI496" s="317"/>
      <c r="AJ496" s="317"/>
      <c r="AK496" s="317"/>
      <c r="AL496" s="317"/>
      <c r="AM496" s="317"/>
      <c r="AN496" s="317"/>
      <c r="AO496" s="317"/>
      <c r="AP496" s="317"/>
      <c r="AQ496" s="317"/>
      <c r="AR496" s="317"/>
      <c r="AS496" s="317"/>
      <c r="AT496" s="317"/>
      <c r="AU496" s="317"/>
      <c r="AV496" s="317"/>
      <c r="AW496" s="317"/>
      <c r="AX496" s="317"/>
      <c r="BF496" s="317"/>
      <c r="BG496" s="450"/>
      <c r="BH496" s="450"/>
    </row>
    <row r="497" spans="2:60" ht="12" customHeight="1">
      <c r="B497" s="317"/>
      <c r="C497" s="317"/>
      <c r="D497" s="319"/>
      <c r="AB497" s="1338"/>
      <c r="AC497" s="1338"/>
      <c r="AD497" s="1338"/>
      <c r="AE497" s="1338"/>
      <c r="AF497" s="1338"/>
      <c r="AG497" s="317"/>
      <c r="AH497" s="317"/>
      <c r="AI497" s="317"/>
      <c r="AJ497" s="317"/>
      <c r="AK497" s="317"/>
      <c r="AL497" s="317"/>
      <c r="AM497" s="317"/>
      <c r="AN497" s="317"/>
      <c r="AO497" s="317"/>
      <c r="AP497" s="317"/>
      <c r="AQ497" s="317"/>
      <c r="AR497" s="317"/>
      <c r="AS497" s="317"/>
      <c r="AT497" s="317"/>
      <c r="AU497" s="317"/>
      <c r="AV497" s="317"/>
      <c r="AW497" s="317"/>
      <c r="AX497" s="317"/>
      <c r="BF497" s="317"/>
      <c r="BG497" s="450"/>
      <c r="BH497" s="450"/>
    </row>
    <row r="498" spans="2:60" ht="12" customHeight="1">
      <c r="B498" s="317"/>
      <c r="C498" s="317"/>
      <c r="D498" s="319"/>
      <c r="AB498" s="1338"/>
      <c r="AC498" s="1338"/>
      <c r="AD498" s="1338"/>
      <c r="AE498" s="1338"/>
      <c r="AF498" s="1338"/>
      <c r="AG498" s="317"/>
      <c r="AH498" s="317"/>
      <c r="AI498" s="317"/>
      <c r="AJ498" s="317"/>
      <c r="AK498" s="317"/>
      <c r="AL498" s="317"/>
      <c r="AM498" s="317"/>
      <c r="AN498" s="317"/>
      <c r="AO498" s="317"/>
      <c r="AP498" s="317"/>
      <c r="AQ498" s="317"/>
      <c r="AR498" s="317"/>
      <c r="AS498" s="317"/>
      <c r="AT498" s="317"/>
      <c r="AU498" s="317"/>
      <c r="AV498" s="317"/>
      <c r="AW498" s="317"/>
      <c r="AX498" s="317"/>
      <c r="BF498" s="317"/>
      <c r="BG498" s="450"/>
      <c r="BH498" s="450"/>
    </row>
    <row r="499" spans="2:60" ht="12" customHeight="1">
      <c r="B499" s="317"/>
      <c r="C499" s="317"/>
      <c r="D499" s="319"/>
      <c r="AB499" s="1338"/>
      <c r="AC499" s="1338"/>
      <c r="AD499" s="1338"/>
      <c r="AE499" s="1338"/>
      <c r="AF499" s="1338"/>
      <c r="AG499" s="317"/>
      <c r="AH499" s="317"/>
      <c r="AI499" s="317"/>
      <c r="AJ499" s="317"/>
      <c r="AK499" s="317"/>
      <c r="AL499" s="317"/>
      <c r="AM499" s="317"/>
      <c r="AN499" s="317"/>
      <c r="AO499" s="317"/>
      <c r="AP499" s="317"/>
      <c r="AQ499" s="317"/>
      <c r="AR499" s="317"/>
      <c r="AS499" s="317"/>
      <c r="AT499" s="317"/>
      <c r="AU499" s="317"/>
      <c r="AV499" s="317"/>
      <c r="AW499" s="317"/>
      <c r="AX499" s="317"/>
      <c r="BF499" s="317"/>
      <c r="BG499" s="450"/>
      <c r="BH499" s="450"/>
    </row>
    <row r="500" spans="2:60" ht="12" customHeight="1">
      <c r="B500" s="317"/>
      <c r="C500" s="317"/>
      <c r="D500" s="319"/>
      <c r="AB500" s="1338"/>
      <c r="AC500" s="1338"/>
      <c r="AD500" s="1338"/>
      <c r="AE500" s="1338"/>
      <c r="AF500" s="1338"/>
      <c r="AG500" s="317"/>
      <c r="AH500" s="317"/>
      <c r="AI500" s="317"/>
      <c r="AJ500" s="317"/>
      <c r="AK500" s="317"/>
      <c r="AL500" s="317"/>
      <c r="AM500" s="317"/>
      <c r="AN500" s="317"/>
      <c r="AO500" s="317"/>
      <c r="AP500" s="317"/>
      <c r="AQ500" s="317"/>
      <c r="AR500" s="317"/>
      <c r="AS500" s="317"/>
      <c r="AT500" s="317"/>
      <c r="AU500" s="317"/>
      <c r="AV500" s="317"/>
      <c r="AW500" s="317"/>
      <c r="AX500" s="317"/>
      <c r="BF500" s="317"/>
      <c r="BG500" s="450"/>
      <c r="BH500" s="450"/>
    </row>
    <row r="501" spans="2:60" ht="12" customHeight="1">
      <c r="B501" s="317"/>
      <c r="C501" s="317"/>
      <c r="D501" s="319"/>
      <c r="AB501" s="1338"/>
      <c r="AC501" s="1338"/>
      <c r="AD501" s="1338"/>
      <c r="AE501" s="1338"/>
      <c r="AF501" s="1338"/>
      <c r="AG501" s="317"/>
      <c r="AH501" s="317"/>
      <c r="AI501" s="317"/>
      <c r="AJ501" s="317"/>
      <c r="AK501" s="317"/>
      <c r="AL501" s="317"/>
      <c r="AM501" s="317"/>
      <c r="AN501" s="317"/>
      <c r="AO501" s="317"/>
      <c r="AP501" s="317"/>
      <c r="AQ501" s="317"/>
      <c r="AR501" s="317"/>
      <c r="AS501" s="317"/>
      <c r="AT501" s="317"/>
      <c r="AU501" s="317"/>
      <c r="AV501" s="317"/>
      <c r="AW501" s="317"/>
      <c r="AX501" s="317"/>
      <c r="BF501" s="317"/>
      <c r="BG501" s="450"/>
      <c r="BH501" s="450"/>
    </row>
    <row r="502" spans="2:60" ht="12" customHeight="1">
      <c r="B502" s="317"/>
      <c r="C502" s="317"/>
      <c r="D502" s="319"/>
      <c r="AB502" s="1338"/>
      <c r="AC502" s="1338"/>
      <c r="AD502" s="1338"/>
      <c r="AE502" s="1338"/>
      <c r="AF502" s="1338"/>
      <c r="AG502" s="317"/>
      <c r="AH502" s="317"/>
      <c r="AI502" s="317"/>
      <c r="AJ502" s="317"/>
      <c r="AK502" s="317"/>
      <c r="AL502" s="317"/>
      <c r="AM502" s="317"/>
      <c r="AN502" s="317"/>
      <c r="AO502" s="317"/>
      <c r="AP502" s="317"/>
      <c r="AQ502" s="317"/>
      <c r="AR502" s="317"/>
      <c r="AS502" s="317"/>
      <c r="AT502" s="317"/>
      <c r="AU502" s="317"/>
      <c r="AV502" s="317"/>
      <c r="AW502" s="317"/>
      <c r="AX502" s="317"/>
      <c r="BF502" s="317"/>
      <c r="BG502" s="450"/>
      <c r="BH502" s="450"/>
    </row>
    <row r="503" spans="2:60" ht="12" customHeight="1">
      <c r="B503" s="317"/>
      <c r="C503" s="317"/>
      <c r="D503" s="319"/>
      <c r="AB503" s="1338"/>
      <c r="AC503" s="1338"/>
      <c r="AD503" s="1338"/>
      <c r="AE503" s="1338"/>
      <c r="AF503" s="1338"/>
      <c r="AG503" s="317"/>
      <c r="AH503" s="317"/>
      <c r="AI503" s="317"/>
      <c r="AJ503" s="317"/>
      <c r="AK503" s="317"/>
      <c r="AL503" s="317"/>
      <c r="AM503" s="317"/>
      <c r="AN503" s="317"/>
      <c r="AO503" s="317"/>
      <c r="AP503" s="317"/>
      <c r="AQ503" s="317"/>
      <c r="AR503" s="317"/>
      <c r="AS503" s="317"/>
      <c r="AT503" s="317"/>
      <c r="AU503" s="317"/>
      <c r="AV503" s="317"/>
      <c r="AW503" s="317"/>
      <c r="AX503" s="317"/>
      <c r="BF503" s="317"/>
      <c r="BG503" s="450"/>
      <c r="BH503" s="450"/>
    </row>
    <row r="504" spans="2:60" ht="12" customHeight="1">
      <c r="B504" s="317"/>
      <c r="C504" s="317"/>
      <c r="D504" s="319"/>
      <c r="AB504" s="1338"/>
      <c r="AC504" s="1338"/>
      <c r="AD504" s="1338"/>
      <c r="AE504" s="1338"/>
      <c r="AF504" s="1338"/>
      <c r="AG504" s="317"/>
      <c r="AH504" s="317"/>
      <c r="AI504" s="317"/>
      <c r="AJ504" s="317"/>
      <c r="AK504" s="317"/>
      <c r="AL504" s="317"/>
      <c r="AM504" s="317"/>
      <c r="AN504" s="317"/>
      <c r="AO504" s="317"/>
      <c r="AP504" s="317"/>
      <c r="AQ504" s="317"/>
      <c r="AR504" s="317"/>
      <c r="AS504" s="317"/>
      <c r="AT504" s="317"/>
      <c r="AU504" s="317"/>
      <c r="AV504" s="317"/>
      <c r="AW504" s="317"/>
      <c r="AX504" s="317"/>
      <c r="BF504" s="317"/>
      <c r="BG504" s="450"/>
      <c r="BH504" s="450"/>
    </row>
    <row r="505" spans="2:60" ht="12" customHeight="1">
      <c r="B505" s="317"/>
      <c r="C505" s="317"/>
      <c r="D505" s="319"/>
      <c r="AB505" s="1338"/>
      <c r="AC505" s="1338"/>
      <c r="AD505" s="1338"/>
      <c r="AE505" s="1338"/>
      <c r="AF505" s="1338"/>
      <c r="AG505" s="317"/>
      <c r="AH505" s="317"/>
      <c r="AI505" s="317"/>
      <c r="AJ505" s="317"/>
      <c r="AK505" s="317"/>
      <c r="AL505" s="317"/>
      <c r="AM505" s="317"/>
      <c r="AN505" s="317"/>
      <c r="AO505" s="317"/>
      <c r="AP505" s="317"/>
      <c r="AQ505" s="317"/>
      <c r="AR505" s="317"/>
      <c r="AS505" s="317"/>
      <c r="AT505" s="317"/>
      <c r="AU505" s="317"/>
      <c r="AV505" s="317"/>
      <c r="AW505" s="317"/>
      <c r="AX505" s="317"/>
      <c r="BF505" s="317"/>
      <c r="BG505" s="450"/>
      <c r="BH505" s="450"/>
    </row>
    <row r="506" spans="2:60" ht="12" customHeight="1">
      <c r="B506" s="317"/>
      <c r="C506" s="317"/>
      <c r="D506" s="319"/>
      <c r="AB506" s="1338"/>
      <c r="AC506" s="1338"/>
      <c r="AD506" s="1338"/>
      <c r="AE506" s="1338"/>
      <c r="AF506" s="1338"/>
      <c r="AG506" s="317"/>
      <c r="AH506" s="317"/>
      <c r="AI506" s="317"/>
      <c r="AJ506" s="317"/>
      <c r="AK506" s="317"/>
      <c r="AL506" s="317"/>
      <c r="AM506" s="317"/>
      <c r="AN506" s="317"/>
      <c r="AO506" s="317"/>
      <c r="AP506" s="317"/>
      <c r="AQ506" s="317"/>
      <c r="AR506" s="317"/>
      <c r="AS506" s="317"/>
      <c r="AT506" s="317"/>
      <c r="AU506" s="317"/>
      <c r="AV506" s="317"/>
      <c r="AW506" s="317"/>
      <c r="AX506" s="317"/>
      <c r="BF506" s="317"/>
      <c r="BG506" s="450"/>
      <c r="BH506" s="450"/>
    </row>
    <row r="507" spans="2:60" ht="12" customHeight="1">
      <c r="B507" s="317"/>
      <c r="C507" s="317"/>
      <c r="D507" s="319"/>
      <c r="AB507" s="1338"/>
      <c r="AC507" s="1338"/>
      <c r="AD507" s="1338"/>
      <c r="AE507" s="1338"/>
      <c r="AF507" s="1338"/>
      <c r="AG507" s="317"/>
      <c r="AH507" s="317"/>
      <c r="AI507" s="317"/>
      <c r="AJ507" s="317"/>
      <c r="AK507" s="317"/>
      <c r="AL507" s="317"/>
      <c r="AM507" s="317"/>
      <c r="AN507" s="317"/>
      <c r="AO507" s="317"/>
      <c r="AP507" s="317"/>
      <c r="AQ507" s="317"/>
      <c r="AR507" s="317"/>
      <c r="AS507" s="317"/>
      <c r="AT507" s="317"/>
      <c r="AU507" s="317"/>
      <c r="AV507" s="317"/>
      <c r="AW507" s="317"/>
      <c r="AX507" s="317"/>
      <c r="BF507" s="317"/>
      <c r="BG507" s="450"/>
      <c r="BH507" s="450"/>
    </row>
    <row r="508" spans="2:60" ht="12" customHeight="1">
      <c r="B508" s="317"/>
      <c r="C508" s="317"/>
      <c r="D508" s="319"/>
      <c r="AB508" s="1338"/>
      <c r="AC508" s="1338"/>
      <c r="AD508" s="1338"/>
      <c r="AE508" s="1338"/>
      <c r="AF508" s="1338"/>
      <c r="AG508" s="317"/>
      <c r="AH508" s="317"/>
      <c r="AI508" s="317"/>
      <c r="AJ508" s="317"/>
      <c r="AK508" s="317"/>
      <c r="AL508" s="317"/>
      <c r="AM508" s="317"/>
      <c r="AN508" s="317"/>
      <c r="AO508" s="317"/>
      <c r="AP508" s="317"/>
      <c r="AQ508" s="317"/>
      <c r="AR508" s="317"/>
      <c r="AS508" s="317"/>
      <c r="AT508" s="317"/>
      <c r="AU508" s="317"/>
      <c r="AV508" s="317"/>
      <c r="AW508" s="317"/>
      <c r="AX508" s="317"/>
      <c r="BF508" s="317"/>
      <c r="BG508" s="450"/>
      <c r="BH508" s="450"/>
    </row>
    <row r="509" spans="2:60" ht="12" customHeight="1">
      <c r="B509" s="317"/>
      <c r="C509" s="317"/>
      <c r="D509" s="319"/>
      <c r="AB509" s="1338"/>
      <c r="AC509" s="1338"/>
      <c r="AD509" s="1338"/>
      <c r="AE509" s="1338"/>
      <c r="AF509" s="1338"/>
      <c r="AG509" s="317"/>
      <c r="AH509" s="317"/>
      <c r="AI509" s="317"/>
      <c r="AJ509" s="317"/>
      <c r="AK509" s="317"/>
      <c r="AL509" s="317"/>
      <c r="AM509" s="317"/>
      <c r="AN509" s="317"/>
      <c r="AO509" s="317"/>
      <c r="AP509" s="317"/>
      <c r="AQ509" s="317"/>
      <c r="AR509" s="317"/>
      <c r="AS509" s="317"/>
      <c r="AT509" s="317"/>
      <c r="AU509" s="317"/>
      <c r="AV509" s="317"/>
      <c r="AW509" s="317"/>
      <c r="AX509" s="317"/>
      <c r="BF509" s="317"/>
      <c r="BG509" s="450"/>
      <c r="BH509" s="450"/>
    </row>
    <row r="510" spans="2:60" ht="12" customHeight="1">
      <c r="B510" s="317"/>
      <c r="C510" s="317"/>
      <c r="D510" s="319"/>
      <c r="AB510" s="1338"/>
      <c r="AC510" s="1338"/>
      <c r="AD510" s="1338"/>
      <c r="AE510" s="1338"/>
      <c r="AF510" s="1338"/>
      <c r="AG510" s="317"/>
      <c r="AH510" s="317"/>
      <c r="AI510" s="317"/>
      <c r="AJ510" s="317"/>
      <c r="AK510" s="317"/>
      <c r="AL510" s="317"/>
      <c r="AM510" s="317"/>
      <c r="AN510" s="317"/>
      <c r="AO510" s="317"/>
      <c r="AP510" s="317"/>
      <c r="AQ510" s="317"/>
      <c r="AR510" s="317"/>
      <c r="AS510" s="317"/>
      <c r="AT510" s="317"/>
      <c r="AU510" s="317"/>
      <c r="AV510" s="317"/>
      <c r="AW510" s="317"/>
      <c r="AX510" s="317"/>
      <c r="BF510" s="317"/>
      <c r="BG510" s="450"/>
      <c r="BH510" s="450"/>
    </row>
    <row r="511" spans="2:60" ht="12" customHeight="1">
      <c r="B511" s="317"/>
      <c r="C511" s="317"/>
      <c r="D511" s="319"/>
      <c r="AB511" s="1338"/>
      <c r="AC511" s="1338"/>
      <c r="AD511" s="1338"/>
      <c r="AE511" s="1338"/>
      <c r="AF511" s="1338"/>
      <c r="AG511" s="317"/>
      <c r="AH511" s="317"/>
      <c r="AI511" s="317"/>
      <c r="AJ511" s="317"/>
      <c r="AK511" s="317"/>
      <c r="AL511" s="317"/>
      <c r="AM511" s="317"/>
      <c r="AN511" s="317"/>
      <c r="AO511" s="317"/>
      <c r="AP511" s="317"/>
      <c r="AQ511" s="317"/>
      <c r="AR511" s="317"/>
      <c r="AS511" s="317"/>
      <c r="AT511" s="317"/>
      <c r="AU511" s="317"/>
      <c r="AV511" s="317"/>
      <c r="AW511" s="317"/>
      <c r="AX511" s="317"/>
      <c r="BF511" s="317"/>
      <c r="BG511" s="450"/>
      <c r="BH511" s="450"/>
    </row>
    <row r="512" spans="2:60" ht="12" customHeight="1">
      <c r="B512" s="317"/>
      <c r="C512" s="317"/>
      <c r="D512" s="319"/>
      <c r="AB512" s="1338"/>
      <c r="AC512" s="1338"/>
      <c r="AD512" s="1338"/>
      <c r="AE512" s="1338"/>
      <c r="AF512" s="1338"/>
      <c r="AG512" s="317"/>
      <c r="AH512" s="317"/>
      <c r="AI512" s="317"/>
      <c r="AJ512" s="317"/>
      <c r="AK512" s="317"/>
      <c r="AL512" s="317"/>
      <c r="AM512" s="317"/>
      <c r="AN512" s="317"/>
      <c r="AO512" s="317"/>
      <c r="AP512" s="317"/>
      <c r="AQ512" s="317"/>
      <c r="AR512" s="317"/>
      <c r="AS512" s="317"/>
      <c r="AT512" s="317"/>
      <c r="AU512" s="317"/>
      <c r="AV512" s="317"/>
      <c r="AW512" s="317"/>
      <c r="AX512" s="317"/>
      <c r="BF512" s="317"/>
      <c r="BG512" s="450"/>
      <c r="BH512" s="450"/>
    </row>
    <row r="513" spans="2:60" ht="12" customHeight="1">
      <c r="B513" s="317"/>
      <c r="C513" s="317"/>
      <c r="D513" s="319"/>
      <c r="AB513" s="1338"/>
      <c r="AC513" s="1338"/>
      <c r="AD513" s="1338"/>
      <c r="AE513" s="1338"/>
      <c r="AF513" s="1338"/>
      <c r="AG513" s="317"/>
      <c r="AH513" s="317"/>
      <c r="AI513" s="317"/>
      <c r="AJ513" s="317"/>
      <c r="AK513" s="317"/>
      <c r="AL513" s="317"/>
      <c r="AM513" s="317"/>
      <c r="AN513" s="317"/>
      <c r="AO513" s="317"/>
      <c r="AP513" s="317"/>
      <c r="AQ513" s="317"/>
      <c r="AR513" s="317"/>
      <c r="AS513" s="317"/>
      <c r="AT513" s="317"/>
      <c r="AU513" s="317"/>
      <c r="AV513" s="317"/>
      <c r="AW513" s="317"/>
      <c r="AX513" s="317"/>
      <c r="BF513" s="317"/>
      <c r="BG513" s="450"/>
      <c r="BH513" s="450"/>
    </row>
    <row r="514" spans="2:60" ht="12" customHeight="1">
      <c r="B514" s="317"/>
      <c r="C514" s="317"/>
      <c r="D514" s="319"/>
      <c r="AB514" s="1338"/>
      <c r="AC514" s="1338"/>
      <c r="AD514" s="1338"/>
      <c r="AE514" s="1338"/>
      <c r="AF514" s="1338"/>
      <c r="AG514" s="317"/>
      <c r="AH514" s="317"/>
      <c r="AI514" s="317"/>
      <c r="AJ514" s="317"/>
      <c r="AK514" s="317"/>
      <c r="AL514" s="317"/>
      <c r="AM514" s="317"/>
      <c r="AN514" s="317"/>
      <c r="AO514" s="317"/>
      <c r="AP514" s="317"/>
      <c r="AQ514" s="317"/>
      <c r="AR514" s="317"/>
      <c r="AS514" s="317"/>
      <c r="AT514" s="317"/>
      <c r="AU514" s="317"/>
      <c r="AV514" s="317"/>
      <c r="AW514" s="317"/>
      <c r="AX514" s="317"/>
      <c r="BF514" s="317"/>
      <c r="BG514" s="450"/>
      <c r="BH514" s="450"/>
    </row>
    <row r="515" spans="2:60" ht="12" customHeight="1">
      <c r="B515" s="317"/>
      <c r="C515" s="317"/>
      <c r="D515" s="319"/>
      <c r="AB515" s="1338"/>
      <c r="AC515" s="1338"/>
      <c r="AD515" s="1338"/>
      <c r="AE515" s="1338"/>
      <c r="AF515" s="1338"/>
      <c r="AG515" s="317"/>
      <c r="AH515" s="317"/>
      <c r="AI515" s="317"/>
      <c r="AJ515" s="317"/>
      <c r="AK515" s="317"/>
      <c r="AL515" s="317"/>
      <c r="AM515" s="317"/>
      <c r="AN515" s="317"/>
      <c r="AO515" s="317"/>
      <c r="AP515" s="317"/>
      <c r="AQ515" s="317"/>
      <c r="AR515" s="317"/>
      <c r="AS515" s="317"/>
      <c r="AT515" s="317"/>
      <c r="AU515" s="317"/>
      <c r="AV515" s="317"/>
      <c r="AW515" s="317"/>
      <c r="AX515" s="317"/>
      <c r="BF515" s="317"/>
      <c r="BG515" s="450"/>
      <c r="BH515" s="450"/>
    </row>
    <row r="516" spans="2:60" ht="12" customHeight="1">
      <c r="B516" s="317"/>
      <c r="C516" s="317"/>
      <c r="D516" s="319"/>
      <c r="AB516" s="1338"/>
      <c r="AC516" s="1338"/>
      <c r="AD516" s="1338"/>
      <c r="AE516" s="1338"/>
      <c r="AF516" s="1338"/>
      <c r="AG516" s="317"/>
      <c r="AH516" s="317"/>
      <c r="AI516" s="317"/>
      <c r="AJ516" s="317"/>
      <c r="AK516" s="317"/>
      <c r="AL516" s="317"/>
      <c r="AM516" s="317"/>
      <c r="AN516" s="317"/>
      <c r="AO516" s="317"/>
      <c r="AP516" s="317"/>
      <c r="AQ516" s="317"/>
      <c r="AR516" s="317"/>
      <c r="AS516" s="317"/>
      <c r="AT516" s="317"/>
      <c r="AU516" s="317"/>
      <c r="AV516" s="317"/>
      <c r="AW516" s="317"/>
      <c r="AX516" s="317"/>
      <c r="BF516" s="317"/>
      <c r="BG516" s="450"/>
      <c r="BH516" s="450"/>
    </row>
    <row r="517" spans="2:60" ht="12" customHeight="1">
      <c r="B517" s="317"/>
      <c r="C517" s="317"/>
      <c r="D517" s="319"/>
      <c r="AB517" s="1338"/>
      <c r="AC517" s="1338"/>
      <c r="AD517" s="1338"/>
      <c r="AE517" s="1338"/>
      <c r="AF517" s="1338"/>
      <c r="AG517" s="317"/>
      <c r="AH517" s="317"/>
      <c r="AI517" s="317"/>
      <c r="AJ517" s="317"/>
      <c r="AK517" s="317"/>
      <c r="AL517" s="317"/>
      <c r="AM517" s="317"/>
      <c r="AN517" s="317"/>
      <c r="AO517" s="317"/>
      <c r="AP517" s="317"/>
      <c r="AQ517" s="317"/>
      <c r="AR517" s="317"/>
      <c r="AS517" s="317"/>
      <c r="AT517" s="317"/>
      <c r="AU517" s="317"/>
      <c r="AV517" s="317"/>
      <c r="AW517" s="317"/>
      <c r="AX517" s="317"/>
      <c r="BF517" s="317"/>
      <c r="BG517" s="450"/>
      <c r="BH517" s="450"/>
    </row>
    <row r="518" spans="2:60" ht="12" customHeight="1">
      <c r="B518" s="317"/>
      <c r="C518" s="317"/>
      <c r="D518" s="319"/>
      <c r="AB518" s="1338"/>
      <c r="AC518" s="1338"/>
      <c r="AD518" s="1338"/>
      <c r="AE518" s="1338"/>
      <c r="AF518" s="1338"/>
      <c r="AG518" s="317"/>
      <c r="AH518" s="317"/>
      <c r="AI518" s="317"/>
      <c r="AJ518" s="317"/>
      <c r="AK518" s="317"/>
      <c r="AL518" s="317"/>
      <c r="AM518" s="317"/>
      <c r="AN518" s="317"/>
      <c r="AO518" s="317"/>
      <c r="AP518" s="317"/>
      <c r="AQ518" s="317"/>
      <c r="AR518" s="317"/>
      <c r="AS518" s="317"/>
      <c r="AT518" s="317"/>
      <c r="AU518" s="317"/>
      <c r="AV518" s="317"/>
      <c r="AW518" s="317"/>
      <c r="AX518" s="317"/>
      <c r="BF518" s="317"/>
      <c r="BG518" s="450"/>
      <c r="BH518" s="450"/>
    </row>
    <row r="519" spans="2:60" ht="12" customHeight="1">
      <c r="B519" s="317"/>
      <c r="C519" s="317"/>
      <c r="D519" s="319"/>
      <c r="AB519" s="1338"/>
      <c r="AC519" s="1338"/>
      <c r="AD519" s="1338"/>
      <c r="AE519" s="1338"/>
      <c r="AF519" s="1338"/>
      <c r="AG519" s="317"/>
      <c r="AH519" s="317"/>
      <c r="AI519" s="317"/>
      <c r="AJ519" s="317"/>
      <c r="AK519" s="317"/>
      <c r="AL519" s="317"/>
      <c r="AM519" s="317"/>
      <c r="AN519" s="317"/>
      <c r="AO519" s="317"/>
      <c r="AP519" s="317"/>
      <c r="AQ519" s="317"/>
      <c r="AR519" s="317"/>
      <c r="AS519" s="317"/>
      <c r="AT519" s="317"/>
      <c r="AU519" s="317"/>
      <c r="AV519" s="317"/>
      <c r="AW519" s="317"/>
      <c r="AX519" s="317"/>
      <c r="BF519" s="317"/>
      <c r="BG519" s="450"/>
      <c r="BH519" s="450"/>
    </row>
    <row r="520" spans="2:60" ht="12" customHeight="1">
      <c r="B520" s="317"/>
      <c r="C520" s="317"/>
      <c r="D520" s="319"/>
      <c r="AB520" s="1338"/>
      <c r="AC520" s="1338"/>
      <c r="AD520" s="1338"/>
      <c r="AE520" s="1338"/>
      <c r="AF520" s="1338"/>
      <c r="AG520" s="317"/>
      <c r="AH520" s="317"/>
      <c r="AI520" s="317"/>
      <c r="AJ520" s="317"/>
      <c r="AK520" s="317"/>
      <c r="AL520" s="317"/>
      <c r="AM520" s="317"/>
      <c r="AN520" s="317"/>
      <c r="AO520" s="317"/>
      <c r="AP520" s="317"/>
      <c r="AQ520" s="317"/>
      <c r="AR520" s="317"/>
      <c r="AS520" s="317"/>
      <c r="AT520" s="317"/>
      <c r="AU520" s="317"/>
      <c r="AV520" s="317"/>
      <c r="AW520" s="317"/>
      <c r="AX520" s="317"/>
      <c r="BF520" s="317"/>
      <c r="BG520" s="450"/>
      <c r="BH520" s="450"/>
    </row>
    <row r="521" spans="2:60" ht="12" customHeight="1">
      <c r="B521" s="317"/>
      <c r="C521" s="317"/>
      <c r="D521" s="319"/>
      <c r="AB521" s="1338"/>
      <c r="AC521" s="1338"/>
      <c r="AD521" s="1338"/>
      <c r="AE521" s="1338"/>
      <c r="AF521" s="1338"/>
      <c r="AG521" s="317"/>
      <c r="AH521" s="317"/>
      <c r="AI521" s="317"/>
      <c r="AJ521" s="317"/>
      <c r="AK521" s="317"/>
      <c r="AL521" s="317"/>
      <c r="AM521" s="317"/>
      <c r="AN521" s="317"/>
      <c r="AO521" s="317"/>
      <c r="AP521" s="317"/>
      <c r="AQ521" s="317"/>
      <c r="AR521" s="317"/>
      <c r="AS521" s="317"/>
      <c r="AT521" s="317"/>
      <c r="AU521" s="317"/>
      <c r="AV521" s="317"/>
      <c r="AW521" s="317"/>
      <c r="AX521" s="317"/>
      <c r="BF521" s="317"/>
      <c r="BG521" s="450"/>
      <c r="BH521" s="450"/>
    </row>
    <row r="522" spans="2:60" ht="12" customHeight="1">
      <c r="B522" s="317"/>
      <c r="C522" s="317"/>
      <c r="D522" s="319"/>
      <c r="AB522" s="1338"/>
      <c r="AC522" s="1338"/>
      <c r="AD522" s="1338"/>
      <c r="AE522" s="1338"/>
      <c r="AF522" s="1338"/>
      <c r="AG522" s="317"/>
      <c r="AH522" s="317"/>
      <c r="AI522" s="317"/>
      <c r="AJ522" s="317"/>
      <c r="AK522" s="317"/>
      <c r="AL522" s="317"/>
      <c r="AM522" s="317"/>
      <c r="AN522" s="317"/>
      <c r="AO522" s="317"/>
      <c r="AP522" s="317"/>
      <c r="AQ522" s="317"/>
      <c r="AR522" s="317"/>
      <c r="AS522" s="317"/>
      <c r="AT522" s="317"/>
      <c r="AU522" s="317"/>
      <c r="AV522" s="317"/>
      <c r="AW522" s="317"/>
      <c r="AX522" s="317"/>
      <c r="BF522" s="317"/>
      <c r="BG522" s="450"/>
      <c r="BH522" s="450"/>
    </row>
    <row r="523" spans="2:60" ht="12" customHeight="1">
      <c r="B523" s="317"/>
      <c r="C523" s="317"/>
      <c r="D523" s="319"/>
      <c r="AB523" s="1338"/>
      <c r="AC523" s="1338"/>
      <c r="AD523" s="1338"/>
      <c r="AE523" s="1338"/>
      <c r="AF523" s="1338"/>
      <c r="AG523" s="317"/>
      <c r="AH523" s="317"/>
      <c r="AI523" s="317"/>
      <c r="AJ523" s="317"/>
      <c r="AK523" s="317"/>
      <c r="AL523" s="317"/>
      <c r="AM523" s="317"/>
      <c r="AN523" s="317"/>
      <c r="AO523" s="317"/>
      <c r="AP523" s="317"/>
      <c r="AQ523" s="317"/>
      <c r="AR523" s="317"/>
      <c r="AS523" s="317"/>
      <c r="AT523" s="317"/>
      <c r="AU523" s="317"/>
      <c r="AV523" s="317"/>
      <c r="AW523" s="317"/>
      <c r="AX523" s="317"/>
      <c r="BF523" s="317"/>
      <c r="BG523" s="450"/>
      <c r="BH523" s="450"/>
    </row>
    <row r="524" spans="2:60" ht="12" customHeight="1">
      <c r="B524" s="317"/>
      <c r="C524" s="317"/>
      <c r="D524" s="319"/>
      <c r="AB524" s="1338"/>
      <c r="AC524" s="1338"/>
      <c r="AD524" s="1338"/>
      <c r="AE524" s="1338"/>
      <c r="AF524" s="1338"/>
      <c r="AG524" s="317"/>
      <c r="AH524" s="317"/>
      <c r="AI524" s="317"/>
      <c r="AJ524" s="317"/>
      <c r="AK524" s="317"/>
      <c r="AL524" s="317"/>
      <c r="AM524" s="317"/>
      <c r="AN524" s="317"/>
      <c r="AO524" s="317"/>
      <c r="AP524" s="317"/>
      <c r="AQ524" s="317"/>
      <c r="AR524" s="317"/>
      <c r="AS524" s="317"/>
      <c r="AT524" s="317"/>
      <c r="AU524" s="317"/>
      <c r="AV524" s="317"/>
      <c r="AW524" s="317"/>
      <c r="AX524" s="317"/>
      <c r="BF524" s="317"/>
      <c r="BG524" s="450"/>
      <c r="BH524" s="450"/>
    </row>
    <row r="525" spans="2:60" ht="12" customHeight="1">
      <c r="B525" s="317"/>
      <c r="C525" s="317"/>
      <c r="D525" s="319"/>
      <c r="AB525" s="1338"/>
      <c r="AC525" s="1338"/>
      <c r="AD525" s="1338"/>
      <c r="AE525" s="1338"/>
      <c r="AF525" s="1338"/>
      <c r="AG525" s="317"/>
      <c r="AH525" s="317"/>
      <c r="AI525" s="317"/>
      <c r="AJ525" s="317"/>
      <c r="AK525" s="317"/>
      <c r="AL525" s="317"/>
      <c r="AM525" s="317"/>
      <c r="AN525" s="317"/>
      <c r="AO525" s="317"/>
      <c r="AP525" s="317"/>
      <c r="AQ525" s="317"/>
      <c r="AR525" s="317"/>
      <c r="AS525" s="317"/>
      <c r="AT525" s="317"/>
      <c r="AU525" s="317"/>
      <c r="AV525" s="317"/>
      <c r="AW525" s="317"/>
      <c r="AX525" s="317"/>
      <c r="BF525" s="317"/>
      <c r="BG525" s="450"/>
      <c r="BH525" s="450"/>
    </row>
    <row r="526" spans="2:60" ht="12" customHeight="1">
      <c r="B526" s="317"/>
      <c r="C526" s="317"/>
      <c r="D526" s="319"/>
      <c r="AB526" s="1338"/>
      <c r="AC526" s="1338"/>
      <c r="AD526" s="1338"/>
      <c r="AE526" s="1338"/>
      <c r="AF526" s="1338"/>
      <c r="AG526" s="317"/>
      <c r="AH526" s="317"/>
      <c r="AI526" s="317"/>
      <c r="AJ526" s="317"/>
      <c r="AK526" s="317"/>
      <c r="AL526" s="317"/>
      <c r="AM526" s="317"/>
      <c r="AN526" s="317"/>
      <c r="AO526" s="317"/>
      <c r="AP526" s="317"/>
      <c r="AQ526" s="317"/>
      <c r="AR526" s="317"/>
      <c r="AS526" s="317"/>
      <c r="AT526" s="317"/>
      <c r="AU526" s="317"/>
      <c r="AV526" s="317"/>
      <c r="AW526" s="317"/>
      <c r="AX526" s="317"/>
      <c r="BF526" s="317"/>
      <c r="BG526" s="450"/>
      <c r="BH526" s="450"/>
    </row>
    <row r="527" spans="2:60" ht="12" customHeight="1">
      <c r="B527" s="317"/>
      <c r="C527" s="317"/>
      <c r="D527" s="319"/>
      <c r="AB527" s="1338"/>
      <c r="AC527" s="1338"/>
      <c r="AD527" s="1338"/>
      <c r="AE527" s="1338"/>
      <c r="AF527" s="1338"/>
      <c r="AG527" s="317"/>
      <c r="AH527" s="317"/>
      <c r="AI527" s="317"/>
      <c r="AJ527" s="317"/>
      <c r="AK527" s="317"/>
      <c r="AL527" s="317"/>
      <c r="AM527" s="317"/>
      <c r="AN527" s="317"/>
      <c r="AO527" s="317"/>
      <c r="AP527" s="317"/>
      <c r="AQ527" s="317"/>
      <c r="AR527" s="317"/>
      <c r="AS527" s="317"/>
      <c r="AT527" s="317"/>
      <c r="AU527" s="317"/>
      <c r="AV527" s="317"/>
      <c r="AW527" s="317"/>
      <c r="AX527" s="317"/>
      <c r="BF527" s="317"/>
      <c r="BG527" s="450"/>
      <c r="BH527" s="450"/>
    </row>
    <row r="528" spans="2:60" ht="12" customHeight="1">
      <c r="B528" s="317"/>
      <c r="C528" s="317"/>
      <c r="D528" s="319"/>
      <c r="AB528" s="1338"/>
      <c r="AC528" s="1338"/>
      <c r="AD528" s="1338"/>
      <c r="AE528" s="1338"/>
      <c r="AF528" s="1338"/>
      <c r="AG528" s="317"/>
      <c r="AH528" s="317"/>
      <c r="AI528" s="317"/>
      <c r="AJ528" s="317"/>
      <c r="AK528" s="317"/>
      <c r="AL528" s="317"/>
      <c r="AM528" s="317"/>
      <c r="AN528" s="317"/>
      <c r="AO528" s="317"/>
      <c r="AP528" s="317"/>
      <c r="AQ528" s="317"/>
      <c r="AR528" s="317"/>
      <c r="AS528" s="317"/>
      <c r="AT528" s="317"/>
      <c r="AU528" s="317"/>
      <c r="AV528" s="317"/>
      <c r="AW528" s="317"/>
      <c r="AX528" s="317"/>
      <c r="BF528" s="317"/>
      <c r="BG528" s="450"/>
      <c r="BH528" s="450"/>
    </row>
    <row r="529" spans="2:60" ht="12" customHeight="1">
      <c r="B529" s="317"/>
      <c r="C529" s="317"/>
      <c r="D529" s="319"/>
      <c r="AB529" s="1338"/>
      <c r="AC529" s="1338"/>
      <c r="AD529" s="1338"/>
      <c r="AE529" s="1338"/>
      <c r="AF529" s="1338"/>
      <c r="AG529" s="317"/>
      <c r="AH529" s="317"/>
      <c r="AI529" s="317"/>
      <c r="AJ529" s="317"/>
      <c r="AK529" s="317"/>
      <c r="AL529" s="317"/>
      <c r="AM529" s="317"/>
      <c r="AN529" s="317"/>
      <c r="AO529" s="317"/>
      <c r="AP529" s="317"/>
      <c r="AQ529" s="317"/>
      <c r="AR529" s="317"/>
      <c r="AS529" s="317"/>
      <c r="AT529" s="317"/>
      <c r="AU529" s="317"/>
      <c r="AV529" s="317"/>
      <c r="AW529" s="317"/>
      <c r="AX529" s="317"/>
      <c r="BF529" s="317"/>
      <c r="BG529" s="450"/>
      <c r="BH529" s="450"/>
    </row>
    <row r="530" spans="2:60" ht="12" customHeight="1">
      <c r="B530" s="317"/>
      <c r="C530" s="317"/>
      <c r="D530" s="319"/>
      <c r="AB530" s="1338"/>
      <c r="AC530" s="1338"/>
      <c r="AD530" s="1338"/>
      <c r="AE530" s="1338"/>
      <c r="AF530" s="1338"/>
      <c r="AG530" s="317"/>
      <c r="AH530" s="317"/>
      <c r="AI530" s="317"/>
      <c r="AJ530" s="317"/>
      <c r="AK530" s="317"/>
      <c r="AL530" s="317"/>
      <c r="AM530" s="317"/>
      <c r="AN530" s="317"/>
      <c r="AO530" s="317"/>
      <c r="AP530" s="317"/>
      <c r="AQ530" s="317"/>
      <c r="AR530" s="317"/>
      <c r="AS530" s="317"/>
      <c r="AT530" s="317"/>
      <c r="AU530" s="317"/>
      <c r="AV530" s="317"/>
      <c r="AW530" s="317"/>
      <c r="AX530" s="317"/>
      <c r="BF530" s="317"/>
      <c r="BG530" s="450"/>
      <c r="BH530" s="450"/>
    </row>
    <row r="531" spans="2:60" ht="12" customHeight="1">
      <c r="B531" s="317"/>
      <c r="C531" s="317"/>
      <c r="D531" s="319"/>
      <c r="AB531" s="1338"/>
      <c r="AC531" s="1338"/>
      <c r="AD531" s="1338"/>
      <c r="AE531" s="1338"/>
      <c r="AF531" s="1338"/>
      <c r="AG531" s="317"/>
      <c r="AH531" s="317"/>
      <c r="AI531" s="317"/>
      <c r="AJ531" s="317"/>
      <c r="AK531" s="317"/>
      <c r="AL531" s="317"/>
      <c r="AM531" s="317"/>
      <c r="AN531" s="317"/>
      <c r="AO531" s="317"/>
      <c r="AP531" s="317"/>
      <c r="AQ531" s="317"/>
      <c r="AR531" s="317"/>
      <c r="AS531" s="317"/>
      <c r="AT531" s="317"/>
      <c r="AU531" s="317"/>
      <c r="AV531" s="317"/>
      <c r="AW531" s="317"/>
      <c r="AX531" s="317"/>
      <c r="BF531" s="317"/>
      <c r="BG531" s="450"/>
      <c r="BH531" s="450"/>
    </row>
    <row r="532" spans="2:60" ht="12" customHeight="1">
      <c r="B532" s="317"/>
      <c r="C532" s="317"/>
      <c r="D532" s="319"/>
      <c r="AB532" s="1338"/>
      <c r="AC532" s="1338"/>
      <c r="AD532" s="1338"/>
      <c r="AE532" s="1338"/>
      <c r="AF532" s="1338"/>
      <c r="AG532" s="317"/>
      <c r="AH532" s="317"/>
      <c r="AI532" s="317"/>
      <c r="AJ532" s="317"/>
      <c r="AK532" s="317"/>
      <c r="AL532" s="317"/>
      <c r="AM532" s="317"/>
      <c r="AN532" s="317"/>
      <c r="AO532" s="317"/>
      <c r="AP532" s="317"/>
      <c r="AQ532" s="317"/>
      <c r="AR532" s="317"/>
      <c r="AS532" s="317"/>
      <c r="AT532" s="317"/>
      <c r="AU532" s="317"/>
      <c r="AV532" s="317"/>
      <c r="AW532" s="317"/>
      <c r="AX532" s="317"/>
      <c r="BF532" s="317"/>
      <c r="BG532" s="450"/>
      <c r="BH532" s="450"/>
    </row>
    <row r="533" spans="2:60" ht="12" customHeight="1">
      <c r="B533" s="317"/>
      <c r="C533" s="317"/>
      <c r="D533" s="319"/>
      <c r="AB533" s="1338"/>
      <c r="AC533" s="1338"/>
      <c r="AD533" s="1338"/>
      <c r="AE533" s="1338"/>
      <c r="AF533" s="1338"/>
      <c r="AG533" s="317"/>
      <c r="AH533" s="317"/>
      <c r="AI533" s="317"/>
      <c r="AJ533" s="317"/>
      <c r="AK533" s="317"/>
      <c r="AL533" s="317"/>
      <c r="AM533" s="317"/>
      <c r="AN533" s="317"/>
      <c r="AO533" s="317"/>
      <c r="AP533" s="317"/>
      <c r="AQ533" s="317"/>
      <c r="AR533" s="317"/>
      <c r="AS533" s="317"/>
      <c r="AT533" s="317"/>
      <c r="AU533" s="317"/>
      <c r="AV533" s="317"/>
      <c r="AW533" s="317"/>
      <c r="AX533" s="317"/>
      <c r="BF533" s="317"/>
      <c r="BG533" s="450"/>
      <c r="BH533" s="450"/>
    </row>
    <row r="534" spans="2:60" ht="12" customHeight="1">
      <c r="B534" s="317"/>
      <c r="C534" s="317"/>
      <c r="D534" s="319"/>
      <c r="AB534" s="1338"/>
      <c r="AC534" s="1338"/>
      <c r="AD534" s="1338"/>
      <c r="AE534" s="1338"/>
      <c r="AF534" s="1338"/>
      <c r="AG534" s="317"/>
      <c r="AH534" s="317"/>
      <c r="AI534" s="317"/>
      <c r="AJ534" s="317"/>
      <c r="AK534" s="317"/>
      <c r="AL534" s="317"/>
      <c r="AM534" s="317"/>
      <c r="AN534" s="317"/>
      <c r="AO534" s="317"/>
      <c r="AP534" s="317"/>
      <c r="AQ534" s="317"/>
      <c r="AR534" s="317"/>
      <c r="AS534" s="317"/>
      <c r="AT534" s="317"/>
      <c r="AU534" s="317"/>
      <c r="AV534" s="317"/>
      <c r="AW534" s="317"/>
      <c r="AX534" s="317"/>
      <c r="BF534" s="317"/>
      <c r="BG534" s="450"/>
      <c r="BH534" s="450"/>
    </row>
    <row r="535" spans="2:60" ht="12" customHeight="1">
      <c r="B535" s="317"/>
      <c r="C535" s="317"/>
      <c r="D535" s="319"/>
      <c r="AB535" s="1338"/>
      <c r="AC535" s="1338"/>
      <c r="AD535" s="1338"/>
      <c r="AE535" s="1338"/>
      <c r="AF535" s="1338"/>
      <c r="AG535" s="317"/>
      <c r="AH535" s="317"/>
      <c r="AI535" s="317"/>
      <c r="AJ535" s="317"/>
      <c r="AK535" s="317"/>
      <c r="AL535" s="317"/>
      <c r="AM535" s="317"/>
      <c r="AN535" s="317"/>
      <c r="AO535" s="317"/>
      <c r="AP535" s="317"/>
      <c r="AQ535" s="317"/>
      <c r="AR535" s="317"/>
      <c r="AS535" s="317"/>
      <c r="AT535" s="317"/>
      <c r="AU535" s="317"/>
      <c r="AV535" s="317"/>
      <c r="AW535" s="317"/>
      <c r="AX535" s="317"/>
      <c r="BF535" s="317"/>
      <c r="BG535" s="450"/>
      <c r="BH535" s="450"/>
    </row>
    <row r="536" spans="2:60" ht="12" customHeight="1">
      <c r="B536" s="317"/>
      <c r="C536" s="317"/>
      <c r="D536" s="319"/>
      <c r="AB536" s="1338"/>
      <c r="AC536" s="1338"/>
      <c r="AD536" s="1338"/>
      <c r="AE536" s="1338"/>
      <c r="AF536" s="1338"/>
      <c r="AG536" s="317"/>
      <c r="AH536" s="317"/>
      <c r="AI536" s="317"/>
      <c r="AJ536" s="317"/>
      <c r="AK536" s="317"/>
      <c r="AL536" s="317"/>
      <c r="AM536" s="317"/>
      <c r="AN536" s="317"/>
      <c r="AO536" s="317"/>
      <c r="AP536" s="317"/>
      <c r="AQ536" s="317"/>
      <c r="AR536" s="317"/>
      <c r="AS536" s="317"/>
      <c r="AT536" s="317"/>
      <c r="AU536" s="317"/>
      <c r="AV536" s="317"/>
      <c r="AW536" s="317"/>
      <c r="AX536" s="317"/>
      <c r="BF536" s="317"/>
      <c r="BG536" s="450"/>
      <c r="BH536" s="450"/>
    </row>
    <row r="537" spans="2:60" ht="12" customHeight="1">
      <c r="B537" s="317"/>
      <c r="C537" s="317"/>
      <c r="D537" s="319"/>
      <c r="AB537" s="1338"/>
      <c r="AC537" s="1338"/>
      <c r="AD537" s="1338"/>
      <c r="AE537" s="1338"/>
      <c r="AF537" s="1338"/>
      <c r="AG537" s="317"/>
      <c r="AH537" s="317"/>
      <c r="AI537" s="317"/>
      <c r="AJ537" s="317"/>
      <c r="AK537" s="317"/>
      <c r="AL537" s="317"/>
      <c r="AM537" s="317"/>
      <c r="AN537" s="317"/>
      <c r="AO537" s="317"/>
      <c r="AP537" s="317"/>
      <c r="AQ537" s="317"/>
      <c r="AR537" s="317"/>
      <c r="AS537" s="317"/>
      <c r="AT537" s="317"/>
      <c r="AU537" s="317"/>
      <c r="AV537" s="317"/>
      <c r="AW537" s="317"/>
      <c r="AX537" s="317"/>
      <c r="BF537" s="317"/>
      <c r="BG537" s="450"/>
      <c r="BH537" s="450"/>
    </row>
    <row r="538" spans="2:60" ht="12" customHeight="1">
      <c r="B538" s="317"/>
      <c r="C538" s="317"/>
      <c r="D538" s="319"/>
      <c r="AB538" s="1338"/>
      <c r="AC538" s="1338"/>
      <c r="AD538" s="1338"/>
      <c r="AE538" s="1338"/>
      <c r="AF538" s="1338"/>
      <c r="AG538" s="317"/>
      <c r="AH538" s="317"/>
      <c r="AI538" s="317"/>
      <c r="AJ538" s="317"/>
      <c r="AK538" s="317"/>
      <c r="AL538" s="317"/>
      <c r="AM538" s="317"/>
      <c r="AN538" s="317"/>
      <c r="AO538" s="317"/>
      <c r="AP538" s="317"/>
      <c r="AQ538" s="317"/>
      <c r="AR538" s="317"/>
      <c r="AS538" s="317"/>
      <c r="AT538" s="317"/>
      <c r="AU538" s="317"/>
      <c r="AV538" s="317"/>
      <c r="AW538" s="317"/>
      <c r="AX538" s="317"/>
      <c r="BF538" s="317"/>
      <c r="BG538" s="450"/>
      <c r="BH538" s="450"/>
    </row>
    <row r="539" spans="2:60" ht="12" customHeight="1">
      <c r="B539" s="317"/>
      <c r="C539" s="317"/>
      <c r="D539" s="319"/>
      <c r="AB539" s="1338"/>
      <c r="AC539" s="1338"/>
      <c r="AD539" s="1338"/>
      <c r="AE539" s="1338"/>
      <c r="AF539" s="1338"/>
      <c r="AG539" s="317"/>
      <c r="AH539" s="317"/>
      <c r="AI539" s="317"/>
      <c r="AJ539" s="317"/>
      <c r="AK539" s="317"/>
      <c r="AL539" s="317"/>
      <c r="AM539" s="317"/>
      <c r="AN539" s="317"/>
      <c r="AO539" s="317"/>
      <c r="AP539" s="317"/>
      <c r="AQ539" s="317"/>
      <c r="AR539" s="317"/>
      <c r="AS539" s="317"/>
      <c r="AT539" s="317"/>
      <c r="AU539" s="317"/>
      <c r="AV539" s="317"/>
      <c r="AW539" s="317"/>
      <c r="AX539" s="317"/>
      <c r="BF539" s="317"/>
      <c r="BG539" s="450"/>
      <c r="BH539" s="450"/>
    </row>
    <row r="540" spans="2:60" ht="12" customHeight="1">
      <c r="B540" s="317"/>
      <c r="C540" s="317"/>
      <c r="D540" s="319"/>
      <c r="AB540" s="1338"/>
      <c r="AC540" s="1338"/>
      <c r="AD540" s="1338"/>
      <c r="AE540" s="1338"/>
      <c r="AF540" s="1338"/>
      <c r="AG540" s="317"/>
      <c r="AH540" s="317"/>
      <c r="AI540" s="317"/>
      <c r="AJ540" s="317"/>
      <c r="AK540" s="317"/>
      <c r="AL540" s="317"/>
      <c r="AM540" s="317"/>
      <c r="AN540" s="317"/>
      <c r="AO540" s="317"/>
      <c r="AP540" s="317"/>
      <c r="AQ540" s="317"/>
      <c r="AR540" s="317"/>
      <c r="AS540" s="317"/>
      <c r="AT540" s="317"/>
      <c r="AU540" s="317"/>
      <c r="AV540" s="317"/>
      <c r="AW540" s="317"/>
      <c r="AX540" s="317"/>
      <c r="BF540" s="317"/>
      <c r="BG540" s="450"/>
      <c r="BH540" s="450"/>
    </row>
    <row r="541" spans="2:60" ht="12" customHeight="1">
      <c r="B541" s="317"/>
      <c r="C541" s="317"/>
      <c r="D541" s="319"/>
      <c r="AB541" s="1338"/>
      <c r="AC541" s="1338"/>
      <c r="AD541" s="1338"/>
      <c r="AE541" s="1338"/>
      <c r="AF541" s="1338"/>
      <c r="AG541" s="317"/>
      <c r="AH541" s="317"/>
      <c r="AI541" s="317"/>
      <c r="AJ541" s="317"/>
      <c r="AK541" s="317"/>
      <c r="AL541" s="317"/>
      <c r="AM541" s="317"/>
      <c r="AN541" s="317"/>
      <c r="AO541" s="317"/>
      <c r="AP541" s="317"/>
      <c r="AQ541" s="317"/>
      <c r="AR541" s="317"/>
      <c r="AS541" s="317"/>
      <c r="AT541" s="317"/>
      <c r="AU541" s="317"/>
      <c r="AV541" s="317"/>
      <c r="AW541" s="317"/>
      <c r="AX541" s="317"/>
      <c r="BF541" s="317"/>
      <c r="BG541" s="450"/>
      <c r="BH541" s="450"/>
    </row>
    <row r="542" spans="2:60" ht="12" customHeight="1">
      <c r="B542" s="317"/>
      <c r="C542" s="317"/>
      <c r="D542" s="319"/>
      <c r="AB542" s="1338"/>
      <c r="AC542" s="1338"/>
      <c r="AD542" s="1338"/>
      <c r="AE542" s="1338"/>
      <c r="AF542" s="1338"/>
      <c r="AG542" s="317"/>
      <c r="AH542" s="317"/>
      <c r="AI542" s="317"/>
      <c r="AJ542" s="317"/>
      <c r="AK542" s="317"/>
      <c r="AL542" s="317"/>
      <c r="AM542" s="317"/>
      <c r="AN542" s="317"/>
      <c r="AO542" s="317"/>
      <c r="AP542" s="317"/>
      <c r="AQ542" s="317"/>
      <c r="AR542" s="317"/>
      <c r="AS542" s="317"/>
      <c r="AT542" s="317"/>
      <c r="AU542" s="317"/>
      <c r="AV542" s="317"/>
      <c r="AW542" s="317"/>
      <c r="AX542" s="317"/>
      <c r="BF542" s="317"/>
      <c r="BG542" s="450"/>
      <c r="BH542" s="450"/>
    </row>
    <row r="543" spans="2:60" ht="12" customHeight="1">
      <c r="B543" s="317"/>
      <c r="C543" s="317"/>
      <c r="D543" s="319"/>
      <c r="AB543" s="1338"/>
      <c r="AC543" s="1338"/>
      <c r="AD543" s="1338"/>
      <c r="AE543" s="1338"/>
      <c r="AF543" s="1338"/>
      <c r="AG543" s="317"/>
      <c r="AH543" s="317"/>
      <c r="AI543" s="317"/>
      <c r="AJ543" s="317"/>
      <c r="AK543" s="317"/>
      <c r="AL543" s="317"/>
      <c r="AM543" s="317"/>
      <c r="AN543" s="317"/>
      <c r="AO543" s="317"/>
      <c r="AP543" s="317"/>
      <c r="AQ543" s="317"/>
      <c r="AR543" s="317"/>
      <c r="AS543" s="317"/>
      <c r="AT543" s="317"/>
      <c r="AU543" s="317"/>
      <c r="AV543" s="317"/>
      <c r="AW543" s="317"/>
      <c r="AX543" s="317"/>
      <c r="BF543" s="317"/>
      <c r="BG543" s="450"/>
      <c r="BH543" s="450"/>
    </row>
    <row r="544" spans="2:60" ht="12" customHeight="1">
      <c r="B544" s="317"/>
      <c r="C544" s="317"/>
      <c r="D544" s="319"/>
      <c r="AB544" s="1338"/>
      <c r="AC544" s="1338"/>
      <c r="AD544" s="1338"/>
      <c r="AE544" s="1338"/>
      <c r="AF544" s="1338"/>
      <c r="AG544" s="317"/>
      <c r="AH544" s="317"/>
      <c r="AI544" s="317"/>
      <c r="AJ544" s="317"/>
      <c r="AK544" s="317"/>
      <c r="AL544" s="317"/>
      <c r="AM544" s="317"/>
      <c r="AN544" s="317"/>
      <c r="AO544" s="317"/>
      <c r="AP544" s="317"/>
      <c r="AQ544" s="317"/>
      <c r="AR544" s="317"/>
      <c r="AS544" s="317"/>
      <c r="AT544" s="317"/>
      <c r="AU544" s="317"/>
      <c r="AV544" s="317"/>
      <c r="AW544" s="317"/>
      <c r="AX544" s="317"/>
      <c r="BF544" s="317"/>
      <c r="BG544" s="450"/>
      <c r="BH544" s="450"/>
    </row>
    <row r="545" spans="2:60" ht="12" customHeight="1">
      <c r="B545" s="317"/>
      <c r="C545" s="317"/>
      <c r="D545" s="319"/>
      <c r="AB545" s="1338"/>
      <c r="AC545" s="1338"/>
      <c r="AD545" s="1338"/>
      <c r="AE545" s="1338"/>
      <c r="AF545" s="1338"/>
      <c r="AG545" s="317"/>
      <c r="AH545" s="317"/>
      <c r="AI545" s="317"/>
      <c r="AJ545" s="317"/>
      <c r="AK545" s="317"/>
      <c r="AL545" s="317"/>
      <c r="AM545" s="317"/>
      <c r="AN545" s="317"/>
      <c r="AO545" s="317"/>
      <c r="AP545" s="317"/>
      <c r="AQ545" s="317"/>
      <c r="AR545" s="317"/>
      <c r="AS545" s="317"/>
      <c r="AT545" s="317"/>
      <c r="AU545" s="317"/>
      <c r="AV545" s="317"/>
      <c r="AW545" s="317"/>
      <c r="AX545" s="317"/>
      <c r="BF545" s="317"/>
      <c r="BG545" s="450"/>
      <c r="BH545" s="450"/>
    </row>
    <row r="546" spans="2:60" ht="12" customHeight="1">
      <c r="B546" s="317"/>
      <c r="C546" s="317"/>
      <c r="D546" s="319"/>
      <c r="AB546" s="1338"/>
      <c r="AC546" s="1338"/>
      <c r="AD546" s="1338"/>
      <c r="AE546" s="1338"/>
      <c r="AF546" s="1338"/>
      <c r="AG546" s="317"/>
      <c r="AH546" s="317"/>
      <c r="AI546" s="317"/>
      <c r="AJ546" s="317"/>
      <c r="AK546" s="317"/>
      <c r="AL546" s="317"/>
      <c r="AM546" s="317"/>
      <c r="AN546" s="317"/>
      <c r="AO546" s="317"/>
      <c r="AP546" s="317"/>
      <c r="AQ546" s="317"/>
      <c r="AR546" s="317"/>
      <c r="AS546" s="317"/>
      <c r="AT546" s="317"/>
      <c r="AU546" s="317"/>
      <c r="AV546" s="317"/>
      <c r="AW546" s="317"/>
      <c r="AX546" s="317"/>
      <c r="BF546" s="317"/>
      <c r="BG546" s="450"/>
      <c r="BH546" s="450"/>
    </row>
    <row r="547" spans="2:60" ht="12" customHeight="1">
      <c r="B547" s="317"/>
      <c r="C547" s="317"/>
      <c r="D547" s="319"/>
      <c r="AB547" s="1338"/>
      <c r="AC547" s="1338"/>
      <c r="AD547" s="1338"/>
      <c r="AE547" s="1338"/>
      <c r="AF547" s="1338"/>
      <c r="AG547" s="317"/>
      <c r="AH547" s="317"/>
      <c r="AI547" s="317"/>
      <c r="AJ547" s="317"/>
      <c r="AK547" s="317"/>
      <c r="AL547" s="317"/>
      <c r="AM547" s="317"/>
      <c r="AN547" s="317"/>
      <c r="AO547" s="317"/>
      <c r="AP547" s="317"/>
      <c r="AQ547" s="317"/>
      <c r="AR547" s="317"/>
      <c r="AS547" s="317"/>
      <c r="AT547" s="317"/>
      <c r="AU547" s="317"/>
      <c r="AV547" s="317"/>
      <c r="AW547" s="317"/>
      <c r="AX547" s="317"/>
      <c r="BF547" s="317"/>
      <c r="BG547" s="450"/>
      <c r="BH547" s="450"/>
    </row>
    <row r="548" spans="2:60" ht="12" customHeight="1">
      <c r="B548" s="317"/>
      <c r="C548" s="317"/>
      <c r="D548" s="319"/>
      <c r="AB548" s="1338"/>
      <c r="AC548" s="1338"/>
      <c r="AD548" s="1338"/>
      <c r="AE548" s="1338"/>
      <c r="AF548" s="1338"/>
      <c r="AG548" s="317"/>
      <c r="AH548" s="317"/>
      <c r="AI548" s="317"/>
      <c r="AJ548" s="317"/>
      <c r="AK548" s="317"/>
      <c r="AL548" s="317"/>
      <c r="AM548" s="317"/>
      <c r="AN548" s="317"/>
      <c r="AO548" s="317"/>
      <c r="AP548" s="317"/>
      <c r="AQ548" s="317"/>
      <c r="AR548" s="317"/>
      <c r="AS548" s="317"/>
      <c r="AT548" s="317"/>
      <c r="AU548" s="317"/>
      <c r="AV548" s="317"/>
      <c r="AW548" s="317"/>
      <c r="AX548" s="317"/>
      <c r="BF548" s="317"/>
      <c r="BG548" s="450"/>
      <c r="BH548" s="450"/>
    </row>
    <row r="549" spans="2:60" ht="12" customHeight="1">
      <c r="B549" s="317"/>
      <c r="C549" s="317"/>
      <c r="D549" s="319"/>
      <c r="AB549" s="1338"/>
      <c r="AC549" s="1338"/>
      <c r="AD549" s="1338"/>
      <c r="AE549" s="1338"/>
      <c r="AF549" s="1338"/>
      <c r="AG549" s="317"/>
      <c r="AH549" s="317"/>
      <c r="AI549" s="317"/>
      <c r="AJ549" s="317"/>
      <c r="AK549" s="317"/>
      <c r="AL549" s="317"/>
      <c r="AM549" s="317"/>
      <c r="AN549" s="317"/>
      <c r="AO549" s="317"/>
      <c r="AP549" s="317"/>
      <c r="AQ549" s="317"/>
      <c r="AR549" s="317"/>
      <c r="AS549" s="317"/>
      <c r="AT549" s="317"/>
      <c r="AU549" s="317"/>
      <c r="AV549" s="317"/>
      <c r="AW549" s="317"/>
      <c r="AX549" s="317"/>
      <c r="BF549" s="317"/>
      <c r="BG549" s="450"/>
      <c r="BH549" s="450"/>
    </row>
    <row r="550" spans="2:60" ht="12" customHeight="1">
      <c r="B550" s="317"/>
      <c r="C550" s="317"/>
      <c r="D550" s="319"/>
      <c r="AB550" s="1338"/>
      <c r="AC550" s="1338"/>
      <c r="AD550" s="1338"/>
      <c r="AE550" s="1338"/>
      <c r="AF550" s="1338"/>
      <c r="AG550" s="317"/>
      <c r="AH550" s="317"/>
      <c r="AI550" s="317"/>
      <c r="AJ550" s="317"/>
      <c r="AK550" s="317"/>
      <c r="AL550" s="317"/>
      <c r="AM550" s="317"/>
      <c r="AN550" s="317"/>
      <c r="AO550" s="317"/>
      <c r="AP550" s="317"/>
      <c r="AQ550" s="317"/>
      <c r="AR550" s="317"/>
      <c r="AS550" s="317"/>
      <c r="AT550" s="317"/>
      <c r="AU550" s="317"/>
      <c r="AV550" s="317"/>
      <c r="AW550" s="317"/>
      <c r="AX550" s="317"/>
      <c r="BF550" s="317"/>
      <c r="BG550" s="450"/>
      <c r="BH550" s="450"/>
    </row>
    <row r="551" spans="2:60" ht="12" customHeight="1">
      <c r="B551" s="317"/>
      <c r="C551" s="317"/>
      <c r="D551" s="319"/>
      <c r="AB551" s="1338"/>
      <c r="AC551" s="1338"/>
      <c r="AD551" s="1338"/>
      <c r="AE551" s="1338"/>
      <c r="AF551" s="1338"/>
      <c r="AG551" s="317"/>
      <c r="AH551" s="317"/>
      <c r="AI551" s="317"/>
      <c r="AJ551" s="317"/>
      <c r="AK551" s="317"/>
      <c r="AL551" s="317"/>
      <c r="AM551" s="317"/>
      <c r="AN551" s="317"/>
      <c r="AO551" s="317"/>
      <c r="AP551" s="317"/>
      <c r="AQ551" s="317"/>
      <c r="AR551" s="317"/>
      <c r="AS551" s="317"/>
      <c r="AT551" s="317"/>
      <c r="AU551" s="317"/>
      <c r="AV551" s="317"/>
      <c r="AW551" s="317"/>
      <c r="AX551" s="317"/>
      <c r="BF551" s="317"/>
      <c r="BG551" s="450"/>
      <c r="BH551" s="450"/>
    </row>
    <row r="552" spans="2:60" ht="12" customHeight="1">
      <c r="B552" s="317"/>
      <c r="C552" s="317"/>
      <c r="D552" s="319"/>
      <c r="AB552" s="1338"/>
      <c r="AC552" s="1338"/>
      <c r="AD552" s="1338"/>
      <c r="AE552" s="1338"/>
      <c r="AF552" s="1338"/>
      <c r="AG552" s="317"/>
      <c r="AH552" s="317"/>
      <c r="AI552" s="317"/>
      <c r="AJ552" s="317"/>
      <c r="AK552" s="317"/>
      <c r="AL552" s="317"/>
      <c r="AM552" s="317"/>
      <c r="AN552" s="317"/>
      <c r="AO552" s="317"/>
      <c r="AP552" s="317"/>
      <c r="AQ552" s="317"/>
      <c r="AR552" s="317"/>
      <c r="AS552" s="317"/>
      <c r="AT552" s="317"/>
      <c r="AU552" s="317"/>
      <c r="AV552" s="317"/>
      <c r="AW552" s="317"/>
      <c r="AX552" s="317"/>
      <c r="BF552" s="317"/>
      <c r="BG552" s="450"/>
      <c r="BH552" s="450"/>
    </row>
    <row r="553" spans="2:60" ht="12" customHeight="1">
      <c r="B553" s="317"/>
      <c r="C553" s="317"/>
      <c r="D553" s="319"/>
      <c r="AB553" s="1338"/>
      <c r="AC553" s="1338"/>
      <c r="AD553" s="1338"/>
      <c r="AE553" s="1338"/>
      <c r="AF553" s="1338"/>
      <c r="AG553" s="317"/>
      <c r="AH553" s="317"/>
      <c r="AI553" s="317"/>
      <c r="AJ553" s="317"/>
      <c r="AK553" s="317"/>
      <c r="AL553" s="317"/>
      <c r="AM553" s="317"/>
      <c r="AN553" s="317"/>
      <c r="AO553" s="317"/>
      <c r="AP553" s="317"/>
      <c r="AQ553" s="317"/>
      <c r="AR553" s="317"/>
      <c r="AS553" s="317"/>
      <c r="AT553" s="317"/>
      <c r="AU553" s="317"/>
      <c r="AV553" s="317"/>
      <c r="AW553" s="317"/>
      <c r="AX553" s="317"/>
      <c r="BF553" s="317"/>
      <c r="BG553" s="450"/>
      <c r="BH553" s="450"/>
    </row>
    <row r="554" spans="2:60" ht="12" customHeight="1">
      <c r="B554" s="317"/>
      <c r="C554" s="317"/>
      <c r="D554" s="319"/>
      <c r="AB554" s="1338"/>
      <c r="AC554" s="1338"/>
      <c r="AD554" s="1338"/>
      <c r="AE554" s="1338"/>
      <c r="AF554" s="1338"/>
      <c r="AG554" s="317"/>
      <c r="AH554" s="317"/>
      <c r="AI554" s="317"/>
      <c r="AJ554" s="317"/>
      <c r="AK554" s="317"/>
      <c r="AL554" s="317"/>
      <c r="AM554" s="317"/>
      <c r="AN554" s="317"/>
      <c r="AO554" s="317"/>
      <c r="AP554" s="317"/>
      <c r="AQ554" s="317"/>
      <c r="AR554" s="317"/>
      <c r="AS554" s="317"/>
      <c r="AT554" s="317"/>
      <c r="AU554" s="317"/>
      <c r="AV554" s="317"/>
      <c r="AW554" s="317"/>
      <c r="AX554" s="317"/>
      <c r="BF554" s="317"/>
      <c r="BG554" s="450"/>
      <c r="BH554" s="450"/>
    </row>
    <row r="555" spans="2:60" ht="12" customHeight="1">
      <c r="B555" s="317"/>
      <c r="C555" s="317"/>
      <c r="D555" s="319"/>
      <c r="AB555" s="1338"/>
      <c r="AC555" s="1338"/>
      <c r="AD555" s="1338"/>
      <c r="AE555" s="1338"/>
      <c r="AF555" s="1338"/>
      <c r="AG555" s="317"/>
      <c r="AH555" s="317"/>
      <c r="AI555" s="317"/>
      <c r="AJ555" s="317"/>
      <c r="AK555" s="317"/>
      <c r="AL555" s="317"/>
      <c r="AM555" s="317"/>
      <c r="AN555" s="317"/>
      <c r="AO555" s="317"/>
      <c r="AP555" s="317"/>
      <c r="AQ555" s="317"/>
      <c r="AR555" s="317"/>
      <c r="AS555" s="317"/>
      <c r="AT555" s="317"/>
      <c r="AU555" s="317"/>
      <c r="AV555" s="317"/>
      <c r="AW555" s="317"/>
      <c r="AX555" s="317"/>
      <c r="BF555" s="317"/>
      <c r="BG555" s="450"/>
      <c r="BH555" s="450"/>
    </row>
    <row r="556" spans="2:60" ht="12" customHeight="1">
      <c r="B556" s="317"/>
      <c r="C556" s="317"/>
      <c r="D556" s="319"/>
      <c r="AB556" s="1338"/>
      <c r="AC556" s="1338"/>
      <c r="AD556" s="1338"/>
      <c r="AE556" s="1338"/>
      <c r="AF556" s="1338"/>
      <c r="AG556" s="317"/>
      <c r="AH556" s="317"/>
      <c r="AI556" s="317"/>
      <c r="AJ556" s="317"/>
      <c r="AK556" s="317"/>
      <c r="AL556" s="317"/>
      <c r="AM556" s="317"/>
      <c r="AN556" s="317"/>
      <c r="AO556" s="317"/>
      <c r="AP556" s="317"/>
      <c r="AQ556" s="317"/>
      <c r="AR556" s="317"/>
      <c r="AS556" s="317"/>
      <c r="AT556" s="317"/>
      <c r="AU556" s="317"/>
      <c r="AV556" s="317"/>
      <c r="AW556" s="317"/>
      <c r="AX556" s="317"/>
      <c r="BF556" s="317"/>
      <c r="BG556" s="450"/>
      <c r="BH556" s="450"/>
    </row>
    <row r="557" spans="2:60" ht="12" customHeight="1">
      <c r="B557" s="317"/>
      <c r="C557" s="317"/>
      <c r="D557" s="319"/>
      <c r="AB557" s="1338"/>
      <c r="AC557" s="1338"/>
      <c r="AD557" s="1338"/>
      <c r="AE557" s="1338"/>
      <c r="AF557" s="1338"/>
      <c r="AG557" s="317"/>
      <c r="AH557" s="317"/>
      <c r="AI557" s="317"/>
      <c r="AJ557" s="317"/>
      <c r="AK557" s="317"/>
      <c r="AL557" s="317"/>
      <c r="AM557" s="317"/>
      <c r="AN557" s="317"/>
      <c r="AO557" s="317"/>
      <c r="AP557" s="317"/>
      <c r="AQ557" s="317"/>
      <c r="AR557" s="317"/>
      <c r="AS557" s="317"/>
      <c r="AT557" s="317"/>
      <c r="AU557" s="317"/>
      <c r="AV557" s="317"/>
      <c r="AW557" s="317"/>
      <c r="AX557" s="317"/>
      <c r="BF557" s="317"/>
      <c r="BG557" s="450"/>
      <c r="BH557" s="450"/>
    </row>
    <row r="558" spans="2:60" ht="12" customHeight="1">
      <c r="B558" s="317"/>
      <c r="C558" s="317"/>
      <c r="D558" s="319"/>
      <c r="AB558" s="1338"/>
      <c r="AC558" s="1338"/>
      <c r="AD558" s="1338"/>
      <c r="AE558" s="1338"/>
      <c r="AF558" s="1338"/>
      <c r="AG558" s="317"/>
      <c r="AH558" s="317"/>
      <c r="AI558" s="317"/>
      <c r="AJ558" s="317"/>
      <c r="AK558" s="317"/>
      <c r="AL558" s="317"/>
      <c r="AM558" s="317"/>
      <c r="AN558" s="317"/>
      <c r="AO558" s="317"/>
      <c r="AP558" s="317"/>
      <c r="AQ558" s="317"/>
      <c r="AR558" s="317"/>
      <c r="AS558" s="317"/>
      <c r="AT558" s="317"/>
      <c r="AU558" s="317"/>
      <c r="AV558" s="317"/>
      <c r="AW558" s="317"/>
      <c r="AX558" s="317"/>
      <c r="BF558" s="317"/>
      <c r="BG558" s="450"/>
      <c r="BH558" s="450"/>
    </row>
    <row r="559" spans="2:60" ht="12" customHeight="1">
      <c r="B559" s="317"/>
      <c r="C559" s="317"/>
      <c r="D559" s="319"/>
      <c r="AB559" s="1338"/>
      <c r="AC559" s="1338"/>
      <c r="AD559" s="1338"/>
      <c r="AE559" s="1338"/>
      <c r="AF559" s="1338"/>
      <c r="AG559" s="317"/>
      <c r="AH559" s="317"/>
      <c r="AI559" s="317"/>
      <c r="AJ559" s="317"/>
      <c r="AK559" s="317"/>
      <c r="AL559" s="317"/>
      <c r="AM559" s="317"/>
      <c r="AN559" s="317"/>
      <c r="AO559" s="317"/>
      <c r="AP559" s="317"/>
      <c r="AQ559" s="317"/>
      <c r="AR559" s="317"/>
      <c r="AS559" s="317"/>
      <c r="AT559" s="317"/>
      <c r="AU559" s="317"/>
      <c r="AV559" s="317"/>
      <c r="AW559" s="317"/>
      <c r="AX559" s="317"/>
      <c r="BF559" s="317"/>
      <c r="BG559" s="450"/>
      <c r="BH559" s="450"/>
    </row>
    <row r="560" spans="2:60" ht="12" customHeight="1">
      <c r="B560" s="317"/>
      <c r="C560" s="317"/>
      <c r="D560" s="319"/>
      <c r="AB560" s="1338"/>
      <c r="AC560" s="1338"/>
      <c r="AD560" s="1338"/>
      <c r="AE560" s="1338"/>
      <c r="AF560" s="1338"/>
      <c r="AG560" s="317"/>
      <c r="AH560" s="317"/>
      <c r="AI560" s="317"/>
      <c r="AJ560" s="317"/>
      <c r="AK560" s="317"/>
      <c r="AL560" s="317"/>
      <c r="AM560" s="317"/>
      <c r="AN560" s="317"/>
      <c r="AO560" s="317"/>
      <c r="AP560" s="317"/>
      <c r="AQ560" s="317"/>
      <c r="AR560" s="317"/>
      <c r="AS560" s="317"/>
      <c r="AT560" s="317"/>
      <c r="AU560" s="317"/>
      <c r="AV560" s="317"/>
      <c r="AW560" s="317"/>
      <c r="AX560" s="317"/>
      <c r="BF560" s="317"/>
      <c r="BG560" s="450"/>
      <c r="BH560" s="450"/>
    </row>
    <row r="561" spans="2:60" ht="12" customHeight="1">
      <c r="B561" s="317"/>
      <c r="C561" s="317"/>
      <c r="D561" s="319"/>
      <c r="AB561" s="1338"/>
      <c r="AC561" s="1338"/>
      <c r="AD561" s="1338"/>
      <c r="AE561" s="1338"/>
      <c r="AF561" s="1338"/>
      <c r="AG561" s="317"/>
      <c r="AH561" s="317"/>
      <c r="AI561" s="317"/>
      <c r="AJ561" s="317"/>
      <c r="AK561" s="317"/>
      <c r="AL561" s="317"/>
      <c r="AM561" s="317"/>
      <c r="AN561" s="317"/>
      <c r="AO561" s="317"/>
      <c r="AP561" s="317"/>
      <c r="AQ561" s="317"/>
      <c r="AR561" s="317"/>
      <c r="AS561" s="317"/>
      <c r="AT561" s="317"/>
      <c r="AU561" s="317"/>
      <c r="AV561" s="317"/>
      <c r="AW561" s="317"/>
      <c r="AX561" s="317"/>
      <c r="BF561" s="317"/>
      <c r="BG561" s="450"/>
      <c r="BH561" s="450"/>
    </row>
    <row r="562" spans="2:60" ht="12" customHeight="1">
      <c r="B562" s="317"/>
      <c r="C562" s="317"/>
      <c r="D562" s="319"/>
      <c r="AB562" s="1338"/>
      <c r="AC562" s="1338"/>
      <c r="AD562" s="1338"/>
      <c r="AE562" s="1338"/>
      <c r="AF562" s="1338"/>
      <c r="AG562" s="317"/>
      <c r="AH562" s="317"/>
      <c r="AI562" s="317"/>
      <c r="AJ562" s="317"/>
      <c r="AK562" s="317"/>
      <c r="AL562" s="317"/>
      <c r="AM562" s="317"/>
      <c r="AN562" s="317"/>
      <c r="AO562" s="317"/>
      <c r="AP562" s="317"/>
      <c r="AQ562" s="317"/>
      <c r="AR562" s="317"/>
      <c r="AS562" s="317"/>
      <c r="AT562" s="317"/>
      <c r="AU562" s="317"/>
      <c r="AV562" s="317"/>
      <c r="AW562" s="317"/>
      <c r="AX562" s="317"/>
      <c r="BF562" s="317"/>
      <c r="BG562" s="450"/>
      <c r="BH562" s="450"/>
    </row>
    <row r="563" spans="2:60" ht="12" customHeight="1">
      <c r="B563" s="317"/>
      <c r="C563" s="317"/>
      <c r="D563" s="319"/>
      <c r="AB563" s="1338"/>
      <c r="AC563" s="1338"/>
      <c r="AD563" s="1338"/>
      <c r="AE563" s="1338"/>
      <c r="AF563" s="1338"/>
      <c r="AG563" s="317"/>
      <c r="AH563" s="317"/>
      <c r="AI563" s="317"/>
      <c r="AJ563" s="317"/>
      <c r="AK563" s="317"/>
      <c r="AL563" s="317"/>
      <c r="AM563" s="317"/>
      <c r="AN563" s="317"/>
      <c r="AO563" s="317"/>
      <c r="AP563" s="317"/>
      <c r="AQ563" s="317"/>
      <c r="AR563" s="317"/>
      <c r="AS563" s="317"/>
      <c r="AT563" s="317"/>
      <c r="AU563" s="317"/>
      <c r="AV563" s="317"/>
      <c r="AW563" s="317"/>
      <c r="AX563" s="317"/>
      <c r="BF563" s="317"/>
      <c r="BG563" s="450"/>
      <c r="BH563" s="450"/>
    </row>
    <row r="564" spans="2:60" ht="12" customHeight="1">
      <c r="B564" s="317"/>
      <c r="C564" s="317"/>
      <c r="D564" s="319"/>
      <c r="AB564" s="1338"/>
      <c r="AC564" s="1338"/>
      <c r="AD564" s="1338"/>
      <c r="AE564" s="1338"/>
      <c r="AF564" s="1338"/>
      <c r="AG564" s="317"/>
      <c r="AH564" s="317"/>
      <c r="AI564" s="317"/>
      <c r="AJ564" s="317"/>
      <c r="AK564" s="317"/>
      <c r="AL564" s="317"/>
      <c r="AM564" s="317"/>
      <c r="AN564" s="317"/>
      <c r="AO564" s="317"/>
      <c r="AP564" s="317"/>
      <c r="AQ564" s="317"/>
      <c r="AR564" s="317"/>
      <c r="AS564" s="317"/>
      <c r="AT564" s="317"/>
      <c r="AU564" s="317"/>
      <c r="AV564" s="317"/>
      <c r="AW564" s="317"/>
      <c r="AX564" s="317"/>
      <c r="BF564" s="317"/>
      <c r="BG564" s="450"/>
      <c r="BH564" s="450"/>
    </row>
    <row r="565" spans="2:60" ht="12" customHeight="1">
      <c r="B565" s="317"/>
      <c r="C565" s="317"/>
      <c r="D565" s="319"/>
      <c r="AB565" s="1338"/>
      <c r="AC565" s="1338"/>
      <c r="AD565" s="1338"/>
      <c r="AE565" s="1338"/>
      <c r="AF565" s="1338"/>
      <c r="AG565" s="317"/>
      <c r="AH565" s="317"/>
      <c r="AI565" s="317"/>
      <c r="AJ565" s="317"/>
      <c r="AK565" s="317"/>
      <c r="AL565" s="317"/>
      <c r="AM565" s="317"/>
      <c r="AN565" s="317"/>
      <c r="AO565" s="317"/>
      <c r="AP565" s="317"/>
      <c r="AQ565" s="317"/>
      <c r="AR565" s="317"/>
      <c r="AS565" s="317"/>
      <c r="AT565" s="317"/>
      <c r="AU565" s="317"/>
      <c r="AV565" s="317"/>
      <c r="AW565" s="317"/>
      <c r="AX565" s="317"/>
      <c r="BF565" s="317"/>
      <c r="BG565" s="450"/>
      <c r="BH565" s="450"/>
    </row>
    <row r="566" spans="2:60" ht="12" customHeight="1">
      <c r="B566" s="317"/>
      <c r="C566" s="317"/>
      <c r="D566" s="319"/>
      <c r="AB566" s="1338"/>
      <c r="AC566" s="1338"/>
      <c r="AD566" s="1338"/>
      <c r="AE566" s="1338"/>
      <c r="AF566" s="1338"/>
      <c r="AG566" s="317"/>
      <c r="AH566" s="317"/>
      <c r="AI566" s="317"/>
      <c r="AJ566" s="317"/>
      <c r="AK566" s="317"/>
      <c r="AL566" s="317"/>
      <c r="AM566" s="317"/>
      <c r="AN566" s="317"/>
      <c r="AO566" s="317"/>
      <c r="AP566" s="317"/>
      <c r="AQ566" s="317"/>
      <c r="AR566" s="317"/>
      <c r="AS566" s="317"/>
      <c r="AT566" s="317"/>
      <c r="AU566" s="317"/>
      <c r="AV566" s="317"/>
      <c r="AW566" s="317"/>
      <c r="AX566" s="317"/>
      <c r="BF566" s="317"/>
      <c r="BG566" s="450"/>
      <c r="BH566" s="450"/>
    </row>
    <row r="567" spans="2:60" ht="12" customHeight="1">
      <c r="B567" s="317"/>
      <c r="C567" s="317"/>
      <c r="D567" s="319"/>
      <c r="AB567" s="1338"/>
      <c r="AC567" s="1338"/>
      <c r="AD567" s="1338"/>
      <c r="AE567" s="1338"/>
      <c r="AF567" s="1338"/>
      <c r="AG567" s="317"/>
      <c r="AH567" s="317"/>
      <c r="AI567" s="317"/>
      <c r="AJ567" s="317"/>
      <c r="AK567" s="317"/>
      <c r="AL567" s="317"/>
      <c r="AM567" s="317"/>
      <c r="AN567" s="317"/>
      <c r="AO567" s="317"/>
      <c r="AP567" s="317"/>
      <c r="AQ567" s="317"/>
      <c r="AR567" s="317"/>
      <c r="AS567" s="317"/>
      <c r="AT567" s="317"/>
      <c r="AU567" s="317"/>
      <c r="AV567" s="317"/>
      <c r="AW567" s="317"/>
      <c r="AX567" s="317"/>
      <c r="BF567" s="317"/>
      <c r="BG567" s="450"/>
      <c r="BH567" s="450"/>
    </row>
    <row r="568" spans="2:60" ht="12" customHeight="1">
      <c r="B568" s="317"/>
      <c r="C568" s="317"/>
      <c r="D568" s="319"/>
      <c r="AB568" s="1338"/>
      <c r="AC568" s="1338"/>
      <c r="AD568" s="1338"/>
      <c r="AE568" s="1338"/>
      <c r="AF568" s="1338"/>
      <c r="AG568" s="317"/>
      <c r="AH568" s="317"/>
      <c r="AI568" s="317"/>
      <c r="AJ568" s="317"/>
      <c r="AK568" s="317"/>
      <c r="AL568" s="317"/>
      <c r="AM568" s="317"/>
      <c r="AN568" s="317"/>
      <c r="AO568" s="317"/>
      <c r="AP568" s="317"/>
      <c r="AQ568" s="317"/>
      <c r="AR568" s="317"/>
      <c r="AS568" s="317"/>
      <c r="AT568" s="317"/>
      <c r="AU568" s="317"/>
      <c r="AV568" s="317"/>
      <c r="AW568" s="317"/>
      <c r="AX568" s="317"/>
      <c r="BF568" s="317"/>
      <c r="BG568" s="450"/>
      <c r="BH568" s="450"/>
    </row>
    <row r="569" spans="2:60" ht="12" customHeight="1">
      <c r="B569" s="317"/>
      <c r="C569" s="317"/>
      <c r="D569" s="319"/>
      <c r="AB569" s="1338"/>
      <c r="AC569" s="1338"/>
      <c r="AD569" s="1338"/>
      <c r="AE569" s="1338"/>
      <c r="AF569" s="1338"/>
      <c r="AG569" s="317"/>
      <c r="AH569" s="317"/>
      <c r="AI569" s="317"/>
      <c r="AJ569" s="317"/>
      <c r="AK569" s="317"/>
      <c r="AL569" s="317"/>
      <c r="AM569" s="317"/>
      <c r="AN569" s="317"/>
      <c r="AO569" s="317"/>
      <c r="AP569" s="317"/>
      <c r="AQ569" s="317"/>
      <c r="AR569" s="317"/>
      <c r="AS569" s="317"/>
      <c r="AT569" s="317"/>
      <c r="AU569" s="317"/>
      <c r="AV569" s="317"/>
      <c r="AW569" s="317"/>
      <c r="AX569" s="317"/>
      <c r="BF569" s="317"/>
      <c r="BG569" s="450"/>
      <c r="BH569" s="450"/>
    </row>
    <row r="570" spans="2:60" ht="12" customHeight="1">
      <c r="B570" s="317"/>
      <c r="C570" s="317"/>
      <c r="D570" s="319"/>
      <c r="AB570" s="1338"/>
      <c r="AC570" s="1338"/>
      <c r="AD570" s="1338"/>
      <c r="AE570" s="1338"/>
      <c r="AF570" s="1338"/>
      <c r="AG570" s="317"/>
      <c r="AH570" s="317"/>
      <c r="AI570" s="317"/>
      <c r="AJ570" s="317"/>
      <c r="AK570" s="317"/>
      <c r="AL570" s="317"/>
      <c r="AM570" s="317"/>
      <c r="AN570" s="317"/>
      <c r="AO570" s="317"/>
      <c r="AP570" s="317"/>
      <c r="AQ570" s="317"/>
      <c r="AR570" s="317"/>
      <c r="AS570" s="317"/>
      <c r="AT570" s="317"/>
      <c r="AU570" s="317"/>
      <c r="AV570" s="317"/>
      <c r="AW570" s="317"/>
      <c r="AX570" s="317"/>
      <c r="BF570" s="317"/>
      <c r="BG570" s="450"/>
      <c r="BH570" s="450"/>
    </row>
    <row r="571" spans="2:60" ht="12" customHeight="1">
      <c r="B571" s="317"/>
      <c r="C571" s="317"/>
      <c r="D571" s="319"/>
      <c r="AB571" s="1338"/>
      <c r="AC571" s="1338"/>
      <c r="AD571" s="1338"/>
      <c r="AE571" s="1338"/>
      <c r="AF571" s="1338"/>
      <c r="AG571" s="317"/>
      <c r="AH571" s="317"/>
      <c r="AI571" s="317"/>
      <c r="AJ571" s="317"/>
      <c r="AK571" s="317"/>
      <c r="AL571" s="317"/>
      <c r="AM571" s="317"/>
      <c r="AN571" s="317"/>
      <c r="AO571" s="317"/>
      <c r="AP571" s="317"/>
      <c r="AQ571" s="317"/>
      <c r="AR571" s="317"/>
      <c r="AS571" s="317"/>
      <c r="AT571" s="317"/>
      <c r="AU571" s="317"/>
      <c r="AV571" s="317"/>
      <c r="AW571" s="317"/>
      <c r="AX571" s="317"/>
      <c r="BF571" s="317"/>
      <c r="BG571" s="450"/>
      <c r="BH571" s="450"/>
    </row>
    <row r="572" spans="2:60" ht="12" customHeight="1">
      <c r="B572" s="317"/>
      <c r="C572" s="317"/>
      <c r="D572" s="319"/>
      <c r="AB572" s="1338"/>
      <c r="AC572" s="1338"/>
      <c r="AD572" s="1338"/>
      <c r="AE572" s="1338"/>
      <c r="AF572" s="1338"/>
      <c r="AG572" s="317"/>
      <c r="AH572" s="317"/>
      <c r="AI572" s="317"/>
      <c r="AJ572" s="317"/>
      <c r="AK572" s="317"/>
      <c r="AL572" s="317"/>
      <c r="AM572" s="317"/>
      <c r="AN572" s="317"/>
      <c r="AO572" s="317"/>
      <c r="AP572" s="317"/>
      <c r="AQ572" s="317"/>
      <c r="AR572" s="317"/>
      <c r="AS572" s="317"/>
      <c r="AT572" s="317"/>
      <c r="AU572" s="317"/>
      <c r="AV572" s="317"/>
      <c r="AW572" s="317"/>
      <c r="AX572" s="317"/>
      <c r="BF572" s="317"/>
      <c r="BG572" s="450"/>
      <c r="BH572" s="450"/>
    </row>
    <row r="573" spans="2:60" ht="12" customHeight="1">
      <c r="B573" s="317"/>
      <c r="C573" s="317"/>
      <c r="D573" s="319"/>
      <c r="AB573" s="1338"/>
      <c r="AC573" s="1338"/>
      <c r="AD573" s="1338"/>
      <c r="AE573" s="1338"/>
      <c r="AF573" s="1338"/>
      <c r="AG573" s="317"/>
      <c r="AH573" s="317"/>
      <c r="AI573" s="317"/>
      <c r="AJ573" s="317"/>
      <c r="AK573" s="317"/>
      <c r="AL573" s="317"/>
      <c r="AM573" s="317"/>
      <c r="AN573" s="317"/>
      <c r="AO573" s="317"/>
      <c r="AP573" s="317"/>
      <c r="AQ573" s="317"/>
      <c r="AR573" s="317"/>
      <c r="AS573" s="317"/>
      <c r="AT573" s="317"/>
      <c r="AU573" s="317"/>
      <c r="AV573" s="317"/>
      <c r="AW573" s="317"/>
      <c r="AX573" s="317"/>
      <c r="BF573" s="317"/>
      <c r="BG573" s="450"/>
      <c r="BH573" s="450"/>
    </row>
    <row r="574" spans="2:60" ht="12" customHeight="1">
      <c r="B574" s="317"/>
      <c r="C574" s="317"/>
      <c r="D574" s="319"/>
      <c r="AB574" s="1338"/>
      <c r="AC574" s="1338"/>
      <c r="AD574" s="1338"/>
      <c r="AE574" s="1338"/>
      <c r="AF574" s="1338"/>
      <c r="AG574" s="317"/>
      <c r="AH574" s="317"/>
      <c r="AI574" s="317"/>
      <c r="AJ574" s="317"/>
      <c r="AK574" s="317"/>
      <c r="AL574" s="317"/>
      <c r="AM574" s="317"/>
      <c r="AN574" s="317"/>
      <c r="AO574" s="317"/>
      <c r="AP574" s="317"/>
      <c r="AQ574" s="317"/>
      <c r="AR574" s="317"/>
      <c r="AS574" s="317"/>
      <c r="AT574" s="317"/>
      <c r="AU574" s="317"/>
      <c r="AV574" s="317"/>
      <c r="AW574" s="317"/>
      <c r="AX574" s="317"/>
      <c r="BF574" s="317"/>
      <c r="BG574" s="450"/>
      <c r="BH574" s="450"/>
    </row>
    <row r="575" spans="2:60" ht="12" customHeight="1">
      <c r="B575" s="317"/>
      <c r="C575" s="317"/>
      <c r="D575" s="319"/>
      <c r="AB575" s="1338"/>
      <c r="AC575" s="1338"/>
      <c r="AD575" s="1338"/>
      <c r="AE575" s="1338"/>
      <c r="AF575" s="1338"/>
      <c r="AG575" s="317"/>
      <c r="AH575" s="317"/>
      <c r="AI575" s="317"/>
      <c r="AJ575" s="317"/>
      <c r="AK575" s="317"/>
      <c r="AL575" s="317"/>
      <c r="AM575" s="317"/>
      <c r="AN575" s="317"/>
      <c r="AO575" s="317"/>
      <c r="AP575" s="317"/>
      <c r="AQ575" s="317"/>
      <c r="AR575" s="317"/>
      <c r="AS575" s="317"/>
      <c r="AT575" s="317"/>
      <c r="AU575" s="317"/>
      <c r="AV575" s="317"/>
      <c r="AW575" s="317"/>
      <c r="AX575" s="317"/>
      <c r="BF575" s="317"/>
      <c r="BG575" s="450"/>
      <c r="BH575" s="450"/>
    </row>
    <row r="576" spans="2:60" ht="12" customHeight="1">
      <c r="B576" s="317"/>
      <c r="C576" s="317"/>
      <c r="D576" s="319"/>
      <c r="AB576" s="1338"/>
      <c r="AC576" s="1338"/>
      <c r="AD576" s="1338"/>
      <c r="AE576" s="1338"/>
      <c r="AF576" s="1338"/>
      <c r="AG576" s="317"/>
      <c r="AH576" s="317"/>
      <c r="AI576" s="317"/>
      <c r="AJ576" s="317"/>
      <c r="AK576" s="317"/>
      <c r="AL576" s="317"/>
      <c r="AM576" s="317"/>
      <c r="AN576" s="317"/>
      <c r="AO576" s="317"/>
      <c r="AP576" s="317"/>
      <c r="AQ576" s="317"/>
      <c r="AR576" s="317"/>
      <c r="AS576" s="317"/>
      <c r="AT576" s="317"/>
      <c r="AU576" s="317"/>
      <c r="AV576" s="317"/>
      <c r="AW576" s="317"/>
      <c r="AX576" s="317"/>
      <c r="BF576" s="317"/>
      <c r="BG576" s="450"/>
      <c r="BH576" s="450"/>
    </row>
    <row r="577" spans="2:60" ht="12" customHeight="1">
      <c r="B577" s="317"/>
      <c r="C577" s="317"/>
      <c r="D577" s="319"/>
      <c r="AB577" s="1338"/>
      <c r="AC577" s="1338"/>
      <c r="AD577" s="1338"/>
      <c r="AE577" s="1338"/>
      <c r="AF577" s="1338"/>
      <c r="AG577" s="317"/>
      <c r="AH577" s="317"/>
      <c r="AI577" s="317"/>
      <c r="AJ577" s="317"/>
      <c r="AK577" s="317"/>
      <c r="AL577" s="317"/>
      <c r="AM577" s="317"/>
      <c r="AN577" s="317"/>
      <c r="AO577" s="317"/>
      <c r="AP577" s="317"/>
      <c r="AQ577" s="317"/>
      <c r="AR577" s="317"/>
      <c r="AS577" s="317"/>
      <c r="AT577" s="317"/>
      <c r="AU577" s="317"/>
      <c r="AV577" s="317"/>
      <c r="AW577" s="317"/>
      <c r="AX577" s="317"/>
      <c r="BF577" s="317"/>
      <c r="BG577" s="450"/>
      <c r="BH577" s="450"/>
    </row>
    <row r="578" spans="2:60" ht="12" customHeight="1">
      <c r="B578" s="317"/>
      <c r="C578" s="317"/>
      <c r="D578" s="319"/>
      <c r="AB578" s="1338"/>
      <c r="AC578" s="1338"/>
      <c r="AD578" s="1338"/>
      <c r="AE578" s="1338"/>
      <c r="AF578" s="1338"/>
      <c r="AG578" s="317"/>
      <c r="AH578" s="317"/>
      <c r="AI578" s="317"/>
      <c r="AJ578" s="317"/>
      <c r="AK578" s="317"/>
      <c r="AL578" s="317"/>
      <c r="AM578" s="317"/>
      <c r="AN578" s="317"/>
      <c r="AO578" s="317"/>
      <c r="AP578" s="317"/>
      <c r="AQ578" s="317"/>
      <c r="AR578" s="317"/>
      <c r="AS578" s="317"/>
      <c r="AT578" s="317"/>
      <c r="AU578" s="317"/>
      <c r="AV578" s="317"/>
      <c r="AW578" s="317"/>
      <c r="AX578" s="317"/>
      <c r="BF578" s="317"/>
      <c r="BG578" s="450"/>
      <c r="BH578" s="450"/>
    </row>
    <row r="579" spans="2:60" ht="12" customHeight="1">
      <c r="B579" s="317"/>
      <c r="C579" s="317"/>
      <c r="D579" s="319"/>
      <c r="AB579" s="1338"/>
      <c r="AC579" s="1338"/>
      <c r="AD579" s="1338"/>
      <c r="AE579" s="1338"/>
      <c r="AF579" s="1338"/>
      <c r="AG579" s="317"/>
      <c r="AH579" s="317"/>
      <c r="AI579" s="317"/>
      <c r="AJ579" s="317"/>
      <c r="AK579" s="317"/>
      <c r="AL579" s="317"/>
      <c r="AM579" s="317"/>
      <c r="AN579" s="317"/>
      <c r="AO579" s="317"/>
      <c r="AP579" s="317"/>
      <c r="AQ579" s="317"/>
      <c r="AR579" s="317"/>
      <c r="AS579" s="317"/>
      <c r="AT579" s="317"/>
      <c r="AU579" s="317"/>
      <c r="AV579" s="317"/>
      <c r="AW579" s="317"/>
      <c r="AX579" s="317"/>
      <c r="BF579" s="317"/>
      <c r="BG579" s="450"/>
      <c r="BH579" s="450"/>
    </row>
    <row r="580" spans="2:60" ht="12" customHeight="1">
      <c r="B580" s="317"/>
      <c r="C580" s="317"/>
      <c r="D580" s="319"/>
      <c r="AB580" s="1338"/>
      <c r="AC580" s="1338"/>
      <c r="AD580" s="1338"/>
      <c r="AE580" s="1338"/>
      <c r="AF580" s="1338"/>
      <c r="AG580" s="317"/>
      <c r="AH580" s="317"/>
      <c r="AI580" s="317"/>
      <c r="AJ580" s="317"/>
      <c r="AK580" s="317"/>
      <c r="AL580" s="317"/>
      <c r="AM580" s="317"/>
      <c r="AN580" s="317"/>
      <c r="AO580" s="317"/>
      <c r="AP580" s="317"/>
      <c r="AQ580" s="317"/>
      <c r="AR580" s="317"/>
      <c r="AS580" s="317"/>
      <c r="AT580" s="317"/>
      <c r="AU580" s="317"/>
      <c r="AV580" s="317"/>
      <c r="AW580" s="317"/>
      <c r="AX580" s="317"/>
      <c r="BF580" s="317"/>
      <c r="BG580" s="450"/>
      <c r="BH580" s="450"/>
    </row>
    <row r="581" spans="2:60" ht="12" customHeight="1">
      <c r="B581" s="317"/>
      <c r="C581" s="317"/>
      <c r="D581" s="319"/>
      <c r="AB581" s="1338"/>
      <c r="AC581" s="1338"/>
      <c r="AD581" s="1338"/>
      <c r="AE581" s="1338"/>
      <c r="AF581" s="1338"/>
      <c r="AG581" s="317"/>
      <c r="AH581" s="317"/>
      <c r="AI581" s="317"/>
      <c r="AJ581" s="317"/>
      <c r="AK581" s="317"/>
      <c r="AL581" s="317"/>
      <c r="AM581" s="317"/>
      <c r="AN581" s="317"/>
      <c r="AO581" s="317"/>
      <c r="AP581" s="317"/>
      <c r="AQ581" s="317"/>
      <c r="AR581" s="317"/>
      <c r="AS581" s="317"/>
      <c r="AT581" s="317"/>
      <c r="AU581" s="317"/>
      <c r="AV581" s="317"/>
      <c r="AW581" s="317"/>
      <c r="AX581" s="317"/>
      <c r="BF581" s="317"/>
      <c r="BG581" s="450"/>
      <c r="BH581" s="450"/>
    </row>
    <row r="582" spans="2:60" ht="12" customHeight="1">
      <c r="B582" s="317"/>
      <c r="C582" s="317"/>
      <c r="D582" s="319"/>
      <c r="AB582" s="1338"/>
      <c r="AC582" s="1338"/>
      <c r="AD582" s="1338"/>
      <c r="AE582" s="1338"/>
      <c r="AF582" s="1338"/>
      <c r="AG582" s="317"/>
      <c r="AH582" s="317"/>
      <c r="AI582" s="317"/>
      <c r="AJ582" s="317"/>
      <c r="AK582" s="317"/>
      <c r="AL582" s="317"/>
      <c r="AM582" s="317"/>
      <c r="AN582" s="317"/>
      <c r="AO582" s="317"/>
      <c r="AP582" s="317"/>
      <c r="AQ582" s="317"/>
      <c r="AR582" s="317"/>
      <c r="AS582" s="317"/>
      <c r="AT582" s="317"/>
      <c r="AU582" s="317"/>
      <c r="AV582" s="317"/>
      <c r="AW582" s="317"/>
      <c r="AX582" s="317"/>
      <c r="BF582" s="317"/>
      <c r="BG582" s="450"/>
      <c r="BH582" s="450"/>
    </row>
    <row r="583" spans="2:60" ht="12" customHeight="1">
      <c r="B583" s="317"/>
      <c r="C583" s="317"/>
      <c r="D583" s="319"/>
      <c r="AB583" s="1338"/>
      <c r="AC583" s="1338"/>
      <c r="AD583" s="1338"/>
      <c r="AE583" s="1338"/>
      <c r="AF583" s="1338"/>
      <c r="AG583" s="317"/>
      <c r="AH583" s="317"/>
      <c r="AI583" s="317"/>
      <c r="AJ583" s="317"/>
      <c r="AK583" s="317"/>
      <c r="AL583" s="317"/>
      <c r="AM583" s="317"/>
      <c r="AN583" s="317"/>
      <c r="AO583" s="317"/>
      <c r="AP583" s="317"/>
      <c r="AQ583" s="317"/>
      <c r="AR583" s="317"/>
      <c r="AS583" s="317"/>
      <c r="AT583" s="317"/>
      <c r="AU583" s="317"/>
      <c r="AV583" s="317"/>
      <c r="AW583" s="317"/>
      <c r="AX583" s="317"/>
      <c r="BF583" s="317"/>
      <c r="BG583" s="450"/>
      <c r="BH583" s="450"/>
    </row>
    <row r="584" spans="2:60" ht="12" customHeight="1">
      <c r="B584" s="317"/>
      <c r="C584" s="317"/>
      <c r="D584" s="319"/>
      <c r="AB584" s="1338"/>
      <c r="AC584" s="1338"/>
      <c r="AD584" s="1338"/>
      <c r="AE584" s="1338"/>
      <c r="AF584" s="1338"/>
      <c r="AG584" s="317"/>
      <c r="AH584" s="317"/>
      <c r="AI584" s="317"/>
      <c r="AJ584" s="317"/>
      <c r="AK584" s="317"/>
      <c r="AL584" s="317"/>
      <c r="AM584" s="317"/>
      <c r="AN584" s="317"/>
      <c r="AO584" s="317"/>
      <c r="AP584" s="317"/>
      <c r="AQ584" s="317"/>
      <c r="AR584" s="317"/>
      <c r="AS584" s="317"/>
      <c r="AT584" s="317"/>
      <c r="AU584" s="317"/>
      <c r="AV584" s="317"/>
      <c r="AW584" s="317"/>
      <c r="AX584" s="317"/>
      <c r="BF584" s="317"/>
      <c r="BG584" s="450"/>
      <c r="BH584" s="450"/>
    </row>
    <row r="585" spans="2:60" ht="12" customHeight="1">
      <c r="B585" s="317"/>
      <c r="C585" s="317"/>
      <c r="D585" s="319"/>
      <c r="AB585" s="1338"/>
      <c r="AC585" s="1338"/>
      <c r="AD585" s="1338"/>
      <c r="AE585" s="1338"/>
      <c r="AF585" s="1338"/>
      <c r="AG585" s="317"/>
      <c r="AH585" s="317"/>
      <c r="AI585" s="317"/>
      <c r="AJ585" s="317"/>
      <c r="AK585" s="317"/>
      <c r="AL585" s="317"/>
      <c r="AM585" s="317"/>
      <c r="AN585" s="317"/>
      <c r="AO585" s="317"/>
      <c r="AP585" s="317"/>
      <c r="AQ585" s="317"/>
      <c r="AR585" s="317"/>
      <c r="AS585" s="317"/>
      <c r="AT585" s="317"/>
      <c r="AU585" s="317"/>
      <c r="AV585" s="317"/>
      <c r="AW585" s="317"/>
      <c r="AX585" s="317"/>
      <c r="BF585" s="317"/>
      <c r="BG585" s="450"/>
      <c r="BH585" s="450"/>
    </row>
    <row r="586" spans="2:60" ht="12" customHeight="1">
      <c r="B586" s="317"/>
      <c r="C586" s="317"/>
      <c r="D586" s="319"/>
      <c r="AB586" s="1338"/>
      <c r="AC586" s="1338"/>
      <c r="AD586" s="1338"/>
      <c r="AE586" s="1338"/>
      <c r="AF586" s="1338"/>
      <c r="AG586" s="317"/>
      <c r="AH586" s="317"/>
      <c r="AI586" s="317"/>
      <c r="AJ586" s="317"/>
      <c r="AK586" s="317"/>
      <c r="AL586" s="317"/>
      <c r="AM586" s="317"/>
      <c r="AN586" s="317"/>
      <c r="AO586" s="317"/>
      <c r="AP586" s="317"/>
      <c r="AQ586" s="317"/>
      <c r="AR586" s="317"/>
      <c r="AS586" s="317"/>
      <c r="AT586" s="317"/>
      <c r="AU586" s="317"/>
      <c r="AV586" s="317"/>
      <c r="AW586" s="317"/>
      <c r="AX586" s="317"/>
      <c r="BF586" s="317"/>
      <c r="BG586" s="450"/>
      <c r="BH586" s="450"/>
    </row>
    <row r="587" spans="2:60" ht="12" customHeight="1">
      <c r="B587" s="317"/>
      <c r="C587" s="317"/>
      <c r="D587" s="319"/>
      <c r="AB587" s="1338"/>
      <c r="AC587" s="1338"/>
      <c r="AD587" s="1338"/>
      <c r="AE587" s="1338"/>
      <c r="AF587" s="1338"/>
      <c r="AG587" s="317"/>
      <c r="AH587" s="317"/>
      <c r="AI587" s="317"/>
      <c r="AJ587" s="317"/>
      <c r="AK587" s="317"/>
      <c r="AL587" s="317"/>
      <c r="AM587" s="317"/>
      <c r="AN587" s="317"/>
      <c r="AO587" s="317"/>
      <c r="AP587" s="317"/>
      <c r="AQ587" s="317"/>
      <c r="AR587" s="317"/>
      <c r="AS587" s="317"/>
      <c r="AT587" s="317"/>
      <c r="AU587" s="317"/>
      <c r="AV587" s="317"/>
      <c r="AW587" s="317"/>
      <c r="AX587" s="317"/>
      <c r="BF587" s="317"/>
      <c r="BG587" s="450"/>
      <c r="BH587" s="450"/>
    </row>
    <row r="588" spans="2:60" ht="12" customHeight="1">
      <c r="B588" s="317"/>
      <c r="C588" s="317"/>
      <c r="D588" s="319"/>
      <c r="AB588" s="1338"/>
      <c r="AC588" s="1338"/>
      <c r="AD588" s="1338"/>
      <c r="AE588" s="1338"/>
      <c r="AF588" s="1338"/>
      <c r="AG588" s="317"/>
      <c r="AH588" s="317"/>
      <c r="AI588" s="317"/>
      <c r="AJ588" s="317"/>
      <c r="AK588" s="317"/>
      <c r="AL588" s="317"/>
      <c r="AM588" s="317"/>
      <c r="AN588" s="317"/>
      <c r="AO588" s="317"/>
      <c r="AP588" s="317"/>
      <c r="AQ588" s="317"/>
      <c r="AR588" s="317"/>
      <c r="AS588" s="317"/>
      <c r="AT588" s="317"/>
      <c r="AU588" s="317"/>
      <c r="AV588" s="317"/>
      <c r="AW588" s="317"/>
      <c r="AX588" s="317"/>
      <c r="BF588" s="317"/>
      <c r="BG588" s="450"/>
      <c r="BH588" s="450"/>
    </row>
    <row r="589" spans="2:60" ht="12" customHeight="1">
      <c r="B589" s="317"/>
      <c r="C589" s="317"/>
      <c r="D589" s="319"/>
      <c r="AB589" s="1338"/>
      <c r="AC589" s="1338"/>
      <c r="AD589" s="1338"/>
      <c r="AE589" s="1338"/>
      <c r="AF589" s="1338"/>
      <c r="AG589" s="317"/>
      <c r="AH589" s="317"/>
      <c r="AI589" s="317"/>
      <c r="AJ589" s="317"/>
      <c r="AK589" s="317"/>
      <c r="AL589" s="317"/>
      <c r="AM589" s="317"/>
      <c r="AN589" s="317"/>
      <c r="AO589" s="317"/>
      <c r="AP589" s="317"/>
      <c r="AQ589" s="317"/>
      <c r="AR589" s="317"/>
      <c r="AS589" s="317"/>
      <c r="AT589" s="317"/>
      <c r="AU589" s="317"/>
      <c r="AV589" s="317"/>
      <c r="AW589" s="317"/>
      <c r="AX589" s="317"/>
      <c r="BF589" s="317"/>
      <c r="BG589" s="450"/>
      <c r="BH589" s="450"/>
    </row>
    <row r="590" spans="2:60" ht="12" customHeight="1">
      <c r="B590" s="317"/>
      <c r="C590" s="317"/>
      <c r="D590" s="319"/>
      <c r="AB590" s="1338"/>
      <c r="AC590" s="1338"/>
      <c r="AD590" s="1338"/>
      <c r="AE590" s="1338"/>
      <c r="AF590" s="1338"/>
      <c r="AG590" s="317"/>
      <c r="AH590" s="317"/>
      <c r="AI590" s="317"/>
      <c r="AJ590" s="317"/>
      <c r="AK590" s="317"/>
      <c r="AL590" s="317"/>
      <c r="AM590" s="317"/>
      <c r="AN590" s="317"/>
      <c r="AO590" s="317"/>
      <c r="AP590" s="317"/>
      <c r="AQ590" s="317"/>
      <c r="AR590" s="317"/>
      <c r="AS590" s="317"/>
      <c r="AT590" s="317"/>
      <c r="AU590" s="317"/>
      <c r="AV590" s="317"/>
      <c r="AW590" s="317"/>
      <c r="AX590" s="317"/>
      <c r="BF590" s="317"/>
      <c r="BG590" s="450"/>
      <c r="BH590" s="450"/>
    </row>
    <row r="591" spans="2:60" ht="12" customHeight="1">
      <c r="B591" s="317"/>
      <c r="C591" s="317"/>
      <c r="D591" s="319"/>
      <c r="AB591" s="1338"/>
      <c r="AC591" s="1338"/>
      <c r="AD591" s="1338"/>
      <c r="AE591" s="1338"/>
      <c r="AF591" s="1338"/>
      <c r="AG591" s="317"/>
      <c r="AH591" s="317"/>
      <c r="AI591" s="317"/>
      <c r="AJ591" s="317"/>
      <c r="AK591" s="317"/>
      <c r="AL591" s="317"/>
      <c r="AM591" s="317"/>
      <c r="AN591" s="317"/>
      <c r="AO591" s="317"/>
      <c r="AP591" s="317"/>
      <c r="AQ591" s="317"/>
      <c r="AR591" s="317"/>
      <c r="AS591" s="317"/>
      <c r="AT591" s="317"/>
      <c r="AU591" s="317"/>
      <c r="AV591" s="317"/>
      <c r="AW591" s="317"/>
      <c r="AX591" s="317"/>
      <c r="BF591" s="317"/>
      <c r="BG591" s="450"/>
      <c r="BH591" s="450"/>
    </row>
    <row r="592" spans="2:60" ht="12" customHeight="1">
      <c r="B592" s="317"/>
      <c r="C592" s="317"/>
      <c r="D592" s="319"/>
      <c r="AB592" s="1338"/>
      <c r="AC592" s="1338"/>
      <c r="AD592" s="1338"/>
      <c r="AE592" s="1338"/>
      <c r="AF592" s="1338"/>
      <c r="AG592" s="317"/>
      <c r="AH592" s="317"/>
      <c r="AI592" s="317"/>
      <c r="AJ592" s="317"/>
      <c r="AK592" s="317"/>
      <c r="AL592" s="317"/>
      <c r="AM592" s="317"/>
      <c r="AN592" s="317"/>
      <c r="AO592" s="317"/>
      <c r="AP592" s="317"/>
      <c r="AQ592" s="317"/>
      <c r="AR592" s="317"/>
      <c r="AS592" s="317"/>
      <c r="AT592" s="317"/>
      <c r="AU592" s="317"/>
      <c r="AV592" s="317"/>
      <c r="AW592" s="317"/>
      <c r="AX592" s="317"/>
      <c r="BF592" s="317"/>
      <c r="BG592" s="450"/>
      <c r="BH592" s="450"/>
    </row>
    <row r="593" spans="2:60" ht="12" customHeight="1">
      <c r="B593" s="317"/>
      <c r="C593" s="317"/>
      <c r="D593" s="319"/>
      <c r="AB593" s="1338"/>
      <c r="AC593" s="1338"/>
      <c r="AD593" s="1338"/>
      <c r="AE593" s="1338"/>
      <c r="AF593" s="1338"/>
      <c r="AG593" s="317"/>
      <c r="AH593" s="317"/>
      <c r="AI593" s="317"/>
      <c r="AJ593" s="317"/>
      <c r="AK593" s="317"/>
      <c r="AL593" s="317"/>
      <c r="AM593" s="317"/>
      <c r="AN593" s="317"/>
      <c r="AO593" s="317"/>
      <c r="AP593" s="317"/>
      <c r="AQ593" s="317"/>
      <c r="AR593" s="317"/>
      <c r="AS593" s="317"/>
      <c r="AT593" s="317"/>
      <c r="AU593" s="317"/>
      <c r="AV593" s="317"/>
      <c r="AW593" s="317"/>
      <c r="AX593" s="317"/>
      <c r="BF593" s="317"/>
      <c r="BG593" s="450"/>
      <c r="BH593" s="450"/>
    </row>
    <row r="594" spans="2:60" ht="12" customHeight="1">
      <c r="B594" s="317"/>
      <c r="C594" s="317"/>
      <c r="D594" s="319"/>
      <c r="AB594" s="1338"/>
      <c r="AC594" s="1338"/>
      <c r="AD594" s="1338"/>
      <c r="AE594" s="1338"/>
      <c r="AF594" s="1338"/>
      <c r="AG594" s="317"/>
      <c r="AH594" s="317"/>
      <c r="AI594" s="317"/>
      <c r="AJ594" s="317"/>
      <c r="AK594" s="317"/>
      <c r="AL594" s="317"/>
      <c r="AM594" s="317"/>
      <c r="AN594" s="317"/>
      <c r="AO594" s="317"/>
      <c r="AP594" s="317"/>
      <c r="AQ594" s="317"/>
      <c r="AR594" s="317"/>
      <c r="AS594" s="317"/>
      <c r="AT594" s="317"/>
      <c r="AU594" s="317"/>
      <c r="AV594" s="317"/>
      <c r="AW594" s="317"/>
      <c r="AX594" s="317"/>
      <c r="BF594" s="317"/>
      <c r="BG594" s="450"/>
      <c r="BH594" s="450"/>
    </row>
    <row r="595" spans="2:60" ht="12" customHeight="1">
      <c r="B595" s="317"/>
      <c r="C595" s="317"/>
      <c r="D595" s="319"/>
      <c r="AB595" s="1338"/>
      <c r="AC595" s="1338"/>
      <c r="AD595" s="1338"/>
      <c r="AE595" s="1338"/>
      <c r="AF595" s="1338"/>
      <c r="AG595" s="317"/>
      <c r="AH595" s="317"/>
      <c r="AI595" s="317"/>
      <c r="AJ595" s="317"/>
      <c r="AK595" s="317"/>
      <c r="AL595" s="317"/>
      <c r="AM595" s="317"/>
      <c r="AN595" s="317"/>
      <c r="AO595" s="317"/>
      <c r="AP595" s="317"/>
      <c r="AQ595" s="317"/>
      <c r="AR595" s="317"/>
      <c r="AS595" s="317"/>
      <c r="AT595" s="317"/>
      <c r="AU595" s="317"/>
      <c r="AV595" s="317"/>
      <c r="AW595" s="317"/>
      <c r="AX595" s="317"/>
      <c r="BF595" s="317"/>
      <c r="BG595" s="450"/>
      <c r="BH595" s="450"/>
    </row>
    <row r="596" spans="2:60" ht="12" customHeight="1">
      <c r="B596" s="317"/>
      <c r="C596" s="317"/>
      <c r="D596" s="319"/>
      <c r="AB596" s="1338"/>
      <c r="AC596" s="1338"/>
      <c r="AD596" s="1338"/>
      <c r="AE596" s="1338"/>
      <c r="AF596" s="1338"/>
      <c r="AG596" s="317"/>
      <c r="AH596" s="317"/>
      <c r="AI596" s="317"/>
      <c r="AJ596" s="317"/>
      <c r="AK596" s="317"/>
      <c r="AL596" s="317"/>
      <c r="AM596" s="317"/>
      <c r="AN596" s="317"/>
      <c r="AO596" s="317"/>
      <c r="AP596" s="317"/>
      <c r="AQ596" s="317"/>
      <c r="AR596" s="317"/>
      <c r="AS596" s="317"/>
      <c r="AT596" s="317"/>
      <c r="AU596" s="317"/>
      <c r="AV596" s="317"/>
      <c r="AW596" s="317"/>
      <c r="AX596" s="317"/>
      <c r="BF596" s="317"/>
      <c r="BG596" s="450"/>
      <c r="BH596" s="450"/>
    </row>
    <row r="597" spans="2:60" ht="12" customHeight="1">
      <c r="B597" s="317"/>
      <c r="C597" s="317"/>
      <c r="D597" s="319"/>
      <c r="AB597" s="1338"/>
      <c r="AC597" s="1338"/>
      <c r="AD597" s="1338"/>
      <c r="AE597" s="1338"/>
      <c r="AF597" s="1338"/>
      <c r="AG597" s="317"/>
      <c r="AH597" s="317"/>
      <c r="AI597" s="317"/>
      <c r="AJ597" s="317"/>
      <c r="AK597" s="317"/>
      <c r="AL597" s="317"/>
      <c r="AM597" s="317"/>
      <c r="AN597" s="317"/>
      <c r="AO597" s="317"/>
      <c r="AP597" s="317"/>
      <c r="AQ597" s="317"/>
      <c r="AR597" s="317"/>
      <c r="AS597" s="317"/>
      <c r="AT597" s="317"/>
      <c r="AU597" s="317"/>
      <c r="AV597" s="317"/>
      <c r="AW597" s="317"/>
      <c r="AX597" s="317"/>
      <c r="BF597" s="317"/>
      <c r="BG597" s="450"/>
      <c r="BH597" s="450"/>
    </row>
    <row r="598" spans="2:60" ht="12" customHeight="1">
      <c r="B598" s="317"/>
      <c r="C598" s="317"/>
      <c r="D598" s="319"/>
      <c r="AB598" s="1338"/>
      <c r="AC598" s="1338"/>
      <c r="AD598" s="1338"/>
      <c r="AE598" s="1338"/>
      <c r="AF598" s="1338"/>
      <c r="AG598" s="317"/>
      <c r="AH598" s="317"/>
      <c r="AI598" s="317"/>
      <c r="AJ598" s="317"/>
      <c r="AK598" s="317"/>
      <c r="AL598" s="317"/>
      <c r="AM598" s="317"/>
      <c r="AN598" s="317"/>
      <c r="AO598" s="317"/>
      <c r="AP598" s="317"/>
      <c r="AQ598" s="317"/>
      <c r="AR598" s="317"/>
      <c r="AS598" s="317"/>
      <c r="AT598" s="317"/>
      <c r="AU598" s="317"/>
      <c r="AV598" s="317"/>
      <c r="AW598" s="317"/>
      <c r="AX598" s="317"/>
      <c r="BF598" s="317"/>
      <c r="BG598" s="450"/>
      <c r="BH598" s="450"/>
    </row>
    <row r="599" spans="2:60" ht="12" customHeight="1">
      <c r="B599" s="317"/>
      <c r="C599" s="317"/>
      <c r="D599" s="319"/>
      <c r="AB599" s="1338"/>
      <c r="AC599" s="1338"/>
      <c r="AD599" s="1338"/>
      <c r="AE599" s="1338"/>
      <c r="AF599" s="1338"/>
      <c r="AG599" s="317"/>
      <c r="AH599" s="317"/>
      <c r="AI599" s="317"/>
      <c r="AJ599" s="317"/>
      <c r="AK599" s="317"/>
      <c r="AL599" s="317"/>
      <c r="AM599" s="317"/>
      <c r="AN599" s="317"/>
      <c r="AO599" s="317"/>
      <c r="AP599" s="317"/>
      <c r="AQ599" s="317"/>
      <c r="AR599" s="317"/>
      <c r="AS599" s="317"/>
      <c r="AT599" s="317"/>
      <c r="AU599" s="317"/>
      <c r="AV599" s="317"/>
      <c r="AW599" s="317"/>
      <c r="AX599" s="317"/>
      <c r="BF599" s="317"/>
      <c r="BG599" s="450"/>
      <c r="BH599" s="450"/>
    </row>
    <row r="600" spans="2:60" ht="12" customHeight="1">
      <c r="B600" s="317"/>
      <c r="C600" s="317"/>
      <c r="D600" s="319"/>
      <c r="AB600" s="1338"/>
      <c r="AC600" s="1338"/>
      <c r="AD600" s="1338"/>
      <c r="AE600" s="1338"/>
      <c r="AF600" s="1338"/>
      <c r="AG600" s="317"/>
      <c r="AH600" s="317"/>
      <c r="AI600" s="317"/>
      <c r="AJ600" s="317"/>
      <c r="AK600" s="317"/>
      <c r="AL600" s="317"/>
      <c r="AM600" s="317"/>
      <c r="AN600" s="317"/>
      <c r="AO600" s="317"/>
      <c r="AP600" s="317"/>
      <c r="AQ600" s="317"/>
      <c r="AR600" s="317"/>
      <c r="AS600" s="317"/>
      <c r="AT600" s="317"/>
      <c r="AU600" s="317"/>
      <c r="AV600" s="317"/>
      <c r="AW600" s="317"/>
      <c r="AX600" s="317"/>
      <c r="BF600" s="317"/>
      <c r="BG600" s="450"/>
      <c r="BH600" s="450"/>
    </row>
    <row r="601" spans="2:60" ht="12" customHeight="1">
      <c r="B601" s="317"/>
      <c r="C601" s="317"/>
      <c r="D601" s="319"/>
      <c r="AB601" s="1338"/>
      <c r="AC601" s="1338"/>
      <c r="AD601" s="1338"/>
      <c r="AE601" s="1338"/>
      <c r="AF601" s="1338"/>
      <c r="AG601" s="317"/>
      <c r="AH601" s="317"/>
      <c r="AI601" s="317"/>
      <c r="AJ601" s="317"/>
      <c r="AK601" s="317"/>
      <c r="AL601" s="317"/>
      <c r="AM601" s="317"/>
      <c r="AN601" s="317"/>
      <c r="AO601" s="317"/>
      <c r="AP601" s="317"/>
      <c r="AQ601" s="317"/>
      <c r="AR601" s="317"/>
      <c r="AS601" s="317"/>
      <c r="AT601" s="317"/>
      <c r="AU601" s="317"/>
      <c r="AV601" s="317"/>
      <c r="AW601" s="317"/>
      <c r="AX601" s="317"/>
      <c r="BF601" s="317"/>
      <c r="BG601" s="450"/>
      <c r="BH601" s="450"/>
    </row>
    <row r="602" spans="2:60" ht="12" customHeight="1">
      <c r="B602" s="317"/>
      <c r="C602" s="317"/>
      <c r="D602" s="319"/>
      <c r="AB602" s="1338"/>
      <c r="AC602" s="1338"/>
      <c r="AD602" s="1338"/>
      <c r="AE602" s="1338"/>
      <c r="AF602" s="1338"/>
      <c r="AG602" s="317"/>
      <c r="AH602" s="317"/>
      <c r="AI602" s="317"/>
      <c r="AJ602" s="317"/>
      <c r="AK602" s="317"/>
      <c r="AL602" s="317"/>
      <c r="AM602" s="317"/>
      <c r="AN602" s="317"/>
      <c r="AO602" s="317"/>
      <c r="AP602" s="317"/>
      <c r="AQ602" s="317"/>
      <c r="AR602" s="317"/>
      <c r="AS602" s="317"/>
      <c r="AT602" s="317"/>
      <c r="AU602" s="317"/>
      <c r="AV602" s="317"/>
      <c r="AW602" s="317"/>
      <c r="AX602" s="317"/>
      <c r="BF602" s="317"/>
      <c r="BG602" s="450"/>
      <c r="BH602" s="450"/>
    </row>
    <row r="603" spans="2:60" ht="12" customHeight="1">
      <c r="B603" s="317"/>
      <c r="C603" s="317"/>
      <c r="D603" s="319"/>
      <c r="AB603" s="1338"/>
      <c r="AC603" s="1338"/>
      <c r="AD603" s="1338"/>
      <c r="AE603" s="1338"/>
      <c r="AF603" s="1338"/>
      <c r="AG603" s="317"/>
      <c r="AH603" s="317"/>
      <c r="AI603" s="317"/>
      <c r="AJ603" s="317"/>
      <c r="AK603" s="317"/>
      <c r="AL603" s="317"/>
      <c r="AM603" s="317"/>
      <c r="AN603" s="317"/>
      <c r="AO603" s="317"/>
      <c r="AP603" s="317"/>
      <c r="AQ603" s="317"/>
      <c r="AR603" s="317"/>
      <c r="AS603" s="317"/>
      <c r="AT603" s="317"/>
      <c r="AU603" s="317"/>
      <c r="AV603" s="317"/>
      <c r="AW603" s="317"/>
      <c r="AX603" s="317"/>
      <c r="BF603" s="317"/>
      <c r="BG603" s="450"/>
      <c r="BH603" s="450"/>
    </row>
    <row r="604" spans="2:60" ht="12" customHeight="1">
      <c r="B604" s="317"/>
      <c r="C604" s="317"/>
      <c r="D604" s="319"/>
      <c r="AB604" s="1338"/>
      <c r="AC604" s="1338"/>
      <c r="AD604" s="1338"/>
      <c r="AE604" s="1338"/>
      <c r="AF604" s="1338"/>
      <c r="AG604" s="317"/>
      <c r="AH604" s="317"/>
      <c r="AI604" s="317"/>
      <c r="AJ604" s="317"/>
      <c r="AK604" s="317"/>
      <c r="AL604" s="317"/>
      <c r="AM604" s="317"/>
      <c r="AN604" s="317"/>
      <c r="AO604" s="317"/>
      <c r="AP604" s="317"/>
      <c r="AQ604" s="317"/>
      <c r="AR604" s="317"/>
      <c r="AS604" s="317"/>
      <c r="AT604" s="317"/>
      <c r="AU604" s="317"/>
      <c r="AV604" s="317"/>
      <c r="AW604" s="317"/>
      <c r="AX604" s="317"/>
      <c r="BF604" s="317"/>
      <c r="BG604" s="450"/>
      <c r="BH604" s="450"/>
    </row>
    <row r="605" spans="2:60" ht="12" customHeight="1">
      <c r="B605" s="317"/>
      <c r="C605" s="317"/>
      <c r="D605" s="319"/>
      <c r="AB605" s="1338"/>
      <c r="AC605" s="1338"/>
      <c r="AD605" s="1338"/>
      <c r="AE605" s="1338"/>
      <c r="AF605" s="1338"/>
      <c r="AG605" s="317"/>
      <c r="AH605" s="317"/>
      <c r="AI605" s="317"/>
      <c r="AJ605" s="317"/>
      <c r="AK605" s="317"/>
      <c r="AL605" s="317"/>
      <c r="AM605" s="317"/>
      <c r="AN605" s="317"/>
      <c r="AO605" s="317"/>
      <c r="AP605" s="317"/>
      <c r="AQ605" s="317"/>
      <c r="AR605" s="317"/>
      <c r="AS605" s="317"/>
      <c r="AT605" s="317"/>
      <c r="AU605" s="317"/>
      <c r="AV605" s="317"/>
      <c r="AW605" s="317"/>
      <c r="AX605" s="317"/>
      <c r="BF605" s="317"/>
      <c r="BG605" s="450"/>
      <c r="BH605" s="450"/>
    </row>
    <row r="606" spans="2:60" ht="12" customHeight="1">
      <c r="B606" s="317"/>
      <c r="C606" s="317"/>
      <c r="D606" s="319"/>
      <c r="AB606" s="1338"/>
      <c r="AC606" s="1338"/>
      <c r="AD606" s="1338"/>
      <c r="AE606" s="1338"/>
      <c r="AF606" s="1338"/>
      <c r="AG606" s="317"/>
      <c r="AH606" s="317"/>
      <c r="AI606" s="317"/>
      <c r="AJ606" s="317"/>
      <c r="AK606" s="317"/>
      <c r="AL606" s="317"/>
      <c r="AM606" s="317"/>
      <c r="AN606" s="317"/>
      <c r="AO606" s="317"/>
      <c r="AP606" s="317"/>
      <c r="AQ606" s="317"/>
      <c r="AR606" s="317"/>
      <c r="AS606" s="317"/>
      <c r="AT606" s="317"/>
      <c r="AU606" s="317"/>
      <c r="AV606" s="317"/>
      <c r="AW606" s="317"/>
      <c r="AX606" s="317"/>
      <c r="BF606" s="317"/>
      <c r="BG606" s="450"/>
      <c r="BH606" s="450"/>
    </row>
    <row r="607" spans="2:60" ht="12" customHeight="1">
      <c r="B607" s="317"/>
      <c r="C607" s="317"/>
      <c r="D607" s="319"/>
      <c r="AB607" s="1338"/>
      <c r="AC607" s="1338"/>
      <c r="AD607" s="1338"/>
      <c r="AE607" s="1338"/>
      <c r="AF607" s="1338"/>
      <c r="AG607" s="317"/>
      <c r="AH607" s="317"/>
      <c r="AI607" s="317"/>
      <c r="AJ607" s="317"/>
      <c r="AK607" s="317"/>
      <c r="AL607" s="317"/>
      <c r="AM607" s="317"/>
      <c r="AN607" s="317"/>
      <c r="AO607" s="317"/>
      <c r="AP607" s="317"/>
      <c r="AQ607" s="317"/>
      <c r="AR607" s="317"/>
      <c r="AS607" s="317"/>
      <c r="AT607" s="317"/>
      <c r="AU607" s="317"/>
      <c r="AV607" s="317"/>
      <c r="AW607" s="317"/>
      <c r="AX607" s="317"/>
      <c r="BF607" s="317"/>
      <c r="BG607" s="450"/>
      <c r="BH607" s="450"/>
    </row>
    <row r="608" spans="2:60" ht="12" customHeight="1">
      <c r="B608" s="317"/>
      <c r="C608" s="317"/>
      <c r="D608" s="319"/>
      <c r="AB608" s="1338"/>
      <c r="AC608" s="1338"/>
      <c r="AD608" s="1338"/>
      <c r="AE608" s="1338"/>
      <c r="AF608" s="1338"/>
      <c r="AG608" s="317"/>
      <c r="AH608" s="317"/>
      <c r="AI608" s="317"/>
      <c r="AJ608" s="317"/>
      <c r="AK608" s="317"/>
      <c r="AL608" s="317"/>
      <c r="AM608" s="317"/>
      <c r="AN608" s="317"/>
      <c r="AO608" s="317"/>
      <c r="AP608" s="317"/>
      <c r="AQ608" s="317"/>
      <c r="AR608" s="317"/>
      <c r="AS608" s="317"/>
      <c r="AT608" s="317"/>
      <c r="AU608" s="317"/>
      <c r="AV608" s="317"/>
      <c r="AW608" s="317"/>
      <c r="AX608" s="317"/>
      <c r="BF608" s="317"/>
      <c r="BG608" s="450"/>
      <c r="BH608" s="450"/>
    </row>
    <row r="609" spans="2:60" ht="12" customHeight="1">
      <c r="B609" s="317"/>
      <c r="C609" s="317"/>
      <c r="D609" s="319"/>
      <c r="AB609" s="1338"/>
      <c r="AC609" s="1338"/>
      <c r="AD609" s="1338"/>
      <c r="AE609" s="1338"/>
      <c r="AF609" s="1338"/>
      <c r="AG609" s="317"/>
      <c r="AH609" s="317"/>
      <c r="AI609" s="317"/>
      <c r="AJ609" s="317"/>
      <c r="AK609" s="317"/>
      <c r="AL609" s="317"/>
      <c r="AM609" s="317"/>
      <c r="AN609" s="317"/>
      <c r="AO609" s="317"/>
      <c r="AP609" s="317"/>
      <c r="AQ609" s="317"/>
      <c r="AR609" s="317"/>
      <c r="AS609" s="317"/>
      <c r="AT609" s="317"/>
      <c r="AU609" s="317"/>
      <c r="AV609" s="317"/>
      <c r="AW609" s="317"/>
      <c r="AX609" s="317"/>
      <c r="BF609" s="317"/>
      <c r="BG609" s="450"/>
      <c r="BH609" s="450"/>
    </row>
    <row r="610" spans="2:60" ht="12" customHeight="1">
      <c r="B610" s="317"/>
      <c r="C610" s="317"/>
      <c r="D610" s="319"/>
      <c r="AB610" s="1338"/>
      <c r="AC610" s="1338"/>
      <c r="AD610" s="1338"/>
      <c r="AE610" s="1338"/>
      <c r="AF610" s="1338"/>
      <c r="AG610" s="317"/>
      <c r="AH610" s="317"/>
      <c r="AI610" s="317"/>
      <c r="AJ610" s="317"/>
      <c r="AK610" s="317"/>
      <c r="AL610" s="317"/>
      <c r="AM610" s="317"/>
      <c r="AN610" s="317"/>
      <c r="AO610" s="317"/>
      <c r="AP610" s="317"/>
      <c r="AQ610" s="317"/>
      <c r="AR610" s="317"/>
      <c r="AS610" s="317"/>
      <c r="AT610" s="317"/>
      <c r="AU610" s="317"/>
      <c r="AV610" s="317"/>
      <c r="AW610" s="317"/>
      <c r="AX610" s="317"/>
      <c r="BF610" s="317"/>
      <c r="BG610" s="450"/>
      <c r="BH610" s="450"/>
    </row>
    <row r="611" spans="2:60" ht="12" customHeight="1">
      <c r="B611" s="317"/>
      <c r="C611" s="317"/>
      <c r="D611" s="319"/>
      <c r="AB611" s="1338"/>
      <c r="AC611" s="1338"/>
      <c r="AD611" s="1338"/>
      <c r="AE611" s="1338"/>
      <c r="AF611" s="1338"/>
      <c r="AG611" s="317"/>
      <c r="AH611" s="317"/>
      <c r="AI611" s="317"/>
      <c r="AJ611" s="317"/>
      <c r="AK611" s="317"/>
      <c r="AL611" s="317"/>
      <c r="AM611" s="317"/>
      <c r="AN611" s="317"/>
      <c r="AO611" s="317"/>
      <c r="AP611" s="317"/>
      <c r="AQ611" s="317"/>
      <c r="AR611" s="317"/>
      <c r="AS611" s="317"/>
      <c r="AT611" s="317"/>
      <c r="AU611" s="317"/>
      <c r="AV611" s="317"/>
      <c r="AW611" s="317"/>
      <c r="AX611" s="317"/>
      <c r="BF611" s="317"/>
      <c r="BG611" s="450"/>
      <c r="BH611" s="450"/>
    </row>
    <row r="612" spans="2:60" ht="12" customHeight="1">
      <c r="B612" s="317"/>
      <c r="C612" s="317"/>
      <c r="D612" s="319"/>
      <c r="AB612" s="1338"/>
      <c r="AC612" s="1338"/>
      <c r="AD612" s="1338"/>
      <c r="AE612" s="1338"/>
      <c r="AF612" s="1338"/>
      <c r="AG612" s="317"/>
      <c r="AH612" s="317"/>
      <c r="AI612" s="317"/>
      <c r="AJ612" s="317"/>
      <c r="AK612" s="317"/>
      <c r="AL612" s="317"/>
      <c r="AM612" s="317"/>
      <c r="AN612" s="317"/>
      <c r="AO612" s="317"/>
      <c r="AP612" s="317"/>
      <c r="AQ612" s="317"/>
      <c r="AR612" s="317"/>
      <c r="AS612" s="317"/>
      <c r="AT612" s="317"/>
      <c r="AU612" s="317"/>
      <c r="AV612" s="317"/>
      <c r="AW612" s="317"/>
      <c r="AX612" s="317"/>
      <c r="BF612" s="317"/>
      <c r="BG612" s="450"/>
      <c r="BH612" s="450"/>
    </row>
    <row r="613" spans="2:60" ht="12" customHeight="1">
      <c r="B613" s="317"/>
      <c r="C613" s="317"/>
      <c r="D613" s="319"/>
      <c r="AB613" s="1338"/>
      <c r="AC613" s="1338"/>
      <c r="AD613" s="1338"/>
      <c r="AE613" s="1338"/>
      <c r="AF613" s="1338"/>
      <c r="AG613" s="317"/>
      <c r="AH613" s="317"/>
      <c r="AI613" s="317"/>
      <c r="AJ613" s="317"/>
      <c r="AK613" s="317"/>
      <c r="AL613" s="317"/>
      <c r="AM613" s="317"/>
      <c r="AN613" s="317"/>
      <c r="AO613" s="317"/>
      <c r="AP613" s="317"/>
      <c r="AQ613" s="317"/>
      <c r="AR613" s="317"/>
      <c r="AS613" s="317"/>
      <c r="AT613" s="317"/>
      <c r="AU613" s="317"/>
      <c r="AV613" s="317"/>
      <c r="AW613" s="317"/>
      <c r="AX613" s="317"/>
      <c r="BF613" s="317"/>
      <c r="BG613" s="450"/>
      <c r="BH613" s="450"/>
    </row>
    <row r="614" spans="2:60" ht="12" customHeight="1">
      <c r="B614" s="317"/>
      <c r="C614" s="317"/>
      <c r="D614" s="319"/>
      <c r="AB614" s="1338"/>
      <c r="AC614" s="1338"/>
      <c r="AD614" s="1338"/>
      <c r="AE614" s="1338"/>
      <c r="AF614" s="1338"/>
      <c r="AG614" s="317"/>
      <c r="AH614" s="317"/>
      <c r="AI614" s="317"/>
      <c r="AJ614" s="317"/>
      <c r="AK614" s="317"/>
      <c r="AL614" s="317"/>
      <c r="AM614" s="317"/>
      <c r="AN614" s="317"/>
      <c r="AO614" s="317"/>
      <c r="AP614" s="317"/>
      <c r="AQ614" s="317"/>
      <c r="AR614" s="317"/>
      <c r="AS614" s="317"/>
      <c r="AT614" s="317"/>
      <c r="AU614" s="317"/>
      <c r="AV614" s="317"/>
      <c r="AW614" s="317"/>
      <c r="AX614" s="317"/>
      <c r="BF614" s="317"/>
      <c r="BG614" s="450"/>
      <c r="BH614" s="450"/>
    </row>
    <row r="615" spans="2:60" ht="12" customHeight="1">
      <c r="B615" s="317"/>
      <c r="C615" s="317"/>
      <c r="D615" s="319"/>
      <c r="AB615" s="1338"/>
      <c r="AC615" s="1338"/>
      <c r="AD615" s="1338"/>
      <c r="AE615" s="1338"/>
      <c r="AF615" s="1338"/>
      <c r="AG615" s="317"/>
      <c r="AH615" s="317"/>
      <c r="AI615" s="317"/>
      <c r="AJ615" s="317"/>
      <c r="AK615" s="317"/>
      <c r="AL615" s="317"/>
      <c r="AM615" s="317"/>
      <c r="AN615" s="317"/>
      <c r="AO615" s="317"/>
      <c r="AP615" s="317"/>
      <c r="AQ615" s="317"/>
      <c r="AR615" s="317"/>
      <c r="AS615" s="317"/>
      <c r="AT615" s="317"/>
      <c r="AU615" s="317"/>
      <c r="AV615" s="317"/>
      <c r="AW615" s="317"/>
      <c r="AX615" s="317"/>
      <c r="BF615" s="317"/>
      <c r="BG615" s="450"/>
      <c r="BH615" s="450"/>
    </row>
    <row r="616" spans="2:60" ht="12" customHeight="1">
      <c r="B616" s="317"/>
      <c r="C616" s="317"/>
      <c r="D616" s="319"/>
      <c r="AB616" s="1338"/>
      <c r="AC616" s="1338"/>
      <c r="AD616" s="1338"/>
      <c r="AE616" s="1338"/>
      <c r="AF616" s="1338"/>
      <c r="AG616" s="317"/>
      <c r="AH616" s="317"/>
      <c r="AI616" s="317"/>
      <c r="AJ616" s="317"/>
      <c r="AK616" s="317"/>
      <c r="AL616" s="317"/>
      <c r="AM616" s="317"/>
      <c r="AN616" s="317"/>
      <c r="AO616" s="317"/>
      <c r="AP616" s="317"/>
      <c r="AQ616" s="317"/>
      <c r="AR616" s="317"/>
      <c r="AS616" s="317"/>
      <c r="AT616" s="317"/>
      <c r="AU616" s="317"/>
      <c r="AV616" s="317"/>
      <c r="AW616" s="317"/>
      <c r="AX616" s="317"/>
      <c r="BF616" s="317"/>
      <c r="BG616" s="450"/>
      <c r="BH616" s="450"/>
    </row>
    <row r="617" spans="2:60" ht="12" customHeight="1">
      <c r="B617" s="317"/>
      <c r="D617" s="319"/>
      <c r="AB617" s="1338"/>
      <c r="AC617" s="1338"/>
      <c r="AD617" s="1338"/>
      <c r="AE617" s="1338"/>
      <c r="AF617" s="1338"/>
      <c r="AG617" s="317"/>
      <c r="AH617" s="317"/>
      <c r="AI617" s="317"/>
      <c r="AJ617" s="317"/>
      <c r="AK617" s="317"/>
      <c r="AL617" s="317"/>
      <c r="AM617" s="317"/>
      <c r="AN617" s="317"/>
      <c r="AO617" s="317"/>
      <c r="AP617" s="317"/>
      <c r="AQ617" s="317"/>
      <c r="AR617" s="317"/>
      <c r="AS617" s="317"/>
      <c r="AT617" s="317"/>
      <c r="AU617" s="317"/>
      <c r="AV617" s="317"/>
      <c r="AW617" s="317"/>
      <c r="AX617" s="317"/>
      <c r="BF617" s="317"/>
      <c r="BG617" s="450"/>
      <c r="BH617" s="450"/>
    </row>
  </sheetData>
  <mergeCells count="3">
    <mergeCell ref="B36:AM36"/>
    <mergeCell ref="B37:AF37"/>
    <mergeCell ref="B87:AF87"/>
  </mergeCells>
  <pageMargins left="0.70866141732283472" right="0.70866141732283472" top="0.74803149606299213" bottom="0.74803149606299213" header="0.31496062992125984" footer="0.31496062992125984"/>
  <pageSetup paperSize="9" scale="47"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W141"/>
  <sheetViews>
    <sheetView topLeftCell="B15" workbookViewId="0">
      <selection activeCell="AW39" sqref="AW39"/>
    </sheetView>
  </sheetViews>
  <sheetFormatPr defaultColWidth="8.77734375" defaultRowHeight="12.75" outlineLevelRow="1"/>
  <cols>
    <col min="1" max="1" width="10.77734375" style="165" hidden="1" customWidth="1"/>
    <col min="2" max="2" width="10.5546875" style="165" customWidth="1"/>
    <col min="3" max="3" width="29.88671875" style="165" customWidth="1"/>
    <col min="4" max="5" width="0.77734375" style="165" customWidth="1"/>
    <col min="6" max="17" width="0.77734375" style="165" hidden="1" customWidth="1"/>
    <col min="18" max="23" width="5.77734375" style="165" hidden="1" customWidth="1"/>
    <col min="24" max="24" width="5.77734375" style="75" hidden="1" customWidth="1"/>
    <col min="25" max="25" width="3.44140625" style="75" hidden="1" customWidth="1"/>
    <col min="26" max="26" width="6.33203125" style="75" hidden="1" customWidth="1"/>
    <col min="27" max="27" width="3.44140625" style="75" hidden="1" customWidth="1"/>
    <col min="28" max="28" width="5.44140625" style="75" hidden="1" customWidth="1"/>
    <col min="29" max="29" width="4.21875" style="75" hidden="1" customWidth="1"/>
    <col min="30" max="30" width="6.33203125" style="75" customWidth="1"/>
    <col min="31" max="31" width="2" style="75" customWidth="1"/>
    <col min="32" max="32" width="5.44140625" style="75" customWidth="1"/>
    <col min="33" max="39" width="5.109375" style="75" customWidth="1"/>
    <col min="40" max="43" width="5.109375" style="165" customWidth="1"/>
    <col min="44" max="46" width="0" style="165" hidden="1" customWidth="1"/>
    <col min="47" max="16384" width="8.77734375" style="165"/>
  </cols>
  <sheetData>
    <row r="1" spans="1:45" hidden="1" outlineLevel="1">
      <c r="B1" s="165" t="s">
        <v>763</v>
      </c>
    </row>
    <row r="2" spans="1:45" hidden="1" outlineLevel="1"/>
    <row r="3" spans="1:45" hidden="1" outlineLevel="1">
      <c r="AR3" s="623"/>
      <c r="AS3" s="623"/>
    </row>
    <row r="4" spans="1:45" hidden="1" outlineLevel="1">
      <c r="B4" s="966" t="s">
        <v>764</v>
      </c>
      <c r="C4" s="966"/>
      <c r="D4" s="966"/>
      <c r="E4" s="966"/>
      <c r="R4" s="165">
        <v>1995</v>
      </c>
      <c r="S4" s="165">
        <v>1996</v>
      </c>
      <c r="T4" s="165">
        <v>1997</v>
      </c>
      <c r="U4" s="165">
        <v>1998</v>
      </c>
      <c r="V4" s="165">
        <v>1999</v>
      </c>
      <c r="W4" s="165">
        <v>2000</v>
      </c>
      <c r="X4" s="75">
        <v>2001</v>
      </c>
      <c r="Z4" s="75">
        <v>2003</v>
      </c>
      <c r="AB4" s="75">
        <v>2005</v>
      </c>
      <c r="AD4" s="202">
        <v>2007</v>
      </c>
      <c r="AE4" s="202"/>
      <c r="AF4" s="202">
        <v>2009</v>
      </c>
      <c r="AG4" s="202">
        <v>2010</v>
      </c>
      <c r="AH4" s="202">
        <v>2011</v>
      </c>
      <c r="AI4" s="202">
        <v>2012</v>
      </c>
      <c r="AJ4" s="202">
        <v>2013</v>
      </c>
      <c r="AK4" s="202">
        <v>2014</v>
      </c>
      <c r="AL4" s="202">
        <v>2015</v>
      </c>
      <c r="AM4" s="202">
        <v>2016</v>
      </c>
      <c r="AN4" s="202">
        <v>2017</v>
      </c>
      <c r="AO4" s="202">
        <v>2018</v>
      </c>
      <c r="AP4" s="202">
        <v>2019</v>
      </c>
      <c r="AQ4" s="202">
        <v>2020</v>
      </c>
      <c r="AR4" s="623"/>
      <c r="AS4" s="623"/>
    </row>
    <row r="5" spans="1:45" hidden="1" outlineLevel="1">
      <c r="AN5" s="75"/>
      <c r="AO5" s="75"/>
      <c r="AP5" s="75"/>
      <c r="AQ5" s="75"/>
      <c r="AR5" s="203"/>
      <c r="AS5" s="203"/>
    </row>
    <row r="6" spans="1:45" hidden="1" outlineLevel="1">
      <c r="A6" s="311" t="s">
        <v>2</v>
      </c>
      <c r="B6" s="165" t="s">
        <v>3</v>
      </c>
      <c r="R6" s="261">
        <f t="shared" ref="R6:W6" si="0">R94</f>
        <v>0</v>
      </c>
      <c r="S6" s="261">
        <f t="shared" si="0"/>
        <v>0</v>
      </c>
      <c r="T6" s="261">
        <f t="shared" si="0"/>
        <v>0</v>
      </c>
      <c r="U6" s="261">
        <f t="shared" si="0"/>
        <v>0</v>
      </c>
      <c r="V6" s="261">
        <f t="shared" si="0"/>
        <v>0</v>
      </c>
      <c r="W6" s="261">
        <f t="shared" si="0"/>
        <v>0</v>
      </c>
      <c r="X6" s="244"/>
      <c r="Y6" s="244"/>
      <c r="Z6" s="244"/>
      <c r="AA6" s="244"/>
      <c r="AB6" s="244"/>
      <c r="AC6" s="244"/>
      <c r="AD6" s="244"/>
      <c r="AE6" s="244"/>
      <c r="AF6" s="244">
        <f t="shared" ref="AF6:AM6" si="1">AF94</f>
        <v>40.96004568979842</v>
      </c>
      <c r="AG6" s="244">
        <f t="shared" si="1"/>
        <v>38.137057918653255</v>
      </c>
      <c r="AH6" s="244">
        <f t="shared" si="1"/>
        <v>38.8885864668</v>
      </c>
      <c r="AI6" s="244">
        <f t="shared" si="1"/>
        <v>39.473859410000003</v>
      </c>
      <c r="AJ6" s="244">
        <f t="shared" si="1"/>
        <v>40.389198678100001</v>
      </c>
      <c r="AK6" s="244">
        <f t="shared" si="1"/>
        <v>41.333095811699991</v>
      </c>
      <c r="AL6" s="244">
        <f t="shared" si="1"/>
        <v>42.886433408000002</v>
      </c>
      <c r="AM6" s="244">
        <f t="shared" si="1"/>
        <v>41.446380804</v>
      </c>
      <c r="AN6" s="244">
        <f>AN94</f>
        <v>40.543880348000002</v>
      </c>
      <c r="AO6" s="244">
        <f>AO94</f>
        <v>34.091304555999997</v>
      </c>
      <c r="AP6" s="244">
        <f t="shared" ref="AP6:AQ6" si="2">AP94</f>
        <v>36.964714936</v>
      </c>
      <c r="AQ6" s="244">
        <f t="shared" si="2"/>
        <v>40.467769144000002</v>
      </c>
      <c r="AR6" s="932"/>
      <c r="AS6" s="932"/>
    </row>
    <row r="7" spans="1:45" hidden="1" outlineLevel="1">
      <c r="A7" s="311" t="s">
        <v>4</v>
      </c>
      <c r="B7" s="165" t="s">
        <v>5</v>
      </c>
      <c r="R7" s="1004">
        <f t="shared" ref="R7:W7" si="3">R109</f>
        <v>0</v>
      </c>
      <c r="S7" s="1004">
        <f t="shared" si="3"/>
        <v>0</v>
      </c>
      <c r="T7" s="1004">
        <f t="shared" si="3"/>
        <v>0</v>
      </c>
      <c r="U7" s="1004">
        <f t="shared" si="3"/>
        <v>0</v>
      </c>
      <c r="V7" s="1004">
        <f t="shared" si="3"/>
        <v>0</v>
      </c>
      <c r="W7" s="1004">
        <f t="shared" si="3"/>
        <v>0</v>
      </c>
      <c r="X7" s="931"/>
      <c r="Y7" s="932"/>
      <c r="Z7" s="931"/>
      <c r="AA7" s="932"/>
      <c r="AB7" s="931"/>
      <c r="AC7" s="932"/>
      <c r="AD7" s="931"/>
      <c r="AE7" s="932"/>
      <c r="AF7" s="931">
        <f t="shared" ref="AF7:AM7" si="4">AF109</f>
        <v>6.7671010622115988</v>
      </c>
      <c r="AG7" s="931">
        <f t="shared" si="4"/>
        <v>6.3085224706965093</v>
      </c>
      <c r="AH7" s="931">
        <f t="shared" si="4"/>
        <v>6.1258671600000003</v>
      </c>
      <c r="AI7" s="931">
        <f t="shared" si="4"/>
        <v>5.8549856273999996</v>
      </c>
      <c r="AJ7" s="931">
        <f t="shared" si="4"/>
        <v>6.3547624580999997</v>
      </c>
      <c r="AK7" s="931">
        <f t="shared" si="4"/>
        <v>6.7919555780999996</v>
      </c>
      <c r="AL7" s="931">
        <f t="shared" si="4"/>
        <v>6.8401618000000006</v>
      </c>
      <c r="AM7" s="931">
        <f t="shared" si="4"/>
        <v>7.2975273019999998</v>
      </c>
      <c r="AN7" s="931">
        <f>AN109</f>
        <v>7.5044369180000015</v>
      </c>
      <c r="AO7" s="931">
        <f>AO109</f>
        <v>7.6498730099999994</v>
      </c>
      <c r="AP7" s="931">
        <f t="shared" ref="AP7:AQ7" si="5">AP109</f>
        <v>9.0696735180000019</v>
      </c>
      <c r="AQ7" s="931">
        <f t="shared" si="5"/>
        <v>13.244550082</v>
      </c>
      <c r="AR7" s="932"/>
      <c r="AS7" s="932"/>
    </row>
    <row r="8" spans="1:45" hidden="1" outlineLevel="1">
      <c r="A8" s="311" t="s">
        <v>6</v>
      </c>
      <c r="R8" s="261">
        <f t="shared" ref="R8:W8" si="6">R6+R7</f>
        <v>0</v>
      </c>
      <c r="S8" s="261">
        <f t="shared" si="6"/>
        <v>0</v>
      </c>
      <c r="T8" s="261">
        <f t="shared" si="6"/>
        <v>0</v>
      </c>
      <c r="U8" s="261">
        <f t="shared" si="6"/>
        <v>0</v>
      </c>
      <c r="V8" s="261">
        <f t="shared" si="6"/>
        <v>0</v>
      </c>
      <c r="W8" s="261">
        <f t="shared" si="6"/>
        <v>0</v>
      </c>
      <c r="X8" s="244"/>
      <c r="Y8" s="244"/>
      <c r="Z8" s="244"/>
      <c r="AA8" s="244"/>
      <c r="AB8" s="244"/>
      <c r="AC8" s="244"/>
      <c r="AD8" s="244"/>
      <c r="AE8" s="244"/>
      <c r="AF8" s="244">
        <f t="shared" ref="AF8:AM8" si="7">AF6+AF7</f>
        <v>47.727146752010022</v>
      </c>
      <c r="AG8" s="244">
        <f t="shared" si="7"/>
        <v>44.445580389349765</v>
      </c>
      <c r="AH8" s="244">
        <f t="shared" si="7"/>
        <v>45.014453626799998</v>
      </c>
      <c r="AI8" s="244">
        <f t="shared" si="7"/>
        <v>45.328845037400001</v>
      </c>
      <c r="AJ8" s="244">
        <f t="shared" si="7"/>
        <v>46.743961136199999</v>
      </c>
      <c r="AK8" s="244">
        <f t="shared" si="7"/>
        <v>48.125051389799992</v>
      </c>
      <c r="AL8" s="244">
        <f t="shared" si="7"/>
        <v>49.726595208000006</v>
      </c>
      <c r="AM8" s="244">
        <f t="shared" si="7"/>
        <v>48.743908105999999</v>
      </c>
      <c r="AN8" s="244">
        <f>AN6+AN7</f>
        <v>48.048317266000005</v>
      </c>
      <c r="AO8" s="244">
        <f>AO6+AO7</f>
        <v>41.741177565999998</v>
      </c>
      <c r="AP8" s="244">
        <f t="shared" ref="AP8:AQ8" si="8">AP6+AP7</f>
        <v>46.034388454000002</v>
      </c>
      <c r="AQ8" s="244">
        <f t="shared" si="8"/>
        <v>53.712319226000005</v>
      </c>
      <c r="AR8" s="932"/>
      <c r="AS8" s="932"/>
    </row>
    <row r="9" spans="1:45" hidden="1" outlineLevel="1">
      <c r="A9" s="311"/>
      <c r="R9" s="261"/>
      <c r="S9" s="261"/>
      <c r="T9" s="261"/>
      <c r="U9" s="261"/>
      <c r="V9" s="261"/>
      <c r="W9" s="261"/>
      <c r="X9" s="244"/>
      <c r="Y9" s="244"/>
      <c r="Z9" s="244"/>
      <c r="AA9" s="244"/>
      <c r="AB9" s="244"/>
      <c r="AC9" s="244"/>
      <c r="AD9" s="244"/>
      <c r="AE9" s="244"/>
      <c r="AF9" s="244"/>
      <c r="AG9" s="244"/>
      <c r="AH9" s="244"/>
      <c r="AI9" s="244"/>
      <c r="AJ9" s="244"/>
      <c r="AK9" s="244"/>
      <c r="AL9" s="244"/>
      <c r="AM9" s="244"/>
      <c r="AN9" s="244"/>
      <c r="AO9" s="244"/>
      <c r="AP9" s="244"/>
      <c r="AQ9" s="244"/>
      <c r="AR9" s="244"/>
      <c r="AS9" s="244"/>
    </row>
    <row r="10" spans="1:45" hidden="1" outlineLevel="1">
      <c r="A10" s="311"/>
      <c r="B10" s="165" t="s">
        <v>7</v>
      </c>
      <c r="R10" s="261" t="e">
        <f>#REF!-R109</f>
        <v>#REF!</v>
      </c>
      <c r="S10" s="261" t="e">
        <f>#REF!-S109</f>
        <v>#REF!</v>
      </c>
      <c r="T10" s="261" t="e">
        <f>#REF!-T109</f>
        <v>#REF!</v>
      </c>
      <c r="U10" s="261" t="e">
        <f>#REF!-U109</f>
        <v>#REF!</v>
      </c>
      <c r="V10" s="261" t="e">
        <f>#REF!-V109</f>
        <v>#REF!</v>
      </c>
      <c r="W10" s="261" t="e">
        <f>#REF!-W109</f>
        <v>#REF!</v>
      </c>
      <c r="X10" s="244"/>
      <c r="Y10" s="244"/>
      <c r="Z10" s="244"/>
      <c r="AA10" s="244"/>
      <c r="AB10" s="244"/>
      <c r="AC10" s="244"/>
      <c r="AD10" s="244"/>
      <c r="AE10" s="244"/>
      <c r="AF10" s="244">
        <f t="shared" ref="AF10:AM10" si="9">AF112</f>
        <v>110.60258676006289</v>
      </c>
      <c r="AG10" s="244">
        <f t="shared" si="9"/>
        <v>113.9395050400726</v>
      </c>
      <c r="AH10" s="244">
        <f t="shared" si="9"/>
        <v>114.22293004320478</v>
      </c>
      <c r="AI10" s="244">
        <f t="shared" si="9"/>
        <v>119.13422673783973</v>
      </c>
      <c r="AJ10" s="244">
        <f t="shared" si="9"/>
        <v>125.751934278966</v>
      </c>
      <c r="AK10" s="244">
        <f t="shared" si="9"/>
        <v>147.06247238090796</v>
      </c>
      <c r="AL10" s="244">
        <f t="shared" si="9"/>
        <v>158.99038420960002</v>
      </c>
      <c r="AM10" s="244">
        <f t="shared" si="9"/>
        <v>160.08653022527272</v>
      </c>
      <c r="AN10" s="244">
        <f>AN112</f>
        <v>167.16294616145595</v>
      </c>
      <c r="AO10" s="244">
        <f>AO112</f>
        <v>0</v>
      </c>
      <c r="AP10" s="244">
        <f t="shared" ref="AP10:AQ10" si="10">AP112</f>
        <v>0</v>
      </c>
      <c r="AQ10" s="244">
        <f t="shared" si="10"/>
        <v>0</v>
      </c>
      <c r="AR10" s="244"/>
      <c r="AS10" s="244"/>
    </row>
    <row r="11" spans="1:45" hidden="1" outlineLevel="1">
      <c r="A11" s="311"/>
      <c r="R11" s="261"/>
      <c r="S11" s="261"/>
      <c r="T11" s="261"/>
      <c r="U11" s="261"/>
      <c r="V11" s="261"/>
      <c r="W11" s="261"/>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row>
    <row r="12" spans="1:45" hidden="1" outlineLevel="1">
      <c r="B12" s="165" t="s">
        <v>8</v>
      </c>
      <c r="R12" s="261"/>
      <c r="S12" s="261"/>
      <c r="T12" s="261"/>
      <c r="U12" s="261"/>
      <c r="V12" s="261"/>
      <c r="W12" s="261"/>
      <c r="X12" s="244"/>
      <c r="Y12" s="244"/>
      <c r="Z12" s="244"/>
      <c r="AA12" s="244"/>
      <c r="AB12" s="244"/>
      <c r="AC12" s="244"/>
      <c r="AD12" s="244"/>
      <c r="AE12" s="244"/>
      <c r="AF12" s="244">
        <f>AF96</f>
        <v>40.96004568979842</v>
      </c>
      <c r="AG12" s="244">
        <f t="shared" ref="AG12:AN12" si="11">AG96</f>
        <v>38.137057918653255</v>
      </c>
      <c r="AH12" s="244">
        <f t="shared" si="11"/>
        <v>38.8885864668</v>
      </c>
      <c r="AI12" s="244">
        <f t="shared" si="11"/>
        <v>39.473859410000003</v>
      </c>
      <c r="AJ12" s="244">
        <f t="shared" si="11"/>
        <v>40.389198678100001</v>
      </c>
      <c r="AK12" s="244">
        <f t="shared" si="11"/>
        <v>41.333095811699991</v>
      </c>
      <c r="AL12" s="244">
        <f t="shared" si="11"/>
        <v>42.886433408000002</v>
      </c>
      <c r="AM12" s="244">
        <f t="shared" si="11"/>
        <v>41.446380804</v>
      </c>
      <c r="AN12" s="244">
        <f t="shared" si="11"/>
        <v>40.543880348000002</v>
      </c>
      <c r="AO12" s="244">
        <f>AO96</f>
        <v>34.091304555999997</v>
      </c>
      <c r="AP12" s="244">
        <f t="shared" ref="AP12:AQ12" si="12">AP96</f>
        <v>36.964714936</v>
      </c>
      <c r="AQ12" s="244">
        <f t="shared" si="12"/>
        <v>40.467769144000002</v>
      </c>
      <c r="AR12" s="244"/>
      <c r="AS12" s="244"/>
    </row>
    <row r="13" spans="1:45" hidden="1" outlineLevel="1">
      <c r="R13" s="261"/>
      <c r="S13" s="261"/>
      <c r="T13" s="261"/>
      <c r="U13" s="261"/>
      <c r="V13" s="261"/>
      <c r="W13" s="261"/>
      <c r="X13" s="244"/>
      <c r="Y13" s="244"/>
      <c r="Z13" s="244"/>
      <c r="AA13" s="244"/>
      <c r="AB13" s="244"/>
      <c r="AC13" s="244"/>
      <c r="AD13" s="244"/>
      <c r="AE13" s="244"/>
      <c r="AF13" s="244"/>
      <c r="AG13" s="244"/>
      <c r="AH13" s="244"/>
      <c r="AI13" s="244"/>
      <c r="AJ13" s="244"/>
      <c r="AK13" s="244"/>
      <c r="AL13" s="244"/>
      <c r="AM13" s="244"/>
      <c r="AN13" s="261"/>
    </row>
    <row r="14" spans="1:45" ht="12.75" hidden="1" customHeight="1" outlineLevel="1">
      <c r="R14" s="261"/>
      <c r="S14" s="261"/>
      <c r="T14" s="261"/>
      <c r="U14" s="261"/>
      <c r="V14" s="261"/>
      <c r="W14" s="261"/>
      <c r="X14" s="244"/>
      <c r="Y14" s="244"/>
      <c r="Z14" s="244"/>
      <c r="AA14" s="244"/>
      <c r="AB14" s="244"/>
      <c r="AC14" s="244"/>
      <c r="AD14" s="244"/>
      <c r="AE14" s="244"/>
      <c r="AF14" s="244"/>
      <c r="AG14" s="244"/>
      <c r="AH14" s="244"/>
      <c r="AI14" s="244"/>
      <c r="AJ14" s="244"/>
      <c r="AK14" s="244"/>
      <c r="AL14" s="244"/>
      <c r="AM14" s="244"/>
      <c r="AN14" s="261"/>
    </row>
    <row r="15" spans="1:45" ht="27" customHeight="1" collapsed="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c r="AR15" s="1340"/>
      <c r="AS15" s="1340"/>
    </row>
    <row r="16" spans="1:45">
      <c r="O16" s="168"/>
      <c r="P16" s="168"/>
      <c r="Q16" s="168"/>
      <c r="R16" s="168"/>
      <c r="S16" s="168"/>
      <c r="T16" s="168"/>
      <c r="U16" s="168"/>
      <c r="V16" s="168"/>
      <c r="W16" s="168"/>
      <c r="X16" s="169"/>
      <c r="Y16" s="166"/>
      <c r="Z16" s="166"/>
      <c r="AA16" s="166"/>
      <c r="AB16" s="166"/>
      <c r="AC16" s="166"/>
      <c r="AD16" s="166"/>
      <c r="AE16" s="166"/>
      <c r="AF16" s="166"/>
      <c r="AG16" s="166"/>
      <c r="AH16" s="166"/>
      <c r="AI16" s="166"/>
      <c r="AJ16" s="166"/>
      <c r="AK16" s="166"/>
      <c r="AL16" s="166"/>
      <c r="AM16" s="166"/>
      <c r="AN16" s="261"/>
    </row>
    <row r="17" spans="2:44">
      <c r="B17" s="206" t="s">
        <v>763</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261"/>
    </row>
    <row r="18" spans="2:44">
      <c r="O18" s="168"/>
      <c r="P18" s="168"/>
      <c r="Q18" s="168"/>
      <c r="R18" s="168"/>
      <c r="S18" s="168"/>
      <c r="T18" s="168"/>
      <c r="U18" s="168"/>
      <c r="V18" s="168"/>
      <c r="W18" s="168"/>
      <c r="X18" s="169"/>
      <c r="Y18" s="166"/>
      <c r="Z18" s="166"/>
      <c r="AA18" s="166"/>
      <c r="AB18" s="166"/>
      <c r="AC18" s="166"/>
      <c r="AD18" s="166"/>
      <c r="AE18" s="166"/>
      <c r="AF18" s="166"/>
      <c r="AG18" s="166"/>
      <c r="AH18" s="166"/>
      <c r="AI18" s="166"/>
      <c r="AJ18" s="166"/>
      <c r="AK18" s="166"/>
      <c r="AL18" s="166"/>
      <c r="AM18" s="166"/>
      <c r="AN18" s="261"/>
    </row>
    <row r="19" spans="2:44">
      <c r="B19" s="170" t="s">
        <v>243</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261"/>
    </row>
    <row r="20" spans="2:44">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c r="AG20" s="169"/>
      <c r="AH20" s="169"/>
      <c r="AI20" s="169"/>
      <c r="AJ20" s="169"/>
      <c r="AK20" s="169"/>
      <c r="AL20" s="169"/>
      <c r="AM20" s="169"/>
      <c r="AN20" s="261"/>
    </row>
    <row r="21" spans="2:44">
      <c r="O21" s="168"/>
      <c r="P21" s="168"/>
      <c r="Q21" s="168"/>
      <c r="R21" s="168"/>
      <c r="S21" s="168"/>
      <c r="T21" s="168"/>
      <c r="U21" s="168"/>
      <c r="V21" s="168"/>
      <c r="W21" s="168"/>
      <c r="X21" s="257">
        <v>2001</v>
      </c>
      <c r="Y21" s="258"/>
      <c r="Z21" s="257">
        <v>2003</v>
      </c>
      <c r="AA21" s="258"/>
      <c r="AB21" s="257">
        <v>2005</v>
      </c>
      <c r="AC21" s="258"/>
      <c r="AD21" s="257">
        <v>2007</v>
      </c>
      <c r="AE21" s="258"/>
      <c r="AF21" s="259">
        <v>2009</v>
      </c>
      <c r="AG21" s="259">
        <v>2010</v>
      </c>
      <c r="AH21" s="259">
        <v>2011</v>
      </c>
      <c r="AI21" s="259">
        <v>2012</v>
      </c>
      <c r="AJ21" s="259">
        <v>2013</v>
      </c>
      <c r="AK21" s="259">
        <v>2014</v>
      </c>
      <c r="AL21" s="259">
        <v>2015</v>
      </c>
      <c r="AM21" s="259">
        <v>2016</v>
      </c>
      <c r="AN21" s="259">
        <v>2017</v>
      </c>
      <c r="AO21" s="259">
        <v>2018</v>
      </c>
      <c r="AP21" s="259">
        <v>2019</v>
      </c>
      <c r="AQ21" s="259">
        <v>2020</v>
      </c>
    </row>
    <row r="22" spans="2:44">
      <c r="B22" s="933"/>
      <c r="C22" s="623"/>
      <c r="O22" s="168"/>
      <c r="P22" s="168"/>
      <c r="Q22" s="168"/>
      <c r="R22" s="168"/>
      <c r="S22" s="168"/>
      <c r="T22" s="168"/>
      <c r="U22" s="168"/>
      <c r="V22" s="168"/>
      <c r="W22" s="168"/>
      <c r="AN22" s="75"/>
      <c r="AO22" s="75"/>
      <c r="AP22" s="75"/>
      <c r="AQ22" s="75"/>
    </row>
    <row r="23" spans="2:44">
      <c r="B23" s="933" t="s">
        <v>409</v>
      </c>
      <c r="C23" s="623"/>
      <c r="O23" s="168"/>
      <c r="P23" s="168"/>
      <c r="Q23" s="168"/>
      <c r="R23" s="168"/>
      <c r="S23" s="168"/>
      <c r="T23" s="168"/>
      <c r="U23" s="168"/>
      <c r="V23" s="168"/>
      <c r="W23" s="168"/>
      <c r="AD23" s="75" t="s">
        <v>237</v>
      </c>
      <c r="AF23" s="1341">
        <v>2.6</v>
      </c>
      <c r="AG23" s="1341">
        <v>2.1591047646828727</v>
      </c>
      <c r="AH23" s="1341">
        <v>2</v>
      </c>
      <c r="AI23" s="1341">
        <v>3.41</v>
      </c>
      <c r="AJ23" s="1341">
        <v>4.1500000000000004</v>
      </c>
      <c r="AK23" s="1341">
        <v>2.21</v>
      </c>
      <c r="AL23" s="1341">
        <v>2.13</v>
      </c>
      <c r="AM23" s="1341">
        <v>2.2000000000000002</v>
      </c>
      <c r="AN23" s="1341">
        <v>2.4</v>
      </c>
      <c r="AO23" s="1341">
        <v>2.7</v>
      </c>
      <c r="AP23" s="1341">
        <v>3</v>
      </c>
      <c r="AQ23" s="1341"/>
      <c r="AR23" s="165" t="s">
        <v>765</v>
      </c>
    </row>
    <row r="24" spans="2:44" ht="7.5" customHeight="1">
      <c r="B24" s="933"/>
      <c r="C24" s="623"/>
      <c r="O24" s="168"/>
      <c r="P24" s="168"/>
      <c r="Q24" s="168"/>
      <c r="R24" s="168"/>
      <c r="S24" s="168"/>
      <c r="T24" s="168"/>
      <c r="U24" s="168"/>
      <c r="V24" s="168"/>
      <c r="W24" s="168"/>
      <c r="AF24" s="1341"/>
      <c r="AG24" s="1341"/>
      <c r="AH24" s="1341"/>
      <c r="AI24" s="1341"/>
      <c r="AJ24" s="1341"/>
      <c r="AK24" s="1341"/>
      <c r="AL24" s="1341"/>
      <c r="AM24" s="1341"/>
      <c r="AN24" s="1341"/>
      <c r="AO24" s="1341"/>
      <c r="AP24" s="1341"/>
      <c r="AQ24" s="1341"/>
    </row>
    <row r="25" spans="2:44">
      <c r="B25" s="933" t="s">
        <v>766</v>
      </c>
      <c r="C25" s="623"/>
      <c r="O25" s="168"/>
      <c r="P25" s="168"/>
      <c r="Q25" s="168"/>
      <c r="R25" s="168"/>
      <c r="S25" s="168"/>
      <c r="T25" s="168"/>
      <c r="U25" s="168"/>
      <c r="V25" s="168"/>
      <c r="W25" s="168"/>
      <c r="AF25" s="1342">
        <v>2.427</v>
      </c>
      <c r="AG25" s="1342">
        <v>3.45</v>
      </c>
      <c r="AH25" s="1342">
        <v>3.35</v>
      </c>
      <c r="AI25" s="1342">
        <v>2.35</v>
      </c>
      <c r="AJ25" s="1342">
        <v>2.4700000000000002</v>
      </c>
      <c r="AK25" s="1342">
        <v>2.67</v>
      </c>
      <c r="AL25" s="1342">
        <v>2.5990000000000002</v>
      </c>
      <c r="AM25" s="1342">
        <v>2.758</v>
      </c>
      <c r="AN25" s="1342">
        <v>2.9667400000000002</v>
      </c>
      <c r="AO25" s="1342">
        <v>4.25</v>
      </c>
      <c r="AP25" s="1342">
        <v>4.53</v>
      </c>
      <c r="AQ25" s="1342">
        <v>4.6180000000000003</v>
      </c>
      <c r="AR25" s="165" t="s">
        <v>767</v>
      </c>
    </row>
    <row r="26" spans="2:44">
      <c r="B26" s="933" t="s">
        <v>768</v>
      </c>
      <c r="C26" s="623"/>
      <c r="O26" s="168"/>
      <c r="P26" s="168"/>
      <c r="Q26" s="168"/>
      <c r="R26" s="168"/>
      <c r="S26" s="168"/>
      <c r="T26" s="168"/>
      <c r="U26" s="168"/>
      <c r="V26" s="168"/>
      <c r="W26" s="168"/>
      <c r="AF26" s="1341">
        <v>2.99</v>
      </c>
      <c r="AG26" s="1341">
        <v>4.3499999999999996</v>
      </c>
      <c r="AH26" s="1341">
        <v>4.2300000000000004</v>
      </c>
      <c r="AI26" s="1341">
        <v>2.75</v>
      </c>
      <c r="AJ26" s="1341">
        <v>3.05</v>
      </c>
      <c r="AK26" s="1341">
        <v>3.1</v>
      </c>
      <c r="AL26" s="1341">
        <v>2.98</v>
      </c>
      <c r="AM26" s="1341">
        <v>3.14</v>
      </c>
      <c r="AN26" s="1341">
        <v>3.2488999999999999</v>
      </c>
      <c r="AO26" s="1341">
        <v>3.9769999999999999</v>
      </c>
      <c r="AP26" s="1341">
        <v>4.4550000000000001</v>
      </c>
      <c r="AQ26" s="1341">
        <v>4.5979999999999999</v>
      </c>
      <c r="AR26" s="165" t="s">
        <v>769</v>
      </c>
    </row>
    <row r="27" spans="2:44">
      <c r="B27" s="933" t="s">
        <v>770</v>
      </c>
      <c r="C27" s="623"/>
      <c r="O27" s="168"/>
      <c r="P27" s="168"/>
      <c r="Q27" s="168"/>
      <c r="R27" s="168"/>
      <c r="S27" s="168"/>
      <c r="T27" s="168"/>
      <c r="U27" s="168"/>
      <c r="V27" s="168"/>
      <c r="W27" s="168"/>
      <c r="AF27" s="1341">
        <v>0.75</v>
      </c>
      <c r="AG27" s="1341">
        <v>0.92</v>
      </c>
      <c r="AH27" s="1341">
        <v>0.91</v>
      </c>
      <c r="AI27" s="1341">
        <v>0.91</v>
      </c>
      <c r="AJ27" s="1341">
        <v>1.08</v>
      </c>
      <c r="AK27" s="1341">
        <v>1.01</v>
      </c>
      <c r="AL27" s="1341">
        <v>1.03</v>
      </c>
      <c r="AM27" s="1341">
        <v>1.1870000000000001</v>
      </c>
      <c r="AN27" s="1341">
        <v>1.28688</v>
      </c>
      <c r="AO27" s="1341">
        <v>6.63</v>
      </c>
      <c r="AP27" s="1341">
        <v>6.242</v>
      </c>
      <c r="AQ27" s="1341">
        <v>5.9720000000000004</v>
      </c>
    </row>
    <row r="28" spans="2:44" ht="10.5" customHeight="1">
      <c r="B28" s="933" t="s">
        <v>771</v>
      </c>
      <c r="C28" s="623"/>
      <c r="O28" s="168"/>
      <c r="P28" s="168"/>
      <c r="Q28" s="168"/>
      <c r="R28" s="168"/>
      <c r="S28" s="168"/>
      <c r="T28" s="168"/>
      <c r="U28" s="168"/>
      <c r="V28" s="168"/>
      <c r="W28" s="168"/>
      <c r="AF28" s="1341">
        <v>0.64</v>
      </c>
      <c r="AG28" s="1341">
        <v>1.04</v>
      </c>
      <c r="AH28" s="1341">
        <v>0.81</v>
      </c>
      <c r="AI28" s="1341">
        <v>0.76</v>
      </c>
      <c r="AJ28" s="1341">
        <v>0.85</v>
      </c>
      <c r="AK28" s="1341">
        <v>1.1399999999999999</v>
      </c>
      <c r="AL28" s="1341">
        <v>1.1100000000000001</v>
      </c>
      <c r="AM28" s="1341">
        <v>1.26</v>
      </c>
      <c r="AN28" s="1341">
        <v>1.3863000000000001</v>
      </c>
      <c r="AO28" s="1341">
        <v>4.9859999999999998</v>
      </c>
      <c r="AP28" s="1341">
        <v>3.3780000000000001</v>
      </c>
      <c r="AQ28" s="1341">
        <v>2.9510000000000001</v>
      </c>
    </row>
    <row r="29" spans="2:44" ht="12" customHeight="1">
      <c r="B29" s="933"/>
      <c r="C29" s="623"/>
      <c r="O29" s="168"/>
      <c r="P29" s="168"/>
      <c r="Q29" s="168"/>
      <c r="R29" s="168"/>
      <c r="S29" s="168"/>
      <c r="T29" s="168"/>
      <c r="U29" s="168"/>
      <c r="V29" s="168"/>
      <c r="W29" s="168"/>
      <c r="AF29" s="1341"/>
      <c r="AG29" s="1341"/>
      <c r="AH29" s="1341"/>
      <c r="AI29" s="1341"/>
      <c r="AJ29" s="1341"/>
      <c r="AK29" s="1341"/>
      <c r="AL29" s="1341"/>
      <c r="AM29" s="1341"/>
      <c r="AN29" s="1341"/>
      <c r="AO29" s="1341"/>
      <c r="AP29" s="1341"/>
      <c r="AQ29" s="1341"/>
    </row>
    <row r="30" spans="2:44">
      <c r="B30" s="933" t="s">
        <v>772</v>
      </c>
      <c r="C30" s="623"/>
      <c r="O30" s="168"/>
      <c r="P30" s="168"/>
      <c r="Q30" s="168"/>
      <c r="R30" s="168"/>
      <c r="S30" s="168"/>
      <c r="T30" s="168"/>
      <c r="U30" s="168"/>
      <c r="V30" s="168"/>
      <c r="W30" s="168"/>
      <c r="AF30" s="1341">
        <v>17.5</v>
      </c>
      <c r="AG30" s="1341">
        <v>16.100000000000001</v>
      </c>
      <c r="AH30" s="1341">
        <v>15.8</v>
      </c>
      <c r="AI30" s="1341">
        <v>16.2</v>
      </c>
      <c r="AJ30" s="1341">
        <v>17</v>
      </c>
      <c r="AK30" s="1341">
        <v>17.2</v>
      </c>
      <c r="AL30" s="1341">
        <v>16.5</v>
      </c>
      <c r="AM30" s="1341">
        <v>16.8</v>
      </c>
      <c r="AN30" s="1341">
        <v>17</v>
      </c>
      <c r="AO30" s="1341">
        <v>17.100000000000001</v>
      </c>
      <c r="AP30" s="1341">
        <v>17.7</v>
      </c>
      <c r="AQ30" s="1341"/>
      <c r="AR30" s="165" t="s">
        <v>773</v>
      </c>
    </row>
    <row r="31" spans="2:44" ht="6.75" customHeight="1">
      <c r="B31" s="933"/>
      <c r="C31" s="623"/>
      <c r="O31" s="168"/>
      <c r="P31" s="168"/>
      <c r="Q31" s="168"/>
      <c r="R31" s="168"/>
      <c r="S31" s="168"/>
      <c r="T31" s="168"/>
      <c r="U31" s="168"/>
      <c r="V31" s="168"/>
      <c r="W31" s="168"/>
      <c r="AF31" s="1341"/>
      <c r="AG31" s="1341"/>
      <c r="AH31" s="1341"/>
      <c r="AI31" s="1341"/>
      <c r="AJ31" s="1341"/>
      <c r="AK31" s="1341"/>
      <c r="AL31" s="1341"/>
      <c r="AM31" s="1341"/>
      <c r="AN31" s="1341"/>
      <c r="AO31" s="1341"/>
      <c r="AP31" s="1341"/>
      <c r="AQ31" s="1341"/>
    </row>
    <row r="32" spans="2:44">
      <c r="B32" s="933" t="s">
        <v>774</v>
      </c>
      <c r="C32" s="623"/>
      <c r="O32" s="168"/>
      <c r="P32" s="168"/>
      <c r="Q32" s="168"/>
      <c r="R32" s="168"/>
      <c r="S32" s="168"/>
      <c r="T32" s="168"/>
      <c r="U32" s="168"/>
      <c r="V32" s="168"/>
      <c r="W32" s="168"/>
      <c r="AF32" s="1342">
        <v>17.293333333333333</v>
      </c>
      <c r="AG32" s="1342">
        <v>17.099999999999998</v>
      </c>
      <c r="AH32" s="1342">
        <v>16.833333333333332</v>
      </c>
      <c r="AI32" s="1342">
        <v>17.066666666666666</v>
      </c>
      <c r="AJ32" s="1342">
        <v>17.033333333333331</v>
      </c>
      <c r="AK32" s="1342">
        <v>17.336666666666666</v>
      </c>
      <c r="AL32" s="1342">
        <v>16.346666666666668</v>
      </c>
      <c r="AM32" s="1342">
        <v>16.399999999999999</v>
      </c>
      <c r="AN32" s="1342">
        <v>16.3</v>
      </c>
      <c r="AO32" s="1342">
        <v>14.7</v>
      </c>
      <c r="AP32" s="1342">
        <v>15.1</v>
      </c>
      <c r="AQ32" s="1342"/>
      <c r="AR32" s="165" t="s">
        <v>767</v>
      </c>
    </row>
    <row r="33" spans="2:49">
      <c r="B33" s="933" t="s">
        <v>775</v>
      </c>
      <c r="C33" s="623"/>
      <c r="O33" s="168"/>
      <c r="P33" s="168"/>
      <c r="Q33" s="168"/>
      <c r="R33" s="168"/>
      <c r="S33" s="168"/>
      <c r="T33" s="168"/>
      <c r="U33" s="168"/>
      <c r="V33" s="168"/>
      <c r="W33" s="168"/>
      <c r="AF33" s="1341"/>
      <c r="AG33" s="1341"/>
      <c r="AH33" s="1341"/>
      <c r="AI33" s="1341"/>
      <c r="AJ33" s="1341"/>
      <c r="AK33" s="1341"/>
      <c r="AL33" s="1341"/>
      <c r="AM33" s="1341"/>
      <c r="AN33" s="1341"/>
      <c r="AO33" s="1341"/>
      <c r="AP33" s="1341"/>
      <c r="AQ33" s="1341"/>
    </row>
    <row r="34" spans="2:49">
      <c r="B34" s="933" t="s">
        <v>776</v>
      </c>
      <c r="C34" s="623"/>
      <c r="O34" s="168"/>
      <c r="P34" s="168"/>
      <c r="Q34" s="168"/>
      <c r="R34" s="168"/>
      <c r="S34" s="168"/>
      <c r="T34" s="168"/>
      <c r="U34" s="168"/>
      <c r="V34" s="168"/>
      <c r="W34" s="168"/>
      <c r="AF34" s="1341">
        <v>10.1</v>
      </c>
      <c r="AG34" s="1341">
        <v>9.51</v>
      </c>
      <c r="AH34" s="1341">
        <v>8.9</v>
      </c>
      <c r="AI34" s="1341">
        <v>9.6999999999999993</v>
      </c>
      <c r="AJ34" s="1341">
        <v>9.6999999999999993</v>
      </c>
      <c r="AK34" s="1341">
        <v>10.61</v>
      </c>
      <c r="AL34" s="1341">
        <v>9.6300000000000008</v>
      </c>
      <c r="AM34" s="1341">
        <v>9.6999999999999993</v>
      </c>
      <c r="AN34" s="1341">
        <v>9.5</v>
      </c>
      <c r="AO34" s="1341">
        <v>5.19</v>
      </c>
      <c r="AP34" s="1341">
        <v>6.5</v>
      </c>
      <c r="AQ34" s="1341"/>
      <c r="AR34" s="165" t="s">
        <v>777</v>
      </c>
    </row>
    <row r="35" spans="2:49">
      <c r="B35" s="933" t="s">
        <v>778</v>
      </c>
      <c r="C35" s="623"/>
      <c r="O35" s="168"/>
      <c r="P35" s="168"/>
      <c r="Q35" s="168"/>
      <c r="R35" s="168"/>
      <c r="S35" s="168"/>
      <c r="T35" s="168"/>
      <c r="U35" s="168"/>
      <c r="V35" s="168"/>
      <c r="W35" s="168"/>
      <c r="AF35" s="1341">
        <v>20.89</v>
      </c>
      <c r="AG35" s="1341">
        <v>20.9</v>
      </c>
      <c r="AH35" s="1341">
        <v>20.8</v>
      </c>
      <c r="AI35" s="1341">
        <v>20.8</v>
      </c>
      <c r="AJ35" s="1341">
        <v>20.7</v>
      </c>
      <c r="AK35" s="1341">
        <v>20.72</v>
      </c>
      <c r="AL35" s="1341">
        <v>19.73</v>
      </c>
      <c r="AM35" s="1341">
        <v>19.7</v>
      </c>
      <c r="AN35" s="1341">
        <v>19.7</v>
      </c>
      <c r="AO35" s="1341">
        <v>19.100000000000001</v>
      </c>
      <c r="AP35" s="1341">
        <v>19.2</v>
      </c>
      <c r="AQ35" s="1341"/>
      <c r="AR35" s="165" t="s">
        <v>779</v>
      </c>
    </row>
    <row r="36" spans="2:49">
      <c r="B36" s="933" t="s">
        <v>780</v>
      </c>
      <c r="C36" s="623"/>
      <c r="O36" s="168"/>
      <c r="P36" s="168"/>
      <c r="Q36" s="168"/>
      <c r="R36" s="168"/>
      <c r="S36" s="168"/>
      <c r="T36" s="168"/>
      <c r="U36" s="168"/>
      <c r="V36" s="168"/>
      <c r="W36" s="168"/>
      <c r="AF36" s="1341">
        <v>20.89</v>
      </c>
      <c r="AG36" s="1341">
        <v>20.89</v>
      </c>
      <c r="AH36" s="1341">
        <v>20.8</v>
      </c>
      <c r="AI36" s="1341">
        <v>20.7</v>
      </c>
      <c r="AJ36" s="1341">
        <v>20.7</v>
      </c>
      <c r="AK36" s="1341">
        <v>20.68</v>
      </c>
      <c r="AL36" s="1341">
        <v>19.68</v>
      </c>
      <c r="AM36" s="1341">
        <v>19.7</v>
      </c>
      <c r="AN36" s="1341">
        <v>19.7</v>
      </c>
      <c r="AO36" s="1341">
        <v>19.8</v>
      </c>
      <c r="AP36" s="1341">
        <v>19.8</v>
      </c>
      <c r="AQ36" s="1341"/>
      <c r="AR36" s="165" t="s">
        <v>781</v>
      </c>
    </row>
    <row r="37" spans="2:49">
      <c r="B37" s="933" t="s">
        <v>782</v>
      </c>
      <c r="C37" s="623"/>
      <c r="O37" s="168"/>
      <c r="P37" s="168"/>
      <c r="Q37" s="168"/>
      <c r="R37" s="168"/>
      <c r="S37" s="168"/>
      <c r="T37" s="168"/>
      <c r="U37" s="168"/>
      <c r="V37" s="168"/>
      <c r="W37" s="168"/>
      <c r="AF37" s="1341"/>
      <c r="AG37" s="1341"/>
      <c r="AH37" s="1341"/>
      <c r="AI37" s="1341"/>
      <c r="AJ37" s="1341"/>
      <c r="AK37" s="1341"/>
      <c r="AL37" s="1341"/>
      <c r="AM37" s="1341"/>
      <c r="AN37" s="1341"/>
      <c r="AO37" s="1341"/>
      <c r="AP37" s="1341"/>
      <c r="AQ37" s="1341"/>
    </row>
    <row r="38" spans="2:49">
      <c r="B38" s="933" t="s">
        <v>778</v>
      </c>
      <c r="C38" s="623"/>
      <c r="O38" s="168"/>
      <c r="P38" s="168"/>
      <c r="Q38" s="168"/>
      <c r="R38" s="168"/>
      <c r="S38" s="168"/>
      <c r="T38" s="168"/>
      <c r="U38" s="168"/>
      <c r="V38" s="168"/>
      <c r="W38" s="168"/>
      <c r="AF38" s="1341"/>
      <c r="AG38" s="1341"/>
      <c r="AH38" s="1341"/>
      <c r="AI38" s="1341"/>
      <c r="AJ38" s="1341"/>
      <c r="AK38" s="1341"/>
      <c r="AL38" s="1341"/>
      <c r="AM38" s="1341"/>
      <c r="AN38" s="1341"/>
      <c r="AO38" s="1341"/>
      <c r="AP38" s="1341"/>
      <c r="AQ38" s="1341"/>
    </row>
    <row r="39" spans="2:49">
      <c r="B39" s="933" t="s">
        <v>780</v>
      </c>
      <c r="C39" s="623"/>
      <c r="O39" s="168"/>
      <c r="P39" s="168"/>
      <c r="Q39" s="168"/>
      <c r="R39" s="168"/>
      <c r="S39" s="168"/>
      <c r="T39" s="168"/>
      <c r="U39" s="168"/>
      <c r="V39" s="168"/>
      <c r="W39" s="168"/>
      <c r="AF39" s="1341"/>
      <c r="AG39" s="1341"/>
      <c r="AH39" s="1341"/>
      <c r="AI39" s="1341"/>
      <c r="AJ39" s="1341"/>
      <c r="AK39" s="1341"/>
      <c r="AL39" s="1341"/>
      <c r="AM39" s="1341"/>
      <c r="AN39" s="1341"/>
      <c r="AO39" s="1341"/>
      <c r="AP39" s="1341"/>
      <c r="AQ39" s="1341"/>
    </row>
    <row r="40" spans="2:49" ht="6.75" customHeight="1">
      <c r="B40" s="933"/>
      <c r="C40" s="623"/>
      <c r="O40" s="168"/>
      <c r="P40" s="168"/>
      <c r="Q40" s="168"/>
      <c r="R40" s="168"/>
      <c r="S40" s="168"/>
      <c r="T40" s="168"/>
      <c r="U40" s="168"/>
      <c r="V40" s="168"/>
      <c r="W40" s="168"/>
      <c r="AF40" s="1341"/>
      <c r="AG40" s="1341"/>
      <c r="AH40" s="1341"/>
      <c r="AI40" s="1341"/>
      <c r="AJ40" s="1341"/>
      <c r="AK40" s="1341"/>
      <c r="AL40" s="1341"/>
      <c r="AM40" s="1341"/>
      <c r="AN40" s="1341"/>
      <c r="AO40" s="1341"/>
      <c r="AP40" s="1341"/>
      <c r="AQ40" s="1341"/>
    </row>
    <row r="41" spans="2:49">
      <c r="B41" s="933" t="s">
        <v>783</v>
      </c>
      <c r="C41" s="623"/>
      <c r="O41" s="168"/>
      <c r="P41" s="168"/>
      <c r="Q41" s="168"/>
      <c r="R41" s="168"/>
      <c r="S41" s="168"/>
      <c r="T41" s="168"/>
      <c r="U41" s="168"/>
      <c r="V41" s="168"/>
      <c r="W41" s="168"/>
      <c r="AF41" s="1342">
        <v>17.8</v>
      </c>
      <c r="AG41" s="1342">
        <v>18.78</v>
      </c>
      <c r="AH41" s="1342">
        <v>18.7</v>
      </c>
      <c r="AI41" s="1342">
        <v>18.8</v>
      </c>
      <c r="AJ41" s="1342">
        <v>18.8</v>
      </c>
      <c r="AK41" s="1342">
        <v>19</v>
      </c>
      <c r="AL41" s="1342">
        <v>18.149999999999999</v>
      </c>
      <c r="AM41" s="1342">
        <v>18.100000000000001</v>
      </c>
      <c r="AN41" s="1342">
        <v>18.399999999999999</v>
      </c>
      <c r="AO41" s="1342">
        <v>17.600000000000001</v>
      </c>
      <c r="AP41" s="1342">
        <v>18.600000000000001</v>
      </c>
      <c r="AQ41" s="1342"/>
    </row>
    <row r="42" spans="2:49">
      <c r="B42" s="933" t="s">
        <v>784</v>
      </c>
      <c r="C42" s="623"/>
      <c r="O42" s="168"/>
      <c r="P42" s="168"/>
      <c r="Q42" s="168"/>
      <c r="R42" s="168"/>
      <c r="S42" s="168"/>
      <c r="T42" s="168"/>
      <c r="U42" s="168"/>
      <c r="V42" s="168"/>
      <c r="W42" s="168"/>
      <c r="AF42" s="1341">
        <v>17.8</v>
      </c>
      <c r="AG42" s="1341">
        <v>18.78</v>
      </c>
      <c r="AH42" s="1341">
        <v>18.7</v>
      </c>
      <c r="AI42" s="1341">
        <v>18.8</v>
      </c>
      <c r="AJ42" s="1341">
        <v>18.8</v>
      </c>
      <c r="AK42" s="1341">
        <v>19</v>
      </c>
      <c r="AL42" s="1341">
        <v>18.149999999999999</v>
      </c>
      <c r="AM42" s="1341">
        <v>18.100000000000001</v>
      </c>
      <c r="AN42" s="1341">
        <v>18.399999999999999</v>
      </c>
      <c r="AO42" s="1341">
        <v>17.600000000000001</v>
      </c>
      <c r="AP42" s="1341">
        <v>18.600000000000001</v>
      </c>
      <c r="AQ42" s="1341"/>
      <c r="AR42" s="165" t="s">
        <v>785</v>
      </c>
    </row>
    <row r="43" spans="2:49">
      <c r="B43" s="933" t="s">
        <v>786</v>
      </c>
      <c r="C43" s="623"/>
      <c r="O43" s="168"/>
      <c r="P43" s="168"/>
      <c r="Q43" s="168"/>
      <c r="R43" s="168"/>
      <c r="S43" s="168"/>
      <c r="T43" s="168"/>
      <c r="U43" s="168"/>
      <c r="V43" s="168"/>
      <c r="W43" s="168"/>
      <c r="AF43" s="621"/>
      <c r="AG43" s="621"/>
      <c r="AH43" s="621"/>
      <c r="AI43" s="621"/>
      <c r="AJ43" s="621"/>
      <c r="AK43" s="621"/>
      <c r="AL43" s="621"/>
      <c r="AM43" s="621"/>
      <c r="AN43" s="621"/>
      <c r="AO43" s="621"/>
      <c r="AP43" s="621"/>
      <c r="AQ43" s="621"/>
    </row>
    <row r="44" spans="2:49" ht="6.75" customHeight="1">
      <c r="B44" s="939"/>
      <c r="C44" s="172"/>
      <c r="D44" s="172"/>
      <c r="E44" s="172"/>
      <c r="F44" s="172"/>
      <c r="G44" s="172"/>
      <c r="H44" s="172"/>
      <c r="I44" s="172"/>
      <c r="J44" s="172"/>
      <c r="K44" s="172"/>
      <c r="L44" s="172"/>
      <c r="M44" s="172"/>
      <c r="N44" s="172"/>
      <c r="O44" s="172"/>
      <c r="P44" s="172"/>
      <c r="Q44" s="172"/>
      <c r="R44" s="1004"/>
      <c r="S44" s="1004"/>
      <c r="T44" s="1004"/>
      <c r="U44" s="1004"/>
      <c r="V44" s="1004"/>
      <c r="W44" s="1004"/>
      <c r="X44" s="931"/>
      <c r="Y44" s="931"/>
      <c r="Z44" s="940"/>
      <c r="AA44" s="931"/>
      <c r="AB44" s="940"/>
      <c r="AC44" s="940"/>
      <c r="AD44" s="940"/>
      <c r="AE44" s="931"/>
      <c r="AF44" s="940"/>
      <c r="AG44" s="940"/>
      <c r="AH44" s="940"/>
      <c r="AI44" s="940"/>
      <c r="AJ44" s="940"/>
      <c r="AK44" s="940"/>
      <c r="AL44" s="940"/>
      <c r="AM44" s="940"/>
      <c r="AN44" s="940"/>
      <c r="AO44" s="940"/>
      <c r="AP44" s="940"/>
      <c r="AQ44" s="940"/>
    </row>
    <row r="45" spans="2:49" ht="12" customHeight="1">
      <c r="B45" s="937"/>
      <c r="R45" s="261"/>
      <c r="S45" s="261"/>
      <c r="T45" s="261"/>
      <c r="U45" s="261"/>
      <c r="V45" s="261"/>
      <c r="W45" s="261"/>
      <c r="X45" s="244"/>
      <c r="Y45" s="244"/>
      <c r="Z45" s="244"/>
      <c r="AA45" s="244"/>
      <c r="AB45" s="244"/>
      <c r="AC45" s="244"/>
      <c r="AD45" s="244"/>
      <c r="AE45" s="244"/>
      <c r="AF45" s="244"/>
      <c r="AG45" s="244"/>
      <c r="AH45" s="244"/>
      <c r="AI45" s="244"/>
      <c r="AJ45" s="244"/>
      <c r="AK45" s="244"/>
      <c r="AL45" s="244"/>
      <c r="AM45" s="244"/>
      <c r="AN45" s="261"/>
    </row>
    <row r="46" spans="2:49" hidden="1">
      <c r="R46" s="261"/>
      <c r="S46" s="261"/>
      <c r="T46" s="261"/>
      <c r="U46" s="261"/>
      <c r="V46" s="261"/>
      <c r="W46" s="261"/>
      <c r="X46" s="244"/>
      <c r="Y46" s="244"/>
      <c r="Z46" s="244"/>
      <c r="AA46" s="244"/>
      <c r="AB46" s="244"/>
      <c r="AC46" s="244"/>
      <c r="AD46" s="244"/>
      <c r="AE46" s="244"/>
      <c r="AF46" s="244"/>
      <c r="AG46" s="244"/>
      <c r="AH46" s="244"/>
      <c r="AI46" s="244"/>
      <c r="AJ46" s="244"/>
      <c r="AK46" s="244"/>
      <c r="AL46" s="244"/>
      <c r="AM46" s="244"/>
      <c r="AN46" s="261"/>
    </row>
    <row r="47" spans="2:49" hidden="1">
      <c r="R47" s="261"/>
      <c r="S47" s="261"/>
      <c r="T47" s="261"/>
      <c r="U47" s="261"/>
      <c r="V47" s="261"/>
      <c r="W47" s="261"/>
      <c r="X47" s="244"/>
      <c r="Y47" s="244"/>
      <c r="Z47" s="244"/>
      <c r="AA47" s="244"/>
      <c r="AB47" s="244"/>
      <c r="AC47" s="244"/>
      <c r="AD47" s="244"/>
      <c r="AE47" s="244"/>
      <c r="AF47" s="244"/>
      <c r="AG47" s="244"/>
      <c r="AH47" s="244"/>
      <c r="AI47" s="244"/>
      <c r="AJ47" s="244"/>
      <c r="AK47" s="244"/>
      <c r="AL47" s="244"/>
      <c r="AM47" s="244"/>
      <c r="AN47" s="261"/>
    </row>
    <row r="48" spans="2:49" s="167" customFormat="1" hidden="1">
      <c r="O48" s="197"/>
      <c r="P48" s="198"/>
      <c r="Q48" s="199"/>
      <c r="R48" s="198"/>
      <c r="S48" s="198"/>
      <c r="T48" s="198"/>
      <c r="U48" s="198"/>
      <c r="V48" s="198"/>
      <c r="W48" s="198"/>
      <c r="X48" s="196"/>
      <c r="Y48" s="196"/>
      <c r="Z48" s="196"/>
      <c r="AA48" s="196"/>
      <c r="AB48" s="196"/>
      <c r="AC48" s="196"/>
      <c r="AD48" s="196"/>
      <c r="AE48" s="196"/>
      <c r="AF48" s="196"/>
      <c r="AG48" s="196"/>
      <c r="AH48" s="196"/>
      <c r="AI48" s="196"/>
      <c r="AJ48" s="196"/>
      <c r="AK48" s="196"/>
      <c r="AL48" s="196"/>
      <c r="AM48" s="196"/>
      <c r="AN48" s="261"/>
      <c r="AO48" s="165"/>
      <c r="AP48" s="165"/>
      <c r="AQ48" s="165"/>
      <c r="AR48" s="165"/>
      <c r="AS48" s="165"/>
      <c r="AT48" s="165"/>
      <c r="AU48" s="165"/>
      <c r="AV48" s="165"/>
      <c r="AW48" s="165"/>
    </row>
    <row r="49" spans="2:49" s="167" customFormat="1" hidden="1">
      <c r="O49" s="197"/>
      <c r="P49" s="198"/>
      <c r="Q49" s="199"/>
      <c r="R49" s="198"/>
      <c r="S49" s="198"/>
      <c r="T49" s="198"/>
      <c r="U49" s="198"/>
      <c r="V49" s="198"/>
      <c r="W49" s="198"/>
      <c r="X49" s="196"/>
      <c r="Y49" s="196"/>
      <c r="Z49" s="196"/>
      <c r="AA49" s="196"/>
      <c r="AB49" s="196"/>
      <c r="AC49" s="196"/>
      <c r="AD49" s="196"/>
      <c r="AE49" s="196"/>
      <c r="AF49" s="196"/>
      <c r="AG49" s="196"/>
      <c r="AH49" s="196"/>
      <c r="AI49" s="196"/>
      <c r="AJ49" s="196"/>
      <c r="AK49" s="196"/>
      <c r="AL49" s="196"/>
      <c r="AM49" s="196"/>
      <c r="AN49" s="261"/>
      <c r="AO49" s="165"/>
      <c r="AP49" s="165"/>
      <c r="AQ49" s="165"/>
      <c r="AR49" s="165"/>
      <c r="AS49" s="165"/>
      <c r="AT49" s="165"/>
      <c r="AU49" s="165"/>
      <c r="AV49" s="165"/>
      <c r="AW49" s="165"/>
    </row>
    <row r="50" spans="2:49" s="167" customFormat="1" hidden="1">
      <c r="O50" s="197"/>
      <c r="P50" s="198"/>
      <c r="Q50" s="199"/>
      <c r="R50" s="198"/>
      <c r="S50" s="198"/>
      <c r="T50" s="198"/>
      <c r="U50" s="198"/>
      <c r="V50" s="198"/>
      <c r="W50" s="198"/>
      <c r="X50" s="196"/>
      <c r="Y50" s="196"/>
      <c r="Z50" s="196"/>
      <c r="AA50" s="196"/>
      <c r="AB50" s="196"/>
      <c r="AC50" s="196"/>
      <c r="AD50" s="196"/>
      <c r="AE50" s="196"/>
      <c r="AF50" s="196"/>
      <c r="AG50" s="196"/>
      <c r="AH50" s="196"/>
      <c r="AI50" s="196"/>
      <c r="AJ50" s="196"/>
      <c r="AK50" s="196"/>
      <c r="AL50" s="196"/>
      <c r="AM50" s="196"/>
      <c r="AN50" s="261"/>
      <c r="AO50" s="165"/>
      <c r="AP50" s="165"/>
      <c r="AQ50" s="165"/>
      <c r="AR50" s="165"/>
      <c r="AS50" s="165"/>
      <c r="AT50" s="165"/>
      <c r="AU50" s="165"/>
      <c r="AV50" s="165"/>
      <c r="AW50" s="165"/>
    </row>
    <row r="51" spans="2:49" s="167" customFormat="1" hidden="1">
      <c r="O51" s="197"/>
      <c r="P51" s="198"/>
      <c r="Q51" s="199"/>
      <c r="R51" s="198"/>
      <c r="S51" s="198"/>
      <c r="T51" s="198"/>
      <c r="U51" s="198"/>
      <c r="V51" s="198"/>
      <c r="W51" s="198"/>
      <c r="X51" s="196"/>
      <c r="Y51" s="196"/>
      <c r="Z51" s="196"/>
      <c r="AA51" s="196"/>
      <c r="AB51" s="196"/>
      <c r="AC51" s="196"/>
      <c r="AD51" s="196"/>
      <c r="AE51" s="196"/>
      <c r="AF51" s="196"/>
      <c r="AG51" s="196"/>
      <c r="AH51" s="196"/>
      <c r="AI51" s="196"/>
      <c r="AJ51" s="196"/>
      <c r="AK51" s="196"/>
      <c r="AL51" s="196"/>
      <c r="AM51" s="196"/>
      <c r="AN51" s="261"/>
      <c r="AO51" s="165"/>
      <c r="AP51" s="165"/>
      <c r="AQ51" s="165"/>
      <c r="AR51" s="165"/>
      <c r="AS51" s="165"/>
      <c r="AT51" s="165"/>
      <c r="AU51" s="165"/>
      <c r="AV51" s="165"/>
      <c r="AW51" s="165"/>
    </row>
    <row r="52" spans="2:49" s="167" customFormat="1" hidden="1">
      <c r="O52" s="197"/>
      <c r="P52" s="198"/>
      <c r="Q52" s="199"/>
      <c r="R52" s="198"/>
      <c r="S52" s="198"/>
      <c r="T52" s="198"/>
      <c r="U52" s="198"/>
      <c r="V52" s="198"/>
      <c r="W52" s="198"/>
      <c r="X52" s="196"/>
      <c r="Y52" s="196"/>
      <c r="Z52" s="196"/>
      <c r="AA52" s="196"/>
      <c r="AB52" s="196"/>
      <c r="AC52" s="196"/>
      <c r="AD52" s="196"/>
      <c r="AE52" s="196"/>
      <c r="AF52" s="196"/>
      <c r="AG52" s="196"/>
      <c r="AH52" s="196"/>
      <c r="AI52" s="196"/>
      <c r="AJ52" s="196"/>
      <c r="AK52" s="196"/>
      <c r="AL52" s="196"/>
      <c r="AM52" s="196"/>
      <c r="AN52" s="261"/>
      <c r="AO52" s="165"/>
      <c r="AP52" s="165"/>
      <c r="AQ52" s="165"/>
      <c r="AR52" s="165"/>
      <c r="AS52" s="165"/>
      <c r="AT52" s="165"/>
      <c r="AU52" s="165"/>
      <c r="AV52" s="165"/>
      <c r="AW52" s="165"/>
    </row>
    <row r="53" spans="2:49" s="167" customFormat="1" hidden="1">
      <c r="O53" s="197"/>
      <c r="P53" s="198"/>
      <c r="Q53" s="199"/>
      <c r="R53" s="198"/>
      <c r="S53" s="198"/>
      <c r="T53" s="198"/>
      <c r="U53" s="198"/>
      <c r="V53" s="198"/>
      <c r="W53" s="198"/>
      <c r="X53" s="196"/>
      <c r="Y53" s="196"/>
      <c r="Z53" s="196"/>
      <c r="AA53" s="196"/>
      <c r="AB53" s="196"/>
      <c r="AC53" s="196"/>
      <c r="AD53" s="196"/>
      <c r="AE53" s="196"/>
      <c r="AF53" s="196"/>
      <c r="AG53" s="196"/>
      <c r="AH53" s="196"/>
      <c r="AI53" s="196"/>
      <c r="AJ53" s="196"/>
      <c r="AK53" s="196"/>
      <c r="AL53" s="196"/>
      <c r="AM53" s="196"/>
      <c r="AN53" s="261"/>
      <c r="AO53" s="165"/>
      <c r="AP53" s="165"/>
      <c r="AQ53" s="165"/>
      <c r="AR53" s="165"/>
      <c r="AS53" s="165"/>
      <c r="AT53" s="165"/>
      <c r="AU53" s="165"/>
      <c r="AV53" s="165"/>
      <c r="AW53" s="165"/>
    </row>
    <row r="54" spans="2:49" s="167" customFormat="1" hidden="1">
      <c r="O54" s="197"/>
      <c r="P54" s="198"/>
      <c r="Q54" s="199"/>
      <c r="R54" s="198"/>
      <c r="S54" s="198"/>
      <c r="T54" s="198"/>
      <c r="U54" s="198"/>
      <c r="V54" s="198"/>
      <c r="W54" s="198"/>
      <c r="X54" s="196"/>
      <c r="Y54" s="196"/>
      <c r="Z54" s="196"/>
      <c r="AA54" s="196"/>
      <c r="AB54" s="196"/>
      <c r="AC54" s="196"/>
      <c r="AD54" s="196"/>
      <c r="AE54" s="196"/>
      <c r="AF54" s="196"/>
      <c r="AG54" s="196"/>
      <c r="AH54" s="196"/>
      <c r="AI54" s="196"/>
      <c r="AJ54" s="196"/>
      <c r="AK54" s="196"/>
      <c r="AL54" s="196"/>
      <c r="AM54" s="196"/>
      <c r="AN54" s="261"/>
      <c r="AO54" s="165"/>
      <c r="AP54" s="165"/>
      <c r="AQ54" s="165"/>
      <c r="AR54" s="165"/>
      <c r="AS54" s="165"/>
      <c r="AT54" s="165"/>
      <c r="AU54" s="165"/>
      <c r="AV54" s="165"/>
      <c r="AW54" s="165"/>
    </row>
    <row r="55" spans="2:49" s="167" customFormat="1" hidden="1">
      <c r="O55" s="197"/>
      <c r="P55" s="198"/>
      <c r="Q55" s="199"/>
      <c r="R55" s="198"/>
      <c r="S55" s="198"/>
      <c r="T55" s="198"/>
      <c r="U55" s="198"/>
      <c r="V55" s="198"/>
      <c r="W55" s="198"/>
      <c r="X55" s="196"/>
      <c r="Y55" s="196"/>
      <c r="Z55" s="196"/>
      <c r="AA55" s="196"/>
      <c r="AB55" s="196"/>
      <c r="AC55" s="196"/>
      <c r="AD55" s="196"/>
      <c r="AE55" s="196"/>
      <c r="AF55" s="196"/>
      <c r="AG55" s="196"/>
      <c r="AH55" s="196"/>
      <c r="AI55" s="196"/>
      <c r="AJ55" s="196"/>
      <c r="AK55" s="196"/>
      <c r="AL55" s="196"/>
      <c r="AM55" s="196"/>
      <c r="AN55" s="261"/>
      <c r="AO55" s="165"/>
      <c r="AP55" s="165"/>
      <c r="AQ55" s="165"/>
      <c r="AR55" s="165"/>
      <c r="AS55" s="165"/>
      <c r="AT55" s="165"/>
      <c r="AU55" s="165"/>
      <c r="AV55" s="165"/>
      <c r="AW55" s="165"/>
    </row>
    <row r="56" spans="2:49" s="167" customFormat="1" hidden="1">
      <c r="O56" s="197"/>
      <c r="P56" s="198"/>
      <c r="Q56" s="199"/>
      <c r="R56" s="198"/>
      <c r="S56" s="198"/>
      <c r="T56" s="198"/>
      <c r="U56" s="198"/>
      <c r="V56" s="198"/>
      <c r="W56" s="198"/>
      <c r="X56" s="196"/>
      <c r="Y56" s="196"/>
      <c r="Z56" s="196"/>
      <c r="AA56" s="196"/>
      <c r="AB56" s="196"/>
      <c r="AC56" s="196"/>
      <c r="AD56" s="196"/>
      <c r="AE56" s="196"/>
      <c r="AF56" s="196"/>
      <c r="AG56" s="196"/>
      <c r="AH56" s="196"/>
      <c r="AI56" s="196"/>
      <c r="AJ56" s="196"/>
      <c r="AK56" s="196"/>
      <c r="AL56" s="196"/>
      <c r="AM56" s="196"/>
      <c r="AN56" s="261"/>
      <c r="AO56" s="165"/>
      <c r="AP56" s="165"/>
      <c r="AQ56" s="165"/>
      <c r="AR56" s="165"/>
      <c r="AS56" s="165"/>
      <c r="AT56" s="165"/>
      <c r="AU56" s="165"/>
      <c r="AV56" s="165"/>
      <c r="AW56" s="165"/>
    </row>
    <row r="57" spans="2:49" s="167" customFormat="1" hidden="1">
      <c r="O57" s="197"/>
      <c r="P57" s="198"/>
      <c r="Q57" s="199"/>
      <c r="R57" s="198"/>
      <c r="S57" s="198"/>
      <c r="T57" s="198"/>
      <c r="U57" s="198"/>
      <c r="V57" s="198"/>
      <c r="W57" s="198"/>
      <c r="X57" s="196"/>
      <c r="Y57" s="196"/>
      <c r="Z57" s="196"/>
      <c r="AA57" s="196"/>
      <c r="AB57" s="196"/>
      <c r="AC57" s="196"/>
      <c r="AD57" s="196"/>
      <c r="AE57" s="196"/>
      <c r="AF57" s="196"/>
      <c r="AG57" s="196"/>
      <c r="AH57" s="196"/>
      <c r="AI57" s="196"/>
      <c r="AJ57" s="196"/>
      <c r="AK57" s="196"/>
      <c r="AL57" s="196"/>
      <c r="AM57" s="196"/>
      <c r="AN57" s="261"/>
      <c r="AO57" s="165"/>
      <c r="AP57" s="165"/>
      <c r="AQ57" s="165"/>
      <c r="AR57" s="165"/>
      <c r="AS57" s="165"/>
      <c r="AT57" s="165"/>
      <c r="AU57" s="165"/>
      <c r="AV57" s="165"/>
      <c r="AW57" s="165"/>
    </row>
    <row r="58" spans="2:49" s="167" customFormat="1" hidden="1">
      <c r="O58" s="197"/>
      <c r="P58" s="198"/>
      <c r="Q58" s="199"/>
      <c r="R58" s="198"/>
      <c r="S58" s="198"/>
      <c r="T58" s="198"/>
      <c r="U58" s="198"/>
      <c r="V58" s="198"/>
      <c r="W58" s="198"/>
      <c r="X58" s="196"/>
      <c r="Y58" s="196"/>
      <c r="Z58" s="196"/>
      <c r="AA58" s="196"/>
      <c r="AB58" s="196"/>
      <c r="AC58" s="196"/>
      <c r="AD58" s="196"/>
      <c r="AE58" s="196"/>
      <c r="AF58" s="196"/>
      <c r="AG58" s="196"/>
      <c r="AH58" s="196"/>
      <c r="AI58" s="196"/>
      <c r="AJ58" s="196"/>
      <c r="AK58" s="196"/>
      <c r="AL58" s="196"/>
      <c r="AM58" s="196"/>
      <c r="AN58" s="261"/>
      <c r="AO58" s="165"/>
      <c r="AP58" s="165"/>
      <c r="AQ58" s="165"/>
      <c r="AR58" s="165"/>
      <c r="AS58" s="165"/>
      <c r="AT58" s="165"/>
      <c r="AU58" s="165"/>
      <c r="AV58" s="165"/>
      <c r="AW58" s="165"/>
    </row>
    <row r="59" spans="2:49" s="167" customFormat="1" ht="6" customHeight="1">
      <c r="O59" s="197"/>
      <c r="P59" s="198"/>
      <c r="Q59" s="199"/>
      <c r="R59" s="198"/>
      <c r="S59" s="198"/>
      <c r="T59" s="198"/>
      <c r="U59" s="198"/>
      <c r="V59" s="198"/>
      <c r="W59" s="198"/>
      <c r="X59" s="196"/>
      <c r="Y59" s="196"/>
      <c r="Z59" s="196"/>
      <c r="AA59" s="196"/>
      <c r="AB59" s="196"/>
      <c r="AC59" s="196"/>
      <c r="AD59" s="196"/>
      <c r="AE59" s="196"/>
      <c r="AF59" s="196"/>
      <c r="AG59" s="196"/>
      <c r="AH59" s="196"/>
      <c r="AI59" s="196"/>
      <c r="AJ59" s="196"/>
      <c r="AK59" s="196"/>
      <c r="AL59" s="196"/>
      <c r="AM59" s="196"/>
      <c r="AN59" s="261"/>
      <c r="AO59" s="165"/>
      <c r="AP59" s="165"/>
      <c r="AQ59" s="165"/>
      <c r="AR59" s="165"/>
      <c r="AS59" s="165"/>
      <c r="AT59" s="165"/>
      <c r="AU59" s="165"/>
      <c r="AV59" s="165"/>
      <c r="AW59" s="165"/>
    </row>
    <row r="60" spans="2:49" s="167" customFormat="1"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261"/>
      <c r="AO60" s="165"/>
      <c r="AP60" s="165"/>
      <c r="AQ60" s="165"/>
      <c r="AR60" s="165"/>
      <c r="AS60" s="165"/>
      <c r="AT60" s="165"/>
      <c r="AU60" s="165"/>
      <c r="AV60" s="165"/>
      <c r="AW60" s="165"/>
    </row>
    <row r="61" spans="2:49" s="167" customFormat="1" outlineLevel="1">
      <c r="B61" s="190" t="s">
        <v>787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261"/>
      <c r="AO61" s="165"/>
      <c r="AP61" s="165"/>
      <c r="AQ61" s="165"/>
      <c r="AR61" s="165"/>
      <c r="AS61" s="165"/>
      <c r="AT61" s="165"/>
      <c r="AU61" s="165"/>
      <c r="AV61" s="165"/>
      <c r="AW61" s="165"/>
    </row>
    <row r="62" spans="2:49" s="167" customFormat="1" ht="15"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96"/>
      <c r="AH62" s="196"/>
      <c r="AI62" s="191"/>
      <c r="AJ62" s="191"/>
      <c r="AK62" s="191"/>
      <c r="AL62" s="191"/>
      <c r="AM62" s="191"/>
      <c r="AN62" s="261"/>
      <c r="AO62" s="545"/>
      <c r="AP62" s="545"/>
      <c r="AQ62" s="545"/>
      <c r="AR62" s="165"/>
      <c r="AS62" s="165"/>
      <c r="AT62" s="165"/>
      <c r="AU62" s="165"/>
      <c r="AV62" s="165"/>
      <c r="AW62" s="165"/>
    </row>
    <row r="63" spans="2:49" s="167" customFormat="1" ht="15" outlineLevel="1">
      <c r="B63" s="165" t="s">
        <v>1666</v>
      </c>
      <c r="C63" s="165"/>
      <c r="D63" s="165"/>
      <c r="O63" s="197"/>
      <c r="P63" s="198"/>
      <c r="Q63" s="199"/>
      <c r="R63" s="198"/>
      <c r="S63" s="198"/>
      <c r="T63" s="198"/>
      <c r="U63" s="198"/>
      <c r="V63" s="198"/>
      <c r="W63" s="198"/>
      <c r="X63" s="200">
        <v>2001</v>
      </c>
      <c r="Y63" s="201"/>
      <c r="Z63" s="202">
        <v>2003</v>
      </c>
      <c r="AA63" s="201"/>
      <c r="AB63" s="202">
        <v>2005</v>
      </c>
      <c r="AC63" s="201"/>
      <c r="AD63" s="202">
        <v>2007</v>
      </c>
      <c r="AE63" s="201"/>
      <c r="AF63" s="202">
        <v>2009</v>
      </c>
      <c r="AG63" s="259">
        <v>2010</v>
      </c>
      <c r="AH63" s="259">
        <v>2011</v>
      </c>
      <c r="AI63" s="259">
        <v>2012</v>
      </c>
      <c r="AJ63" s="259">
        <v>2013</v>
      </c>
      <c r="AK63" s="259">
        <v>2014</v>
      </c>
      <c r="AL63" s="259">
        <v>2015</v>
      </c>
      <c r="AM63" s="259">
        <v>2016</v>
      </c>
      <c r="AN63" s="259">
        <v>2017</v>
      </c>
      <c r="AO63" s="259">
        <v>2018</v>
      </c>
      <c r="AP63" s="259">
        <v>2019</v>
      </c>
      <c r="AQ63" s="259">
        <v>2020</v>
      </c>
      <c r="AR63" s="545"/>
      <c r="AS63" s="165"/>
      <c r="AT63" s="165"/>
      <c r="AU63" s="165"/>
      <c r="AV63" s="165"/>
      <c r="AW63" s="165"/>
    </row>
    <row r="64" spans="2:49" s="167" customFormat="1" ht="15" outlineLevel="1">
      <c r="B64" s="165" t="s">
        <v>1667</v>
      </c>
      <c r="C64" s="165"/>
      <c r="D64" s="165"/>
      <c r="O64" s="197"/>
      <c r="P64" s="198"/>
      <c r="Q64" s="199"/>
      <c r="R64" s="198"/>
      <c r="S64" s="198"/>
      <c r="T64" s="198"/>
      <c r="U64" s="198"/>
      <c r="V64" s="198"/>
      <c r="W64" s="198"/>
      <c r="X64" s="75"/>
      <c r="Y64" s="203"/>
      <c r="Z64" s="75"/>
      <c r="AA64" s="203"/>
      <c r="AB64" s="75"/>
      <c r="AC64" s="75"/>
      <c r="AD64" s="75"/>
      <c r="AE64" s="203"/>
      <c r="AF64" s="75"/>
      <c r="AG64" s="75"/>
      <c r="AH64" s="75"/>
      <c r="AI64" s="75"/>
      <c r="AJ64" s="75"/>
      <c r="AK64" s="75"/>
      <c r="AL64" s="75"/>
      <c r="AM64" s="75"/>
      <c r="AN64" s="75"/>
      <c r="AO64" s="75"/>
      <c r="AP64" s="75"/>
      <c r="AQ64" s="75"/>
      <c r="AR64" s="545"/>
      <c r="AS64" s="165"/>
      <c r="AT64" s="165"/>
      <c r="AU64" s="165"/>
      <c r="AV64" s="165"/>
      <c r="AW64" s="165"/>
    </row>
    <row r="65" spans="2:49" s="167" customFormat="1" ht="15" outlineLevel="1">
      <c r="B65" s="268" t="s">
        <v>28</v>
      </c>
      <c r="C65" s="165" t="s">
        <v>29</v>
      </c>
      <c r="D65" s="165"/>
      <c r="O65" s="197"/>
      <c r="P65" s="198"/>
      <c r="Q65" s="199"/>
      <c r="R65" s="198"/>
      <c r="S65" s="198"/>
      <c r="T65" s="198"/>
      <c r="U65" s="198"/>
      <c r="V65" s="198"/>
      <c r="W65" s="198"/>
      <c r="X65" s="166"/>
      <c r="Y65" s="75"/>
      <c r="Z65" s="166"/>
      <c r="AA65" s="75"/>
      <c r="AB65" s="166"/>
      <c r="AC65" s="166"/>
      <c r="AD65" s="166">
        <v>8595.1610000000001</v>
      </c>
      <c r="AE65" s="166">
        <v>8859.2049999999999</v>
      </c>
      <c r="AF65" s="166">
        <v>7538.2039999999997</v>
      </c>
      <c r="AG65" s="166">
        <v>7728.5259999999998</v>
      </c>
      <c r="AH65" s="166">
        <v>8380.6080000000002</v>
      </c>
      <c r="AI65" s="166">
        <v>9100.42</v>
      </c>
      <c r="AJ65" s="166">
        <v>9728.3310000000001</v>
      </c>
      <c r="AK65" s="166">
        <v>10150.215</v>
      </c>
      <c r="AL65" s="166">
        <v>10603.501</v>
      </c>
      <c r="AM65" s="166">
        <v>11192.745000000001</v>
      </c>
      <c r="AN65" s="166">
        <v>11970.101000000001</v>
      </c>
      <c r="AO65" s="166">
        <v>12949.118</v>
      </c>
      <c r="AP65" s="166">
        <v>13819.701999999999</v>
      </c>
      <c r="AQ65" s="166">
        <v>13361.659</v>
      </c>
      <c r="AR65" s="545"/>
      <c r="AS65" s="165"/>
      <c r="AT65" s="165"/>
      <c r="AU65" s="165"/>
      <c r="AV65" s="165"/>
      <c r="AW65" s="165"/>
    </row>
    <row r="66" spans="2:49" s="167" customFormat="1" ht="5.0999999999999996" customHeight="1" outlineLevel="1">
      <c r="B66" s="165"/>
      <c r="C66" s="165"/>
      <c r="D66" s="165"/>
      <c r="O66" s="197"/>
      <c r="P66" s="198"/>
      <c r="Q66" s="199"/>
      <c r="R66" s="198"/>
      <c r="S66" s="198"/>
      <c r="T66" s="198"/>
      <c r="U66" s="198"/>
      <c r="V66" s="198"/>
      <c r="W66" s="198"/>
      <c r="X66" s="166"/>
      <c r="Y66" s="75"/>
      <c r="Z66" s="166"/>
      <c r="AA66" s="75"/>
      <c r="AB66" s="166"/>
      <c r="AC66" s="166"/>
      <c r="AD66" s="166"/>
      <c r="AE66" s="166"/>
      <c r="AF66" s="166"/>
      <c r="AG66" s="166"/>
      <c r="AH66" s="166"/>
      <c r="AI66" s="166"/>
      <c r="AJ66" s="166"/>
      <c r="AK66" s="166"/>
      <c r="AL66" s="166"/>
      <c r="AM66" s="166"/>
      <c r="AN66" s="166"/>
      <c r="AO66" s="166"/>
      <c r="AP66" s="166"/>
      <c r="AQ66" s="166"/>
      <c r="AR66" s="545"/>
      <c r="AS66" s="165"/>
      <c r="AT66" s="165"/>
      <c r="AU66" s="165"/>
      <c r="AV66" s="165"/>
      <c r="AW66" s="165"/>
    </row>
    <row r="67" spans="2:49" s="167" customFormat="1" ht="15" outlineLevel="1">
      <c r="B67" s="268" t="s">
        <v>30</v>
      </c>
      <c r="C67" s="165" t="s">
        <v>31</v>
      </c>
      <c r="D67" s="165"/>
      <c r="O67" s="197"/>
      <c r="P67" s="198"/>
      <c r="Q67" s="199"/>
      <c r="R67" s="198"/>
      <c r="S67" s="198"/>
      <c r="T67" s="198"/>
      <c r="U67" s="198"/>
      <c r="V67" s="198"/>
      <c r="W67" s="198"/>
      <c r="X67" s="166"/>
      <c r="Y67" s="75"/>
      <c r="Z67" s="166"/>
      <c r="AA67" s="75"/>
      <c r="AB67" s="166"/>
      <c r="AC67" s="166"/>
      <c r="AD67" s="166">
        <v>9699.2669999999998</v>
      </c>
      <c r="AE67" s="166">
        <v>10130.947</v>
      </c>
      <c r="AF67" s="166">
        <v>8755.9789999999994</v>
      </c>
      <c r="AG67" s="166">
        <v>8994.9590000000007</v>
      </c>
      <c r="AH67" s="166">
        <v>9754.5290000000005</v>
      </c>
      <c r="AI67" s="166">
        <v>10599.687999999998</v>
      </c>
      <c r="AJ67" s="166">
        <v>11328.007</v>
      </c>
      <c r="AK67" s="166">
        <v>11830.027</v>
      </c>
      <c r="AL67" s="166">
        <v>12414.679</v>
      </c>
      <c r="AM67" s="166">
        <v>13123.302000000001</v>
      </c>
      <c r="AN67" s="166">
        <v>14030.563999999998</v>
      </c>
      <c r="AO67" s="166">
        <v>15146.605999999998</v>
      </c>
      <c r="AP67" s="166">
        <v>16200.329999999998</v>
      </c>
      <c r="AQ67" s="166">
        <v>15836.525000000001</v>
      </c>
      <c r="AR67" s="545"/>
      <c r="AS67" s="165"/>
      <c r="AT67" s="165"/>
      <c r="AU67" s="165"/>
      <c r="AV67" s="165"/>
      <c r="AW67" s="165"/>
    </row>
    <row r="68" spans="2:49" s="167" customFormat="1" ht="5.0999999999999996" customHeight="1" outlineLevel="1">
      <c r="B68" s="165"/>
      <c r="C68" s="165"/>
      <c r="D68" s="165"/>
      <c r="O68" s="197"/>
      <c r="P68" s="198"/>
      <c r="Q68" s="199"/>
      <c r="R68" s="198"/>
      <c r="S68" s="198"/>
      <c r="T68" s="198"/>
      <c r="U68" s="198"/>
      <c r="V68" s="198"/>
      <c r="W68" s="198"/>
      <c r="X68" s="75"/>
      <c r="Y68" s="75"/>
      <c r="Z68" s="75"/>
      <c r="AA68" s="75"/>
      <c r="AB68" s="75"/>
      <c r="AC68" s="75"/>
      <c r="AD68" s="75"/>
      <c r="AE68" s="75"/>
      <c r="AF68" s="75"/>
      <c r="AG68" s="75"/>
      <c r="AH68" s="75"/>
      <c r="AI68" s="75"/>
      <c r="AJ68" s="75"/>
      <c r="AK68" s="75"/>
      <c r="AL68" s="75"/>
      <c r="AM68" s="75"/>
      <c r="AN68" s="75"/>
      <c r="AO68" s="75"/>
      <c r="AP68" s="75"/>
      <c r="AQ68" s="75"/>
      <c r="AR68" s="545"/>
      <c r="AS68" s="165"/>
      <c r="AT68" s="165"/>
      <c r="AU68" s="165"/>
      <c r="AV68" s="165"/>
      <c r="AW68" s="165"/>
    </row>
    <row r="69" spans="2:49" s="167" customFormat="1" ht="15" outlineLevel="1">
      <c r="B69" s="268" t="s">
        <v>32</v>
      </c>
      <c r="C69" s="165" t="s">
        <v>33</v>
      </c>
      <c r="D69" s="165"/>
      <c r="O69" s="197"/>
      <c r="P69" s="198"/>
      <c r="Q69" s="199"/>
      <c r="R69" s="198"/>
      <c r="S69" s="198"/>
      <c r="T69" s="198"/>
      <c r="U69" s="198"/>
      <c r="V69" s="198"/>
      <c r="W69" s="198"/>
      <c r="X69" s="166"/>
      <c r="Y69" s="75"/>
      <c r="Z69" s="166"/>
      <c r="AA69" s="75"/>
      <c r="AB69" s="166"/>
      <c r="AC69" s="166"/>
      <c r="AD69" s="166">
        <f t="shared" ref="AD69:AQ69" si="13">SUM(AD71:AD72)</f>
        <v>2000.05</v>
      </c>
      <c r="AE69" s="166">
        <f t="shared" si="13"/>
        <v>1824.54</v>
      </c>
      <c r="AF69" s="166">
        <f t="shared" si="13"/>
        <v>1921.5099999999998</v>
      </c>
      <c r="AG69" s="166">
        <f t="shared" si="13"/>
        <v>1881.3000000000002</v>
      </c>
      <c r="AH69" s="166">
        <f t="shared" si="13"/>
        <v>2091.0099999999998</v>
      </c>
      <c r="AI69" s="166">
        <f t="shared" si="13"/>
        <v>2303.6</v>
      </c>
      <c r="AJ69" s="166">
        <f t="shared" si="13"/>
        <v>2354.12</v>
      </c>
      <c r="AK69" s="166">
        <f t="shared" si="13"/>
        <v>2555.14</v>
      </c>
      <c r="AL69" s="166">
        <f t="shared" si="13"/>
        <v>2742.27</v>
      </c>
      <c r="AM69" s="166">
        <f t="shared" si="13"/>
        <v>2972.41</v>
      </c>
      <c r="AN69" s="166">
        <f t="shared" si="13"/>
        <v>3138.58</v>
      </c>
      <c r="AO69" s="166">
        <f t="shared" si="13"/>
        <v>3342.7400000000002</v>
      </c>
      <c r="AP69" s="166">
        <f t="shared" si="13"/>
        <v>3611.01</v>
      </c>
      <c r="AQ69" s="166">
        <f t="shared" si="13"/>
        <v>3336.5059999999999</v>
      </c>
      <c r="AR69" s="545"/>
      <c r="AS69" s="165"/>
      <c r="AT69" s="165"/>
      <c r="AU69" s="165"/>
      <c r="AV69" s="165"/>
      <c r="AW69" s="165"/>
    </row>
    <row r="70" spans="2:49" s="167" customFormat="1" ht="5.0999999999999996" customHeight="1" outlineLevel="1">
      <c r="B70" s="165"/>
      <c r="C70" s="165"/>
      <c r="D70" s="165"/>
      <c r="O70" s="197"/>
      <c r="P70" s="198"/>
      <c r="Q70" s="199"/>
      <c r="R70" s="198"/>
      <c r="S70" s="198"/>
      <c r="T70" s="198"/>
      <c r="U70" s="198"/>
      <c r="V70" s="198"/>
      <c r="W70" s="198"/>
      <c r="X70" s="75"/>
      <c r="Y70" s="75"/>
      <c r="Z70" s="75"/>
      <c r="AA70" s="75"/>
      <c r="AB70" s="75"/>
      <c r="AC70" s="75"/>
      <c r="AD70" s="75"/>
      <c r="AE70" s="75"/>
      <c r="AF70" s="75"/>
      <c r="AG70" s="75"/>
      <c r="AH70" s="75"/>
      <c r="AI70" s="75"/>
      <c r="AJ70" s="75"/>
      <c r="AK70" s="75"/>
      <c r="AL70" s="75"/>
      <c r="AM70" s="75"/>
      <c r="AN70" s="75"/>
      <c r="AO70" s="75"/>
      <c r="AP70" s="75"/>
      <c r="AQ70" s="75"/>
      <c r="AR70" s="545"/>
      <c r="AS70" s="165"/>
      <c r="AT70" s="165"/>
      <c r="AU70" s="165"/>
      <c r="AV70" s="165"/>
      <c r="AW70" s="165"/>
    </row>
    <row r="71" spans="2:49" s="167" customFormat="1" ht="15" outlineLevel="1">
      <c r="B71" s="165"/>
      <c r="C71" s="165" t="s">
        <v>34</v>
      </c>
      <c r="D71" s="165"/>
      <c r="O71" s="197"/>
      <c r="P71" s="198"/>
      <c r="Q71" s="199"/>
      <c r="R71" s="198"/>
      <c r="S71" s="198"/>
      <c r="T71" s="198"/>
      <c r="U71" s="198"/>
      <c r="V71" s="198"/>
      <c r="W71" s="198"/>
      <c r="X71" s="166"/>
      <c r="Y71" s="75"/>
      <c r="Z71" s="166"/>
      <c r="AA71" s="75"/>
      <c r="AB71" s="166"/>
      <c r="AC71" s="166"/>
      <c r="AD71" s="166">
        <v>1423.33</v>
      </c>
      <c r="AE71" s="166">
        <v>1287.8599999999999</v>
      </c>
      <c r="AF71" s="166">
        <v>1224.1299999999999</v>
      </c>
      <c r="AG71" s="166">
        <v>1262.75</v>
      </c>
      <c r="AH71" s="166">
        <v>1379.6399999999999</v>
      </c>
      <c r="AI71" s="166">
        <v>1512.71</v>
      </c>
      <c r="AJ71" s="166">
        <v>1557.9099999999999</v>
      </c>
      <c r="AK71" s="166">
        <v>1711.12</v>
      </c>
      <c r="AL71" s="166">
        <v>1872.99</v>
      </c>
      <c r="AM71" s="166">
        <v>1975.11</v>
      </c>
      <c r="AN71" s="166">
        <v>2148.71</v>
      </c>
      <c r="AO71" s="166">
        <v>2330.7000000000003</v>
      </c>
      <c r="AP71" s="166">
        <v>2482.61</v>
      </c>
      <c r="AQ71" s="166">
        <v>2439.2649999999999</v>
      </c>
      <c r="AR71" s="545"/>
      <c r="AS71" s="165"/>
      <c r="AT71" s="165"/>
      <c r="AU71" s="165"/>
      <c r="AV71" s="165"/>
      <c r="AW71" s="165"/>
    </row>
    <row r="72" spans="2:49" s="167" customFormat="1" ht="15" outlineLevel="1">
      <c r="B72" s="165"/>
      <c r="C72" s="165" t="s">
        <v>35</v>
      </c>
      <c r="D72" s="165"/>
      <c r="O72" s="197"/>
      <c r="P72" s="198"/>
      <c r="Q72" s="199"/>
      <c r="R72" s="198"/>
      <c r="S72" s="198"/>
      <c r="T72" s="198"/>
      <c r="U72" s="198"/>
      <c r="V72" s="198"/>
      <c r="W72" s="198"/>
      <c r="X72" s="166"/>
      <c r="Y72" s="75"/>
      <c r="Z72" s="166"/>
      <c r="AA72" s="75"/>
      <c r="AB72" s="166"/>
      <c r="AC72" s="166"/>
      <c r="AD72" s="166">
        <v>576.72</v>
      </c>
      <c r="AE72" s="166">
        <v>536.68000000000006</v>
      </c>
      <c r="AF72" s="166">
        <v>697.38</v>
      </c>
      <c r="AG72" s="166">
        <v>618.55000000000007</v>
      </c>
      <c r="AH72" s="166">
        <v>711.36999999999989</v>
      </c>
      <c r="AI72" s="166">
        <v>790.89</v>
      </c>
      <c r="AJ72" s="166">
        <v>796.20999999999992</v>
      </c>
      <c r="AK72" s="166">
        <v>844.02</v>
      </c>
      <c r="AL72" s="166">
        <v>869.28000000000009</v>
      </c>
      <c r="AM72" s="166">
        <v>997.3</v>
      </c>
      <c r="AN72" s="166">
        <v>989.87</v>
      </c>
      <c r="AO72" s="166">
        <v>1012.0400000000001</v>
      </c>
      <c r="AP72" s="166">
        <v>1128.4000000000001</v>
      </c>
      <c r="AQ72" s="166">
        <v>897.24099999999999</v>
      </c>
      <c r="AR72" s="545"/>
      <c r="AS72" s="165"/>
      <c r="AT72" s="165"/>
      <c r="AU72" s="165"/>
      <c r="AV72" s="165"/>
      <c r="AW72" s="165"/>
    </row>
    <row r="73" spans="2:49" s="167" customFormat="1" ht="5.0999999999999996" customHeight="1" outlineLevel="1">
      <c r="B73" s="165"/>
      <c r="C73" s="165"/>
      <c r="D73" s="165"/>
      <c r="O73" s="197"/>
      <c r="P73" s="198"/>
      <c r="Q73" s="199"/>
      <c r="R73" s="198"/>
      <c r="S73" s="198"/>
      <c r="T73" s="198"/>
      <c r="U73" s="198"/>
      <c r="V73" s="198"/>
      <c r="W73" s="198"/>
      <c r="X73" s="166"/>
      <c r="Y73" s="75"/>
      <c r="Z73" s="166"/>
      <c r="AA73" s="75"/>
      <c r="AB73" s="166"/>
      <c r="AC73" s="166"/>
      <c r="AD73" s="166"/>
      <c r="AE73" s="166"/>
      <c r="AF73" s="166"/>
      <c r="AG73" s="166"/>
      <c r="AH73" s="166"/>
      <c r="AI73" s="166"/>
      <c r="AJ73" s="166"/>
      <c r="AK73" s="166"/>
      <c r="AL73" s="166"/>
      <c r="AM73" s="166"/>
      <c r="AN73" s="166"/>
      <c r="AO73" s="166"/>
      <c r="AP73" s="166"/>
      <c r="AQ73" s="166"/>
      <c r="AR73" s="545"/>
      <c r="AS73" s="165"/>
      <c r="AT73" s="165"/>
      <c r="AU73" s="165"/>
      <c r="AV73" s="165"/>
      <c r="AW73" s="165"/>
    </row>
    <row r="74" spans="2:49" s="167" customFormat="1" ht="15" outlineLevel="1">
      <c r="B74" s="268" t="s">
        <v>36</v>
      </c>
      <c r="C74" s="165" t="s">
        <v>37</v>
      </c>
      <c r="D74" s="165"/>
      <c r="O74" s="197"/>
      <c r="P74" s="198"/>
      <c r="Q74" s="199"/>
      <c r="R74" s="198"/>
      <c r="S74" s="198"/>
      <c r="T74" s="198"/>
      <c r="U74" s="198"/>
      <c r="V74" s="198"/>
      <c r="W74" s="198"/>
      <c r="X74" s="166"/>
      <c r="Y74" s="75"/>
      <c r="Z74" s="166"/>
      <c r="AA74" s="75"/>
      <c r="AB74" s="166"/>
      <c r="AC74" s="166"/>
      <c r="AD74" s="166">
        <v>2098.71</v>
      </c>
      <c r="AE74" s="166">
        <v>1910.7099999999998</v>
      </c>
      <c r="AF74" s="166">
        <v>1965.1799999999998</v>
      </c>
      <c r="AG74" s="166">
        <v>1938.01</v>
      </c>
      <c r="AH74" s="166">
        <v>2159.3900000000003</v>
      </c>
      <c r="AI74" s="166">
        <v>2378.16</v>
      </c>
      <c r="AJ74" s="166">
        <v>2430.8999999999996</v>
      </c>
      <c r="AK74" s="166">
        <v>2632.3430000000003</v>
      </c>
      <c r="AL74" s="166">
        <v>2828.8649999999998</v>
      </c>
      <c r="AM74" s="166">
        <v>3054.7669999999998</v>
      </c>
      <c r="AN74" s="166">
        <v>3227.029</v>
      </c>
      <c r="AO74" s="166">
        <v>3437.0980000000004</v>
      </c>
      <c r="AP74" s="166">
        <v>3725.1109999999999</v>
      </c>
      <c r="AQ74" s="166">
        <v>3438.4380000000001</v>
      </c>
      <c r="AR74" s="545"/>
      <c r="AS74" s="165"/>
      <c r="AT74" s="165"/>
      <c r="AU74" s="165"/>
      <c r="AV74" s="165"/>
      <c r="AW74" s="165"/>
    </row>
    <row r="75" spans="2:49" s="167" customFormat="1" ht="5.0999999999999996" customHeight="1" outlineLevel="1">
      <c r="B75" s="165"/>
      <c r="C75" s="165"/>
      <c r="D75" s="165"/>
      <c r="O75" s="197"/>
      <c r="P75" s="198"/>
      <c r="Q75" s="199"/>
      <c r="R75" s="198"/>
      <c r="S75" s="198"/>
      <c r="T75" s="198"/>
      <c r="U75" s="198"/>
      <c r="V75" s="198"/>
      <c r="W75" s="198"/>
      <c r="X75" s="166"/>
      <c r="Y75" s="75"/>
      <c r="Z75" s="166"/>
      <c r="AA75" s="75"/>
      <c r="AB75" s="166"/>
      <c r="AC75" s="166"/>
      <c r="AD75" s="166"/>
      <c r="AE75" s="166"/>
      <c r="AF75" s="166"/>
      <c r="AG75" s="166"/>
      <c r="AH75" s="166"/>
      <c r="AI75" s="166"/>
      <c r="AJ75" s="166"/>
      <c r="AK75" s="166"/>
      <c r="AL75" s="166"/>
      <c r="AM75" s="166"/>
      <c r="AN75" s="166"/>
      <c r="AO75" s="166"/>
      <c r="AP75" s="166"/>
      <c r="AQ75" s="166"/>
      <c r="AR75" s="545"/>
      <c r="AS75" s="165"/>
      <c r="AT75" s="165"/>
      <c r="AU75" s="165"/>
      <c r="AV75" s="165"/>
      <c r="AW75" s="165"/>
    </row>
    <row r="76" spans="2:49" s="167" customFormat="1" ht="15" outlineLevel="1">
      <c r="B76" s="268" t="s">
        <v>38</v>
      </c>
      <c r="C76" s="165" t="s">
        <v>39</v>
      </c>
      <c r="D76" s="165"/>
      <c r="O76" s="197"/>
      <c r="P76" s="198"/>
      <c r="Q76" s="199"/>
      <c r="R76" s="198"/>
      <c r="S76" s="198"/>
      <c r="T76" s="198"/>
      <c r="U76" s="198"/>
      <c r="V76" s="198"/>
      <c r="W76" s="198"/>
      <c r="X76" s="166"/>
      <c r="Y76" s="75"/>
      <c r="Z76" s="166"/>
      <c r="AA76" s="75"/>
      <c r="AB76" s="166"/>
      <c r="AC76" s="166"/>
      <c r="AD76" s="166">
        <v>2166.3700000000003</v>
      </c>
      <c r="AE76" s="166">
        <v>1974.93</v>
      </c>
      <c r="AF76" s="166">
        <v>2026.98</v>
      </c>
      <c r="AG76" s="166">
        <v>1992.5900000000001</v>
      </c>
      <c r="AH76" s="166">
        <v>2219.19</v>
      </c>
      <c r="AI76" s="166">
        <v>2437</v>
      </c>
      <c r="AJ76" s="166">
        <v>2496.36</v>
      </c>
      <c r="AK76" s="166">
        <v>2721.413</v>
      </c>
      <c r="AL76" s="166">
        <v>2909.335</v>
      </c>
      <c r="AM76" s="166">
        <v>3158.4569999999999</v>
      </c>
      <c r="AN76" s="166">
        <v>3336.6189999999997</v>
      </c>
      <c r="AO76" s="166">
        <v>3566.4380000000001</v>
      </c>
      <c r="AP76" s="166">
        <v>3942.511</v>
      </c>
      <c r="AQ76" s="166">
        <v>3642.77</v>
      </c>
      <c r="AR76" s="545"/>
      <c r="AS76" s="165"/>
      <c r="AT76" s="165"/>
      <c r="AU76" s="165"/>
      <c r="AV76" s="165"/>
      <c r="AW76" s="165"/>
    </row>
    <row r="77" spans="2:49" s="167" customFormat="1" ht="15" outlineLevel="1">
      <c r="B77" s="268"/>
      <c r="C77" s="165"/>
      <c r="D77" s="165"/>
      <c r="O77" s="197"/>
      <c r="P77" s="198"/>
      <c r="Q77" s="199"/>
      <c r="R77" s="198"/>
      <c r="S77" s="198"/>
      <c r="T77" s="198"/>
      <c r="U77" s="198"/>
      <c r="V77" s="198"/>
      <c r="W77" s="198"/>
      <c r="X77" s="166"/>
      <c r="Y77" s="75"/>
      <c r="Z77" s="166"/>
      <c r="AA77" s="75"/>
      <c r="AB77" s="166"/>
      <c r="AC77" s="166"/>
      <c r="AD77" s="166"/>
      <c r="AE77" s="166"/>
      <c r="AF77" s="166"/>
      <c r="AG77" s="166"/>
      <c r="AH77" s="166"/>
      <c r="AI77" s="166"/>
      <c r="AJ77" s="166"/>
      <c r="AK77" s="166"/>
      <c r="AL77" s="166"/>
      <c r="AM77" s="166"/>
      <c r="AN77" s="166"/>
      <c r="AO77" s="166"/>
      <c r="AP77" s="166"/>
      <c r="AQ77" s="166"/>
      <c r="AR77" s="545"/>
      <c r="AS77" s="165"/>
      <c r="AT77" s="165"/>
      <c r="AU77" s="165"/>
      <c r="AV77" s="165"/>
      <c r="AW77" s="165"/>
    </row>
    <row r="78" spans="2:49" s="167" customFormat="1" ht="15" outlineLevel="1">
      <c r="B78" s="165" t="s">
        <v>40</v>
      </c>
      <c r="D78" s="165"/>
      <c r="O78" s="197"/>
      <c r="P78" s="198"/>
      <c r="Q78" s="199"/>
      <c r="R78" s="198"/>
      <c r="S78" s="198"/>
      <c r="T78" s="198"/>
      <c r="U78" s="198"/>
      <c r="V78" s="198"/>
      <c r="W78" s="198"/>
      <c r="X78" s="166"/>
      <c r="Y78" s="75"/>
      <c r="Z78" s="166"/>
      <c r="AA78" s="75"/>
      <c r="AB78" s="166"/>
      <c r="AC78" s="166"/>
      <c r="AD78" s="166"/>
      <c r="AE78" s="166"/>
      <c r="AF78" s="166"/>
      <c r="AG78" s="166"/>
      <c r="AH78" s="166"/>
      <c r="AI78" s="166"/>
      <c r="AJ78" s="166"/>
      <c r="AK78" s="166"/>
      <c r="AL78" s="166"/>
      <c r="AM78" s="166"/>
      <c r="AN78" s="166"/>
      <c r="AO78" s="166"/>
      <c r="AP78" s="166"/>
      <c r="AQ78" s="166"/>
      <c r="AR78" s="545"/>
      <c r="AS78" s="165"/>
      <c r="AT78" s="165"/>
      <c r="AU78" s="165"/>
      <c r="AV78" s="165"/>
      <c r="AW78" s="165"/>
    </row>
    <row r="79" spans="2:49" s="167" customFormat="1" ht="6" customHeight="1" outlineLevel="1">
      <c r="B79" s="165"/>
      <c r="C79" s="165"/>
      <c r="D79" s="165"/>
      <c r="O79" s="197"/>
      <c r="P79" s="198"/>
      <c r="Q79" s="199"/>
      <c r="R79" s="198"/>
      <c r="S79" s="198"/>
      <c r="T79" s="198"/>
      <c r="U79" s="198"/>
      <c r="V79" s="198"/>
      <c r="W79" s="198"/>
      <c r="X79" s="166"/>
      <c r="Y79" s="75"/>
      <c r="Z79" s="166"/>
      <c r="AA79" s="75"/>
      <c r="AB79" s="166"/>
      <c r="AC79" s="166"/>
      <c r="AD79" s="166"/>
      <c r="AE79" s="166"/>
      <c r="AF79" s="166"/>
      <c r="AG79" s="166"/>
      <c r="AH79" s="166"/>
      <c r="AI79" s="166"/>
      <c r="AJ79" s="166"/>
      <c r="AK79" s="166"/>
      <c r="AL79" s="166"/>
      <c r="AM79" s="166"/>
      <c r="AN79" s="166"/>
      <c r="AO79" s="166"/>
      <c r="AP79" s="166"/>
      <c r="AQ79" s="166"/>
      <c r="AR79" s="545"/>
      <c r="AS79" s="165"/>
      <c r="AT79" s="165"/>
      <c r="AU79" s="165"/>
      <c r="AV79" s="165"/>
      <c r="AW79" s="165"/>
    </row>
    <row r="80" spans="2:49" s="167" customFormat="1" ht="15" outlineLevel="1">
      <c r="B80" s="269" t="s">
        <v>41</v>
      </c>
      <c r="C80" s="206" t="s">
        <v>42</v>
      </c>
      <c r="D80" s="206"/>
      <c r="O80" s="197"/>
      <c r="P80" s="198"/>
      <c r="Q80" s="199"/>
      <c r="R80" s="198"/>
      <c r="S80" s="198"/>
      <c r="T80" s="198"/>
      <c r="U80" s="198"/>
      <c r="V80" s="198"/>
      <c r="W80" s="198"/>
      <c r="X80" s="207"/>
      <c r="Y80" s="171"/>
      <c r="Z80" s="207"/>
      <c r="AA80" s="171"/>
      <c r="AB80" s="207"/>
      <c r="AC80" s="207"/>
      <c r="AD80" s="207">
        <f t="shared" ref="AD80:AQ80" si="14">AD69/AD67</f>
        <v>0.20620630404338802</v>
      </c>
      <c r="AE80" s="207">
        <f t="shared" si="14"/>
        <v>0.18009570082638868</v>
      </c>
      <c r="AF80" s="207">
        <f t="shared" si="14"/>
        <v>0.21945118872487016</v>
      </c>
      <c r="AG80" s="207">
        <f t="shared" si="14"/>
        <v>0.20915048084154692</v>
      </c>
      <c r="AH80" s="207">
        <f t="shared" si="14"/>
        <v>0.21436298974558379</v>
      </c>
      <c r="AI80" s="207">
        <f t="shared" si="14"/>
        <v>0.21732715151615786</v>
      </c>
      <c r="AJ80" s="207">
        <f t="shared" si="14"/>
        <v>0.20781413712050142</v>
      </c>
      <c r="AK80" s="207">
        <f t="shared" si="14"/>
        <v>0.21598767272466918</v>
      </c>
      <c r="AL80" s="207">
        <f t="shared" si="14"/>
        <v>0.22088931981245749</v>
      </c>
      <c r="AM80" s="207">
        <f t="shared" si="14"/>
        <v>0.22649863578541435</v>
      </c>
      <c r="AN80" s="207">
        <f t="shared" si="14"/>
        <v>0.22369592555224438</v>
      </c>
      <c r="AO80" s="207">
        <f t="shared" si="14"/>
        <v>0.22069234520261508</v>
      </c>
      <c r="AP80" s="207">
        <f t="shared" si="14"/>
        <v>0.22289731135106511</v>
      </c>
      <c r="AQ80" s="207">
        <f t="shared" si="14"/>
        <v>0.21068422523249258</v>
      </c>
      <c r="AR80" s="545"/>
      <c r="AS80" s="165"/>
      <c r="AT80" s="165"/>
      <c r="AU80" s="165"/>
      <c r="AV80" s="165"/>
      <c r="AW80" s="165"/>
    </row>
    <row r="81" spans="2:49" s="167" customFormat="1" ht="5.0999999999999996" customHeight="1" outlineLevel="1">
      <c r="B81" s="165"/>
      <c r="C81" s="165"/>
      <c r="D81" s="165"/>
      <c r="O81" s="197"/>
      <c r="P81" s="198"/>
      <c r="Q81" s="199"/>
      <c r="R81" s="198"/>
      <c r="S81" s="198"/>
      <c r="T81" s="198"/>
      <c r="U81" s="198"/>
      <c r="V81" s="198"/>
      <c r="W81" s="198"/>
      <c r="X81" s="166"/>
      <c r="Y81" s="75"/>
      <c r="Z81" s="166"/>
      <c r="AA81" s="75"/>
      <c r="AB81" s="166"/>
      <c r="AC81" s="166"/>
      <c r="AD81" s="166"/>
      <c r="AE81" s="166"/>
      <c r="AF81" s="166"/>
      <c r="AG81" s="166"/>
      <c r="AH81" s="166"/>
      <c r="AI81" s="166"/>
      <c r="AJ81" s="166"/>
      <c r="AK81" s="166"/>
      <c r="AL81" s="166"/>
      <c r="AM81" s="166"/>
      <c r="AN81" s="166"/>
      <c r="AO81" s="166"/>
      <c r="AP81" s="166"/>
      <c r="AQ81" s="166"/>
      <c r="AR81" s="545"/>
      <c r="AS81" s="165"/>
      <c r="AT81" s="165"/>
      <c r="AU81" s="165"/>
      <c r="AV81" s="165"/>
      <c r="AW81" s="165"/>
    </row>
    <row r="82" spans="2:49" s="167" customFormat="1" ht="15" outlineLevel="1">
      <c r="B82" s="268" t="s">
        <v>43</v>
      </c>
      <c r="C82" s="165" t="s">
        <v>44</v>
      </c>
      <c r="D82" s="165"/>
      <c r="O82" s="197"/>
      <c r="P82" s="198"/>
      <c r="Q82" s="199"/>
      <c r="R82" s="198"/>
      <c r="S82" s="198"/>
      <c r="T82" s="198"/>
      <c r="U82" s="198"/>
      <c r="V82" s="198"/>
      <c r="W82" s="198"/>
      <c r="X82" s="208"/>
      <c r="Y82" s="75"/>
      <c r="Z82" s="208"/>
      <c r="AA82" s="75"/>
      <c r="AB82" s="208"/>
      <c r="AC82" s="208"/>
      <c r="AD82" s="208">
        <f t="shared" ref="AD82:AQ82" si="15">AD76/AD67</f>
        <v>0.22335399159544742</v>
      </c>
      <c r="AE82" s="208">
        <f t="shared" si="15"/>
        <v>0.19494031505643056</v>
      </c>
      <c r="AF82" s="208">
        <f t="shared" si="15"/>
        <v>0.23149667215967515</v>
      </c>
      <c r="AG82" s="208">
        <f t="shared" si="15"/>
        <v>0.22152296636371549</v>
      </c>
      <c r="AH82" s="208">
        <f t="shared" si="15"/>
        <v>0.22750355245240442</v>
      </c>
      <c r="AI82" s="208">
        <f t="shared" si="15"/>
        <v>0.22991242761107689</v>
      </c>
      <c r="AJ82" s="208">
        <f t="shared" si="15"/>
        <v>0.22037062653651257</v>
      </c>
      <c r="AK82" s="208">
        <f t="shared" si="15"/>
        <v>0.23004283929360431</v>
      </c>
      <c r="AL82" s="208">
        <f t="shared" si="15"/>
        <v>0.2343463733536727</v>
      </c>
      <c r="AM82" s="208">
        <f t="shared" si="15"/>
        <v>0.24067547938773332</v>
      </c>
      <c r="AN82" s="208">
        <f t="shared" si="15"/>
        <v>0.23781075372308627</v>
      </c>
      <c r="AO82" s="208">
        <f t="shared" si="15"/>
        <v>0.23546119837011675</v>
      </c>
      <c r="AP82" s="208">
        <f t="shared" si="15"/>
        <v>0.24335991921152225</v>
      </c>
      <c r="AQ82" s="208">
        <f t="shared" si="15"/>
        <v>0.23002331635254575</v>
      </c>
      <c r="AR82" s="545"/>
      <c r="AS82" s="165"/>
      <c r="AT82" s="165"/>
      <c r="AU82" s="165"/>
      <c r="AV82" s="165"/>
      <c r="AW82" s="165"/>
    </row>
    <row r="83" spans="2:49" s="167" customFormat="1" ht="5.0999999999999996" customHeight="1" outlineLevel="1">
      <c r="B83" s="165"/>
      <c r="C83" s="165"/>
      <c r="D83" s="165"/>
      <c r="O83" s="197"/>
      <c r="P83" s="198"/>
      <c r="Q83" s="199"/>
      <c r="R83" s="198"/>
      <c r="S83" s="198"/>
      <c r="T83" s="198"/>
      <c r="U83" s="198"/>
      <c r="V83" s="198"/>
      <c r="W83" s="198"/>
      <c r="X83" s="166"/>
      <c r="Y83" s="75"/>
      <c r="Z83" s="166"/>
      <c r="AA83" s="75"/>
      <c r="AB83" s="166"/>
      <c r="AC83" s="166"/>
      <c r="AD83" s="166"/>
      <c r="AE83" s="166"/>
      <c r="AF83" s="166"/>
      <c r="AG83" s="166"/>
      <c r="AH83" s="166"/>
      <c r="AI83" s="166"/>
      <c r="AJ83" s="166"/>
      <c r="AK83" s="166"/>
      <c r="AL83" s="166"/>
      <c r="AM83" s="166"/>
      <c r="AN83" s="166"/>
      <c r="AO83" s="166"/>
      <c r="AP83" s="166"/>
      <c r="AQ83" s="166"/>
      <c r="AR83" s="545"/>
      <c r="AS83" s="165"/>
      <c r="AT83" s="165"/>
      <c r="AU83" s="165"/>
      <c r="AV83" s="165"/>
      <c r="AW83" s="165"/>
    </row>
    <row r="84" spans="2:49" s="167" customFormat="1" ht="15" outlineLevel="1">
      <c r="B84" s="268" t="s">
        <v>45</v>
      </c>
      <c r="C84" s="165" t="s">
        <v>46</v>
      </c>
      <c r="D84" s="165"/>
      <c r="O84" s="197"/>
      <c r="P84" s="198"/>
      <c r="Q84" s="199"/>
      <c r="R84" s="198"/>
      <c r="S84" s="198"/>
      <c r="T84" s="198"/>
      <c r="U84" s="198"/>
      <c r="V84" s="198"/>
      <c r="W84" s="198"/>
      <c r="X84" s="208"/>
      <c r="Y84" s="75"/>
      <c r="Z84" s="208"/>
      <c r="AA84" s="75"/>
      <c r="AB84" s="208"/>
      <c r="AC84" s="208"/>
      <c r="AD84" s="208">
        <f t="shared" ref="AD84:AQ84" si="16">AD76/AD65</f>
        <v>0.2520453078191322</v>
      </c>
      <c r="AE84" s="208">
        <f t="shared" si="16"/>
        <v>0.22292406598560482</v>
      </c>
      <c r="AF84" s="208">
        <f t="shared" si="16"/>
        <v>0.26889428834772844</v>
      </c>
      <c r="AG84" s="208">
        <f t="shared" si="16"/>
        <v>0.25782277241481755</v>
      </c>
      <c r="AH84" s="208">
        <f t="shared" si="16"/>
        <v>0.26480059680634149</v>
      </c>
      <c r="AI84" s="208">
        <f t="shared" si="16"/>
        <v>0.26778983827120068</v>
      </c>
      <c r="AJ84" s="208">
        <f t="shared" si="16"/>
        <v>0.25660722275999864</v>
      </c>
      <c r="AK84" s="208">
        <f t="shared" si="16"/>
        <v>0.2681138281307342</v>
      </c>
      <c r="AL84" s="208">
        <f t="shared" si="16"/>
        <v>0.27437494465271423</v>
      </c>
      <c r="AM84" s="208">
        <f t="shared" si="16"/>
        <v>0.28218788152504143</v>
      </c>
      <c r="AN84" s="208">
        <f t="shared" si="16"/>
        <v>0.27874610247649534</v>
      </c>
      <c r="AO84" s="208">
        <f t="shared" si="16"/>
        <v>0.27541937605325706</v>
      </c>
      <c r="AP84" s="208">
        <f t="shared" si="16"/>
        <v>0.28528191128868047</v>
      </c>
      <c r="AQ84" s="208">
        <f t="shared" si="16"/>
        <v>0.27262857104795146</v>
      </c>
      <c r="AR84" s="545"/>
      <c r="AS84" s="165"/>
      <c r="AT84" s="165"/>
      <c r="AU84" s="165"/>
      <c r="AV84" s="165"/>
      <c r="AW84" s="165"/>
    </row>
    <row r="85" spans="2:49" s="167" customFormat="1" ht="5.0999999999999996" customHeight="1" outlineLevel="1">
      <c r="B85" s="172"/>
      <c r="C85" s="172"/>
      <c r="D85" s="172"/>
      <c r="O85" s="197"/>
      <c r="P85" s="198"/>
      <c r="Q85" s="199"/>
      <c r="R85" s="198"/>
      <c r="S85" s="198"/>
      <c r="T85" s="198"/>
      <c r="U85" s="198"/>
      <c r="V85" s="198"/>
      <c r="W85" s="198"/>
      <c r="X85" s="200"/>
      <c r="Y85" s="200"/>
      <c r="Z85" s="200"/>
      <c r="AA85" s="200"/>
      <c r="AB85" s="200"/>
      <c r="AC85" s="200"/>
      <c r="AD85" s="200"/>
      <c r="AE85" s="200"/>
      <c r="AF85" s="200"/>
      <c r="AG85" s="200"/>
      <c r="AH85" s="200"/>
      <c r="AI85" s="200"/>
      <c r="AJ85" s="200"/>
      <c r="AK85" s="200"/>
      <c r="AL85" s="200"/>
      <c r="AM85" s="200"/>
      <c r="AN85" s="200"/>
      <c r="AO85" s="200"/>
      <c r="AP85" s="200"/>
      <c r="AQ85" s="200"/>
      <c r="AR85" s="545"/>
      <c r="AS85" s="165"/>
      <c r="AT85" s="165"/>
      <c r="AU85" s="165"/>
      <c r="AV85" s="165"/>
      <c r="AW85" s="165"/>
    </row>
    <row r="86" spans="2:49" s="167" customFormat="1" ht="6" customHeight="1" outlineLevel="1">
      <c r="B86" s="165"/>
      <c r="C86" s="165"/>
      <c r="D86" s="165"/>
      <c r="O86" s="197"/>
      <c r="P86" s="198"/>
      <c r="Q86" s="199"/>
      <c r="R86" s="198"/>
      <c r="S86" s="198"/>
      <c r="T86" s="198"/>
      <c r="U86" s="198"/>
      <c r="V86" s="198"/>
      <c r="W86" s="198"/>
      <c r="X86" s="75"/>
      <c r="Y86" s="75"/>
      <c r="Z86" s="75"/>
      <c r="AA86" s="75"/>
      <c r="AB86" s="75"/>
      <c r="AC86" s="75"/>
      <c r="AD86" s="75"/>
      <c r="AE86" s="75"/>
      <c r="AF86" s="75"/>
      <c r="AG86" s="75"/>
      <c r="AH86" s="75"/>
      <c r="AI86" s="191"/>
      <c r="AJ86" s="191"/>
      <c r="AK86" s="191"/>
      <c r="AL86" s="191"/>
      <c r="AM86" s="191"/>
      <c r="AN86" s="261"/>
      <c r="AO86" s="545"/>
      <c r="AP86" s="545"/>
      <c r="AQ86" s="545"/>
      <c r="AR86" s="545"/>
      <c r="AS86" s="165"/>
      <c r="AT86" s="165"/>
      <c r="AU86" s="165"/>
      <c r="AV86" s="165"/>
      <c r="AW86" s="165"/>
    </row>
    <row r="87" spans="2:49" s="167" customFormat="1" ht="40.5"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551"/>
      <c r="AH87" s="826"/>
      <c r="AI87" s="826"/>
      <c r="AJ87" s="826"/>
      <c r="AK87" s="826"/>
      <c r="AL87" s="826"/>
      <c r="AM87" s="826"/>
      <c r="AN87" s="261"/>
      <c r="AO87" s="545"/>
      <c r="AP87" s="545"/>
      <c r="AQ87" s="545"/>
      <c r="AR87" s="165"/>
      <c r="AS87" s="165"/>
      <c r="AT87" s="165"/>
      <c r="AU87" s="165"/>
      <c r="AV87" s="165"/>
      <c r="AW87" s="165"/>
    </row>
    <row r="88" spans="2:49" s="167" customFormat="1">
      <c r="B88" s="943"/>
      <c r="O88" s="197"/>
      <c r="P88" s="198"/>
      <c r="Q88" s="199"/>
      <c r="R88" s="198"/>
      <c r="S88" s="198"/>
      <c r="T88" s="198"/>
      <c r="U88" s="198"/>
      <c r="V88" s="198"/>
      <c r="W88" s="198"/>
      <c r="X88" s="196"/>
      <c r="Y88" s="196"/>
      <c r="Z88" s="196"/>
      <c r="AA88" s="196"/>
      <c r="AB88" s="196"/>
      <c r="AC88" s="196"/>
      <c r="AD88" s="196"/>
      <c r="AE88" s="196"/>
      <c r="AF88" s="196"/>
      <c r="AG88" s="196"/>
      <c r="AH88" s="196"/>
      <c r="AI88" s="196"/>
      <c r="AJ88" s="196"/>
      <c r="AK88" s="196"/>
      <c r="AL88" s="196"/>
      <c r="AM88" s="196"/>
      <c r="AN88" s="261"/>
      <c r="AO88" s="165"/>
      <c r="AP88" s="165"/>
      <c r="AQ88" s="165"/>
      <c r="AR88" s="165"/>
      <c r="AS88" s="165"/>
      <c r="AT88" s="165"/>
      <c r="AU88" s="165"/>
      <c r="AV88" s="165"/>
      <c r="AW88" s="165"/>
    </row>
    <row r="89" spans="2:49">
      <c r="R89" s="261"/>
      <c r="S89" s="261"/>
      <c r="T89" s="261"/>
      <c r="U89" s="261"/>
      <c r="V89" s="261"/>
      <c r="W89" s="261"/>
      <c r="X89" s="244"/>
      <c r="Y89" s="244"/>
      <c r="Z89" s="244"/>
      <c r="AA89" s="244"/>
      <c r="AB89" s="244"/>
      <c r="AC89" s="244"/>
      <c r="AD89" s="244"/>
      <c r="AE89" s="244"/>
      <c r="AF89" s="244"/>
      <c r="AG89" s="244"/>
      <c r="AH89" s="244"/>
      <c r="AI89" s="244"/>
      <c r="AJ89" s="244"/>
      <c r="AK89" s="244"/>
      <c r="AL89" s="244"/>
      <c r="AM89" s="244"/>
      <c r="AN89" s="261"/>
    </row>
    <row r="90" spans="2:49">
      <c r="B90" s="170" t="s">
        <v>788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261"/>
    </row>
    <row r="91" spans="2:49">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196"/>
      <c r="AH91" s="196"/>
      <c r="AI91" s="196"/>
      <c r="AJ91" s="196"/>
      <c r="AK91" s="196"/>
      <c r="AL91" s="196"/>
      <c r="AM91" s="196"/>
      <c r="AN91" s="261"/>
    </row>
    <row r="92" spans="2:49">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944"/>
      <c r="AD92" s="211">
        <v>2007</v>
      </c>
      <c r="AE92" s="196"/>
      <c r="AF92" s="211">
        <v>2009</v>
      </c>
      <c r="AG92" s="259">
        <v>2010</v>
      </c>
      <c r="AH92" s="259">
        <v>2011</v>
      </c>
      <c r="AI92" s="259">
        <v>2012</v>
      </c>
      <c r="AJ92" s="259">
        <v>2013</v>
      </c>
      <c r="AK92" s="259">
        <v>2014</v>
      </c>
      <c r="AL92" s="259">
        <v>2015</v>
      </c>
      <c r="AM92" s="259">
        <v>2016</v>
      </c>
      <c r="AN92" s="211">
        <v>2017</v>
      </c>
      <c r="AO92" s="211">
        <v>2018</v>
      </c>
      <c r="AP92" s="211">
        <v>2019</v>
      </c>
      <c r="AQ92" s="211">
        <v>2020</v>
      </c>
    </row>
    <row r="93" spans="2:49">
      <c r="R93" s="261"/>
      <c r="S93" s="261"/>
      <c r="T93" s="261"/>
      <c r="U93" s="261"/>
      <c r="V93" s="261"/>
      <c r="W93" s="261"/>
      <c r="X93" s="244"/>
      <c r="Y93" s="244"/>
      <c r="Z93" s="244"/>
      <c r="AA93" s="244"/>
      <c r="AB93" s="244"/>
      <c r="AC93" s="244"/>
      <c r="AD93" s="244"/>
      <c r="AE93" s="244"/>
      <c r="AF93" s="244"/>
      <c r="AG93" s="244"/>
      <c r="AH93" s="244"/>
      <c r="AI93" s="244"/>
      <c r="AJ93" s="244"/>
      <c r="AK93" s="244"/>
      <c r="AL93" s="244"/>
      <c r="AM93" s="244"/>
      <c r="AN93" s="244"/>
      <c r="AO93" s="244"/>
      <c r="AP93" s="244"/>
      <c r="AQ93" s="244"/>
    </row>
    <row r="94" spans="2:49">
      <c r="B94" s="217" t="s">
        <v>49</v>
      </c>
      <c r="R94" s="1021">
        <v>0</v>
      </c>
      <c r="S94" s="1021">
        <v>0</v>
      </c>
      <c r="T94" s="1021">
        <v>0</v>
      </c>
      <c r="U94" s="1021">
        <v>0</v>
      </c>
      <c r="V94" s="1021">
        <v>0</v>
      </c>
      <c r="W94" s="1021">
        <v>0</v>
      </c>
      <c r="X94" s="71"/>
      <c r="Y94" s="71"/>
      <c r="Z94" s="71"/>
      <c r="AA94" s="71"/>
      <c r="AB94" s="71"/>
      <c r="AC94" s="71"/>
      <c r="AD94" s="71">
        <v>38.571622992854671</v>
      </c>
      <c r="AE94" s="71"/>
      <c r="AF94" s="71">
        <v>40.96004568979842</v>
      </c>
      <c r="AG94" s="71">
        <v>38.137057918653255</v>
      </c>
      <c r="AH94" s="71">
        <v>38.8885864668</v>
      </c>
      <c r="AI94" s="71">
        <v>39.473859410000003</v>
      </c>
      <c r="AJ94" s="71">
        <v>40.389198678100001</v>
      </c>
      <c r="AK94" s="71">
        <v>41.333095811699991</v>
      </c>
      <c r="AL94" s="71">
        <v>42.886433408000002</v>
      </c>
      <c r="AM94" s="71">
        <v>41.446380804</v>
      </c>
      <c r="AN94" s="71">
        <v>40.543880348000002</v>
      </c>
      <c r="AO94" s="71">
        <v>34.091304555999997</v>
      </c>
      <c r="AP94" s="71">
        <f>AP96</f>
        <v>36.964714936</v>
      </c>
      <c r="AQ94" s="71">
        <f>AQ96</f>
        <v>40.467769144000002</v>
      </c>
      <c r="AR94" s="217"/>
    </row>
    <row r="95" spans="2:49">
      <c r="B95" s="217"/>
      <c r="R95" s="261"/>
      <c r="S95" s="261"/>
      <c r="T95" s="261"/>
      <c r="U95" s="261"/>
      <c r="V95" s="261"/>
      <c r="W95" s="261"/>
      <c r="X95" s="244"/>
      <c r="Y95" s="244"/>
      <c r="Z95" s="244"/>
      <c r="AA95" s="244"/>
      <c r="AB95" s="244"/>
      <c r="AC95" s="244"/>
      <c r="AD95" s="244"/>
      <c r="AE95" s="244"/>
      <c r="AF95" s="244"/>
      <c r="AG95" s="244"/>
      <c r="AH95" s="244"/>
      <c r="AI95" s="244"/>
      <c r="AJ95" s="244"/>
      <c r="AK95" s="244"/>
      <c r="AL95" s="244"/>
      <c r="AM95" s="244"/>
      <c r="AN95" s="244"/>
      <c r="AO95" s="244"/>
      <c r="AP95" s="244"/>
      <c r="AQ95" s="244"/>
      <c r="AR95" s="217"/>
    </row>
    <row r="96" spans="2:49">
      <c r="B96" s="217" t="s">
        <v>50</v>
      </c>
      <c r="R96" s="261"/>
      <c r="S96" s="261"/>
      <c r="T96" s="261"/>
      <c r="U96" s="261"/>
      <c r="V96" s="261"/>
      <c r="W96" s="261"/>
      <c r="X96" s="244"/>
      <c r="Y96" s="244"/>
      <c r="Z96" s="244"/>
      <c r="AA96" s="244"/>
      <c r="AB96" s="244"/>
      <c r="AC96" s="244"/>
      <c r="AD96" s="71">
        <v>38.571622992854671</v>
      </c>
      <c r="AE96" s="71"/>
      <c r="AF96" s="71">
        <v>40.96004568979842</v>
      </c>
      <c r="AG96" s="71">
        <v>38.137057918653255</v>
      </c>
      <c r="AH96" s="71">
        <v>38.8885864668</v>
      </c>
      <c r="AI96" s="71">
        <v>39.473859410000003</v>
      </c>
      <c r="AJ96" s="71">
        <v>40.389198678100001</v>
      </c>
      <c r="AK96" s="71">
        <v>41.333095811699991</v>
      </c>
      <c r="AL96" s="71">
        <v>42.886433408000002</v>
      </c>
      <c r="AM96" s="71">
        <v>41.446380804</v>
      </c>
      <c r="AN96" s="71">
        <v>40.543880348000002</v>
      </c>
      <c r="AO96" s="71">
        <v>34.091304555999997</v>
      </c>
      <c r="AP96" s="71">
        <f>SUM(AP97:AP99)</f>
        <v>36.964714936</v>
      </c>
      <c r="AQ96" s="71">
        <f>SUM(AQ97:AQ99)</f>
        <v>40.467769144000002</v>
      </c>
      <c r="AR96" s="217"/>
    </row>
    <row r="97" spans="1:44">
      <c r="B97" s="1343" t="s">
        <v>789</v>
      </c>
      <c r="R97" s="261"/>
      <c r="S97" s="261"/>
      <c r="T97" s="261"/>
      <c r="U97" s="261"/>
      <c r="V97" s="261"/>
      <c r="W97" s="261"/>
      <c r="X97" s="244"/>
      <c r="Y97" s="244"/>
      <c r="Z97" s="244"/>
      <c r="AA97" s="244"/>
      <c r="AB97" s="244"/>
      <c r="AC97" s="244"/>
      <c r="AD97" s="1101">
        <v>22.614497718354148</v>
      </c>
      <c r="AE97" s="1101"/>
      <c r="AF97" s="1101">
        <v>24.808584612631499</v>
      </c>
      <c r="AG97" s="1101">
        <v>24.172753028773023</v>
      </c>
      <c r="AH97" s="1101">
        <v>24.7479322041</v>
      </c>
      <c r="AI97" s="1101">
        <v>25.22</v>
      </c>
      <c r="AJ97" s="1101">
        <v>25.81</v>
      </c>
      <c r="AK97" s="1101">
        <v>26.403431128199998</v>
      </c>
      <c r="AL97" s="1101">
        <v>27.632773008000001</v>
      </c>
      <c r="AM97" s="1101">
        <v>28.538508701999998</v>
      </c>
      <c r="AN97" s="1101">
        <v>27.722301238</v>
      </c>
      <c r="AO97" s="1101">
        <v>21.812664898000001</v>
      </c>
      <c r="AP97" s="1101">
        <v>23.638254012000001</v>
      </c>
      <c r="AQ97" s="1101">
        <v>27.853701079999997</v>
      </c>
      <c r="AR97" s="1343"/>
    </row>
    <row r="98" spans="1:44">
      <c r="B98" s="1344" t="s">
        <v>790</v>
      </c>
      <c r="AD98" s="244">
        <v>14.3410759091432</v>
      </c>
      <c r="AF98" s="244">
        <v>14.483495041095191</v>
      </c>
      <c r="AG98" s="244">
        <v>13.96430488988023</v>
      </c>
      <c r="AH98" s="244">
        <v>14.1406542627</v>
      </c>
      <c r="AI98" s="244">
        <v>14.25385941</v>
      </c>
      <c r="AJ98" s="244">
        <v>14.579198678099999</v>
      </c>
      <c r="AK98" s="244">
        <v>14.929664683499997</v>
      </c>
      <c r="AL98" s="244">
        <v>15.253660400000001</v>
      </c>
      <c r="AM98" s="244">
        <v>12.907872102000001</v>
      </c>
      <c r="AN98" s="244">
        <v>12.82157911</v>
      </c>
      <c r="AO98" s="244">
        <v>12.278639657999999</v>
      </c>
      <c r="AP98" s="244">
        <v>13.326460924000001</v>
      </c>
      <c r="AQ98" s="244">
        <v>12.614068064000001</v>
      </c>
      <c r="AR98" s="1344"/>
    </row>
    <row r="99" spans="1:44">
      <c r="B99" s="1344" t="s">
        <v>791</v>
      </c>
      <c r="AD99" s="244">
        <v>1.61604936535733</v>
      </c>
      <c r="AF99" s="244">
        <v>1.6679660360717345</v>
      </c>
      <c r="AG99" s="244">
        <v>0</v>
      </c>
      <c r="AH99" s="244">
        <v>0</v>
      </c>
      <c r="AI99" s="244">
        <v>0</v>
      </c>
      <c r="AJ99" s="244">
        <v>0</v>
      </c>
      <c r="AK99" s="244">
        <v>0</v>
      </c>
      <c r="AL99" s="244">
        <v>0</v>
      </c>
      <c r="AM99" s="244">
        <v>0</v>
      </c>
      <c r="AN99" s="244">
        <v>0</v>
      </c>
      <c r="AO99" s="244">
        <v>0</v>
      </c>
      <c r="AP99" s="244">
        <v>0</v>
      </c>
      <c r="AQ99" s="244">
        <v>0</v>
      </c>
      <c r="AR99" s="1344"/>
    </row>
    <row r="100" spans="1:44">
      <c r="B100" s="1344"/>
      <c r="AD100" s="244"/>
      <c r="AF100" s="244"/>
      <c r="AG100" s="244"/>
      <c r="AH100" s="244"/>
      <c r="AI100" s="244"/>
      <c r="AJ100" s="244"/>
      <c r="AK100" s="244"/>
      <c r="AL100" s="244"/>
      <c r="AM100" s="244"/>
      <c r="AN100" s="244"/>
      <c r="AO100" s="244"/>
      <c r="AP100" s="244"/>
      <c r="AQ100" s="244"/>
      <c r="AR100" s="1344"/>
    </row>
    <row r="101" spans="1:44">
      <c r="B101" s="1344" t="s">
        <v>792</v>
      </c>
      <c r="AD101" s="244"/>
      <c r="AF101" s="244"/>
      <c r="AG101" s="244"/>
      <c r="AH101" s="244"/>
      <c r="AI101" s="244"/>
      <c r="AJ101" s="244"/>
      <c r="AK101" s="244"/>
      <c r="AL101" s="244"/>
      <c r="AM101" s="244"/>
      <c r="AN101" s="244"/>
      <c r="AO101" s="244"/>
      <c r="AP101" s="244"/>
      <c r="AQ101" s="244"/>
      <c r="AR101" s="1344"/>
    </row>
    <row r="102" spans="1:44">
      <c r="B102" s="1344" t="s">
        <v>793</v>
      </c>
      <c r="AD102" s="244">
        <v>32.677220313678369</v>
      </c>
      <c r="AF102" s="244">
        <v>34.901203683867266</v>
      </c>
      <c r="AG102" s="244">
        <v>35.176135028696329</v>
      </c>
      <c r="AH102" s="244">
        <v>34.231094581600004</v>
      </c>
      <c r="AI102" s="244">
        <v>34.214285861200004</v>
      </c>
      <c r="AJ102" s="244">
        <v>32.764532498799994</v>
      </c>
      <c r="AK102" s="244">
        <v>33.450194384600003</v>
      </c>
      <c r="AL102" s="244">
        <v>31.7</v>
      </c>
      <c r="AM102" s="244">
        <v>35.4</v>
      </c>
      <c r="AN102" s="244">
        <v>4.7391171999999999</v>
      </c>
      <c r="AO102" s="244">
        <v>6.3650998420000002</v>
      </c>
      <c r="AP102" s="244">
        <v>6.2751253280000014</v>
      </c>
      <c r="AQ102" s="244">
        <v>3.4780975139999994</v>
      </c>
      <c r="AR102" s="1344"/>
    </row>
    <row r="103" spans="1:44">
      <c r="B103" s="1344"/>
      <c r="AD103" s="244"/>
      <c r="AF103" s="244"/>
      <c r="AG103" s="244"/>
      <c r="AH103" s="244"/>
      <c r="AI103" s="244"/>
      <c r="AJ103" s="244"/>
      <c r="AK103" s="244"/>
      <c r="AL103" s="244"/>
      <c r="AM103" s="244"/>
      <c r="AN103" s="244"/>
      <c r="AO103" s="244"/>
      <c r="AP103" s="244"/>
      <c r="AQ103" s="244"/>
      <c r="AR103" s="1344"/>
    </row>
    <row r="104" spans="1:44">
      <c r="B104" s="1345" t="s">
        <v>56</v>
      </c>
      <c r="AD104" s="71">
        <f t="shared" ref="AD104:AP104" si="17">SUM(AD105:AD106)</f>
        <v>31.124471569542266</v>
      </c>
      <c r="AE104" s="71"/>
      <c r="AF104" s="71">
        <f t="shared" si="17"/>
        <v>28.508952683650126</v>
      </c>
      <c r="AG104" s="71">
        <f t="shared" si="17"/>
        <v>18.473695597765648</v>
      </c>
      <c r="AH104" s="71">
        <f t="shared" si="17"/>
        <v>20.799382791599999</v>
      </c>
      <c r="AI104" s="71">
        <f t="shared" si="17"/>
        <v>17.9242625079</v>
      </c>
      <c r="AJ104" s="71">
        <f t="shared" si="17"/>
        <v>12.9618823131</v>
      </c>
      <c r="AK104" s="71">
        <f t="shared" si="17"/>
        <v>13.793832225599999</v>
      </c>
      <c r="AL104" s="71">
        <f t="shared" si="17"/>
        <v>12.727552398</v>
      </c>
      <c r="AM104" s="71">
        <f t="shared" si="17"/>
        <v>11.999271803999999</v>
      </c>
      <c r="AN104" s="71">
        <f t="shared" si="17"/>
        <v>7.0150877180000011</v>
      </c>
      <c r="AO104" s="71">
        <f t="shared" si="17"/>
        <v>7.2956757720000001</v>
      </c>
      <c r="AP104" s="71">
        <f t="shared" si="17"/>
        <v>8.3607939039999994</v>
      </c>
      <c r="AQ104" s="71">
        <f>SUM(AQ105:AQ106)</f>
        <v>8.961430312000001</v>
      </c>
      <c r="AR104" s="1345"/>
    </row>
    <row r="105" spans="1:44">
      <c r="B105" s="1344" t="s">
        <v>794</v>
      </c>
      <c r="C105" s="168"/>
      <c r="R105" s="261"/>
      <c r="S105" s="261"/>
      <c r="T105" s="261"/>
      <c r="U105" s="261"/>
      <c r="V105" s="261"/>
      <c r="W105" s="261"/>
      <c r="X105" s="244"/>
      <c r="Y105" s="244"/>
      <c r="Z105" s="244"/>
      <c r="AA105" s="244"/>
      <c r="AB105" s="244"/>
      <c r="AC105" s="244"/>
      <c r="AD105" s="244">
        <v>30.558564376925339</v>
      </c>
      <c r="AE105" s="244"/>
      <c r="AF105" s="244">
        <v>27.879554286554271</v>
      </c>
      <c r="AG105" s="244">
        <v>17.920173293239426</v>
      </c>
      <c r="AH105" s="244">
        <v>20.210376301499998</v>
      </c>
      <c r="AI105" s="244">
        <v>17.254638294599999</v>
      </c>
      <c r="AJ105" s="244">
        <v>12.21677373</v>
      </c>
      <c r="AK105" s="244">
        <v>12.914506590299998</v>
      </c>
      <c r="AL105" s="244">
        <v>11.726367798</v>
      </c>
      <c r="AM105" s="244">
        <v>10.673554701999999</v>
      </c>
      <c r="AN105" s="244">
        <v>5.4111031880000011</v>
      </c>
      <c r="AO105" s="244">
        <v>5.5741771040000003</v>
      </c>
      <c r="AP105" s="244">
        <v>6.2104447</v>
      </c>
      <c r="AQ105" s="244">
        <v>6.5142970820000006</v>
      </c>
      <c r="AR105" s="1344"/>
    </row>
    <row r="106" spans="1:44">
      <c r="B106" s="1344" t="s">
        <v>1668</v>
      </c>
      <c r="C106" s="168"/>
      <c r="R106" s="261"/>
      <c r="S106" s="261"/>
      <c r="T106" s="261"/>
      <c r="U106" s="261"/>
      <c r="V106" s="261"/>
      <c r="W106" s="261"/>
      <c r="X106" s="244"/>
      <c r="Y106" s="244"/>
      <c r="Z106" s="244"/>
      <c r="AA106" s="244"/>
      <c r="AB106" s="244"/>
      <c r="AC106" s="244"/>
      <c r="AD106" s="244">
        <v>0.56590719261692635</v>
      </c>
      <c r="AE106" s="244"/>
      <c r="AF106" s="244">
        <v>0.62939839709585477</v>
      </c>
      <c r="AG106" s="244">
        <v>0.55352230452622297</v>
      </c>
      <c r="AH106" s="244">
        <v>0.58900649009999995</v>
      </c>
      <c r="AI106" s="244">
        <v>0.66962421329999999</v>
      </c>
      <c r="AJ106" s="244">
        <v>0.74510858309999994</v>
      </c>
      <c r="AK106" s="244">
        <v>0.87932563529999996</v>
      </c>
      <c r="AL106" s="244">
        <v>1.0011846000000002</v>
      </c>
      <c r="AM106" s="244">
        <v>1.325717102</v>
      </c>
      <c r="AN106" s="244">
        <v>1.6039845300000002</v>
      </c>
      <c r="AO106" s="244">
        <v>1.721498668</v>
      </c>
      <c r="AP106" s="244">
        <v>2.1503492039999998</v>
      </c>
      <c r="AQ106" s="244">
        <v>2.4471332299999999</v>
      </c>
      <c r="AR106" s="1344"/>
    </row>
    <row r="107" spans="1:44">
      <c r="AD107" s="244"/>
      <c r="AF107" s="244"/>
      <c r="AG107" s="244"/>
      <c r="AH107" s="244"/>
      <c r="AI107" s="244"/>
      <c r="AJ107" s="244"/>
      <c r="AK107" s="244"/>
      <c r="AL107" s="244"/>
      <c r="AM107" s="244"/>
      <c r="AN107" s="244"/>
      <c r="AO107" s="244"/>
      <c r="AP107" s="244"/>
      <c r="AQ107" s="244"/>
    </row>
    <row r="108" spans="1:44">
      <c r="B108" s="217" t="s">
        <v>78</v>
      </c>
      <c r="C108" s="168"/>
      <c r="R108" s="1021">
        <v>0</v>
      </c>
      <c r="S108" s="1021">
        <v>0</v>
      </c>
      <c r="T108" s="1021">
        <v>0</v>
      </c>
      <c r="U108" s="1021">
        <v>0</v>
      </c>
      <c r="V108" s="1021">
        <v>0</v>
      </c>
      <c r="W108" s="1021">
        <v>0</v>
      </c>
      <c r="X108" s="71"/>
      <c r="Y108" s="71"/>
      <c r="Z108" s="71"/>
      <c r="AA108" s="71"/>
      <c r="AB108" s="71"/>
      <c r="AC108" s="71"/>
      <c r="AD108" s="71">
        <v>10.292192526171821</v>
      </c>
      <c r="AE108" s="71"/>
      <c r="AF108" s="71">
        <v>6.7671010622115988</v>
      </c>
      <c r="AG108" s="71">
        <v>6.3085224706965093</v>
      </c>
      <c r="AH108" s="71">
        <v>6.1258671600000003</v>
      </c>
      <c r="AI108" s="71">
        <v>5.8549856273999996</v>
      </c>
      <c r="AJ108" s="71">
        <v>6.3547624580999997</v>
      </c>
      <c r="AK108" s="71">
        <v>6.7919555780999996</v>
      </c>
      <c r="AL108" s="71">
        <v>6.8401618000000006</v>
      </c>
      <c r="AM108" s="71">
        <v>7.2975273019999998</v>
      </c>
      <c r="AN108" s="71">
        <v>7.5044369180000015</v>
      </c>
      <c r="AO108" s="71">
        <v>7.6498730099999994</v>
      </c>
      <c r="AP108" s="71">
        <v>9.0696735180000019</v>
      </c>
      <c r="AQ108" s="71">
        <v>13.244550082</v>
      </c>
      <c r="AR108" s="217"/>
    </row>
    <row r="109" spans="1:44">
      <c r="B109" s="1344" t="s">
        <v>795</v>
      </c>
      <c r="C109" s="168"/>
      <c r="R109" s="261"/>
      <c r="S109" s="261"/>
      <c r="T109" s="261"/>
      <c r="U109" s="261"/>
      <c r="V109" s="261"/>
      <c r="W109" s="261"/>
      <c r="X109" s="244"/>
      <c r="Y109" s="244"/>
      <c r="Z109" s="244"/>
      <c r="AA109" s="244"/>
      <c r="AB109" s="244"/>
      <c r="AC109" s="244"/>
      <c r="AD109" s="244">
        <v>10.292192526171821</v>
      </c>
      <c r="AE109" s="244"/>
      <c r="AF109" s="244">
        <v>6.7671010622115988</v>
      </c>
      <c r="AG109" s="244">
        <v>6.3085224706965093</v>
      </c>
      <c r="AH109" s="244">
        <v>6.1258671600000003</v>
      </c>
      <c r="AI109" s="244">
        <v>5.8549856273999996</v>
      </c>
      <c r="AJ109" s="244">
        <v>6.3547624580999997</v>
      </c>
      <c r="AK109" s="244">
        <v>6.7919555780999996</v>
      </c>
      <c r="AL109" s="244">
        <v>6.8401618000000006</v>
      </c>
      <c r="AM109" s="244">
        <v>7.2975273019999998</v>
      </c>
      <c r="AN109" s="244">
        <v>7.5044369180000015</v>
      </c>
      <c r="AO109" s="244">
        <v>7.6498730099999994</v>
      </c>
      <c r="AP109" s="244">
        <v>9.0696735180000019</v>
      </c>
      <c r="AQ109" s="244">
        <v>13.244550082</v>
      </c>
      <c r="AR109" s="1344"/>
    </row>
    <row r="110" spans="1:44">
      <c r="B110" s="951"/>
      <c r="C110" s="168"/>
      <c r="R110" s="261"/>
      <c r="S110" s="261"/>
      <c r="T110" s="261"/>
      <c r="U110" s="261"/>
      <c r="V110" s="261"/>
      <c r="W110" s="261"/>
      <c r="X110" s="244"/>
      <c r="Y110" s="244"/>
      <c r="Z110" s="244"/>
      <c r="AA110" s="244"/>
      <c r="AB110" s="244"/>
      <c r="AC110" s="244"/>
      <c r="AD110" s="244"/>
      <c r="AE110" s="244"/>
      <c r="AF110" s="244"/>
      <c r="AG110" s="244"/>
      <c r="AH110" s="244"/>
      <c r="AI110" s="244"/>
      <c r="AJ110" s="244"/>
      <c r="AK110" s="244"/>
      <c r="AL110" s="244"/>
      <c r="AM110" s="244"/>
      <c r="AN110" s="261"/>
      <c r="AO110" s="547"/>
      <c r="AP110" s="547"/>
      <c r="AQ110" s="547"/>
      <c r="AR110" s="951"/>
    </row>
    <row r="111" spans="1:44" ht="13.5">
      <c r="A111" s="311"/>
      <c r="B111" s="925" t="s">
        <v>90</v>
      </c>
      <c r="C111" s="311"/>
      <c r="V111" s="261"/>
      <c r="W111" s="261"/>
      <c r="X111" s="244"/>
      <c r="Y111" s="244"/>
      <c r="Z111" s="244"/>
      <c r="AA111" s="244"/>
      <c r="AB111" s="244"/>
      <c r="AC111" s="244"/>
      <c r="AD111" s="244"/>
      <c r="AE111" s="244"/>
      <c r="AF111" s="244"/>
      <c r="AG111" s="244"/>
      <c r="AH111" s="244"/>
      <c r="AI111" s="244"/>
      <c r="AJ111" s="244"/>
      <c r="AK111" s="244"/>
      <c r="AL111" s="244"/>
      <c r="AM111" s="244"/>
      <c r="AN111" s="261"/>
      <c r="AO111" s="547"/>
      <c r="AP111" s="547"/>
      <c r="AQ111" s="547"/>
      <c r="AR111" s="925"/>
    </row>
    <row r="112" spans="1:44">
      <c r="B112" s="217" t="s">
        <v>91</v>
      </c>
      <c r="C112" s="217"/>
      <c r="D112" s="825"/>
      <c r="E112" s="825"/>
      <c r="F112" s="825"/>
      <c r="G112" s="825"/>
      <c r="H112" s="825"/>
      <c r="I112" s="825"/>
      <c r="J112" s="825"/>
      <c r="K112" s="825"/>
      <c r="L112" s="825"/>
      <c r="M112" s="825"/>
      <c r="N112" s="825"/>
      <c r="O112" s="825"/>
      <c r="P112" s="825"/>
      <c r="Q112" s="825"/>
      <c r="R112" s="825"/>
      <c r="S112" s="825"/>
      <c r="T112" s="825"/>
      <c r="U112" s="825"/>
      <c r="V112" s="825"/>
      <c r="W112" s="825"/>
      <c r="X112" s="71"/>
      <c r="Y112" s="1346"/>
      <c r="Z112" s="71"/>
      <c r="AA112" s="1346"/>
      <c r="AB112" s="71"/>
      <c r="AC112" s="71"/>
      <c r="AD112" s="71">
        <v>76.788480842104462</v>
      </c>
      <c r="AE112" s="71"/>
      <c r="AF112" s="71">
        <v>110.60258676006289</v>
      </c>
      <c r="AG112" s="71">
        <v>113.9395050400726</v>
      </c>
      <c r="AH112" s="71">
        <v>114.22293004320478</v>
      </c>
      <c r="AI112" s="71">
        <v>119.13422673783973</v>
      </c>
      <c r="AJ112" s="71">
        <v>125.751934278966</v>
      </c>
      <c r="AK112" s="71">
        <v>147.06247238090796</v>
      </c>
      <c r="AL112" s="71">
        <v>158.99038420960002</v>
      </c>
      <c r="AM112" s="71">
        <v>160.08653022527272</v>
      </c>
      <c r="AN112" s="71">
        <v>167.16294616145595</v>
      </c>
      <c r="AO112" s="71">
        <v>0</v>
      </c>
      <c r="AP112" s="71">
        <v>0</v>
      </c>
      <c r="AQ112" s="71">
        <v>0</v>
      </c>
      <c r="AR112" s="217"/>
    </row>
    <row r="113" spans="2:44">
      <c r="B113" s="1344" t="s">
        <v>796</v>
      </c>
      <c r="C113" s="217"/>
      <c r="D113" s="825"/>
      <c r="E113" s="825"/>
      <c r="F113" s="825"/>
      <c r="G113" s="825"/>
      <c r="H113" s="825"/>
      <c r="I113" s="825"/>
      <c r="J113" s="825"/>
      <c r="K113" s="825"/>
      <c r="L113" s="825"/>
      <c r="M113" s="825"/>
      <c r="N113" s="825"/>
      <c r="O113" s="825"/>
      <c r="P113" s="825"/>
      <c r="Q113" s="825"/>
      <c r="R113" s="825"/>
      <c r="S113" s="825"/>
      <c r="T113" s="825"/>
      <c r="U113" s="825"/>
      <c r="V113" s="825"/>
      <c r="W113" s="825"/>
      <c r="X113" s="71"/>
      <c r="Y113" s="1346"/>
      <c r="Z113" s="71"/>
      <c r="AA113" s="1346"/>
      <c r="AB113" s="71"/>
      <c r="AC113" s="71"/>
      <c r="AD113" s="244">
        <v>76.788480842104462</v>
      </c>
      <c r="AE113" s="1346"/>
      <c r="AF113" s="244">
        <v>110.60258676006289</v>
      </c>
      <c r="AG113" s="244">
        <v>113.9395050400726</v>
      </c>
      <c r="AH113" s="244">
        <v>114.22293004320478</v>
      </c>
      <c r="AI113" s="244">
        <v>119.13422673783973</v>
      </c>
      <c r="AJ113" s="244">
        <v>125.751934278966</v>
      </c>
      <c r="AK113" s="244">
        <v>147.06247238090796</v>
      </c>
      <c r="AL113" s="244">
        <v>158.99038420960002</v>
      </c>
      <c r="AM113" s="244">
        <v>160.08653022527272</v>
      </c>
      <c r="AN113" s="244">
        <v>167.16294616145595</v>
      </c>
      <c r="AO113" s="244">
        <v>0</v>
      </c>
      <c r="AP113" s="244">
        <v>0</v>
      </c>
      <c r="AQ113" s="244">
        <v>0</v>
      </c>
      <c r="AR113" s="1344"/>
    </row>
    <row r="114" spans="2:44">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200"/>
      <c r="Y114" s="200"/>
      <c r="Z114" s="200"/>
      <c r="AA114" s="200"/>
      <c r="AB114" s="200"/>
      <c r="AC114" s="200"/>
      <c r="AD114" s="200"/>
      <c r="AE114" s="200"/>
      <c r="AF114" s="200"/>
      <c r="AG114" s="200"/>
      <c r="AH114" s="200"/>
      <c r="AI114" s="200"/>
      <c r="AJ114" s="200"/>
      <c r="AK114" s="200"/>
      <c r="AL114" s="200"/>
      <c r="AM114" s="200"/>
      <c r="AN114" s="200"/>
      <c r="AO114" s="200"/>
      <c r="AP114" s="200"/>
      <c r="AQ114" s="200"/>
    </row>
    <row r="116" spans="2:44">
      <c r="B116" s="165" t="s">
        <v>797</v>
      </c>
    </row>
    <row r="121" spans="2:44">
      <c r="B121" s="311"/>
    </row>
    <row r="125" spans="2:44">
      <c r="B125" s="951"/>
      <c r="C125" s="963"/>
      <c r="R125" s="965"/>
      <c r="S125" s="965"/>
      <c r="T125" s="965"/>
      <c r="U125" s="965"/>
      <c r="V125" s="965"/>
      <c r="W125" s="965"/>
      <c r="X125" s="964"/>
      <c r="Y125" s="964"/>
      <c r="Z125" s="964"/>
      <c r="AA125" s="964"/>
      <c r="AB125" s="964"/>
      <c r="AC125" s="964"/>
      <c r="AD125" s="964"/>
      <c r="AE125" s="964"/>
      <c r="AF125" s="964"/>
      <c r="AG125" s="964"/>
      <c r="AH125" s="964"/>
      <c r="AI125" s="964"/>
      <c r="AJ125" s="964"/>
      <c r="AK125" s="964"/>
      <c r="AL125" s="964"/>
      <c r="AM125" s="964"/>
      <c r="AN125" s="965"/>
    </row>
    <row r="126" spans="2:44">
      <c r="B126" s="583"/>
      <c r="C126" s="168"/>
      <c r="R126" s="965"/>
      <c r="S126" s="965"/>
      <c r="T126" s="965"/>
      <c r="U126" s="965"/>
      <c r="V126" s="965"/>
      <c r="W126" s="965"/>
      <c r="X126" s="964"/>
      <c r="Y126" s="964"/>
      <c r="Z126" s="964"/>
      <c r="AA126" s="964"/>
      <c r="AB126" s="964"/>
      <c r="AC126" s="964"/>
      <c r="AD126" s="964"/>
      <c r="AE126" s="964"/>
      <c r="AF126" s="964"/>
      <c r="AG126" s="964"/>
      <c r="AH126" s="964"/>
      <c r="AI126" s="964"/>
      <c r="AJ126" s="964"/>
      <c r="AK126" s="964"/>
      <c r="AL126" s="964"/>
      <c r="AM126" s="964"/>
      <c r="AN126" s="965"/>
    </row>
    <row r="127" spans="2:44">
      <c r="B127" s="951"/>
      <c r="C127" s="963"/>
      <c r="R127" s="965"/>
      <c r="S127" s="965"/>
      <c r="T127" s="965"/>
      <c r="U127" s="965"/>
      <c r="V127" s="965"/>
      <c r="W127" s="965"/>
      <c r="X127" s="964"/>
      <c r="Y127" s="964"/>
      <c r="Z127" s="964"/>
      <c r="AA127" s="964"/>
      <c r="AB127" s="964"/>
      <c r="AC127" s="964"/>
      <c r="AD127" s="964"/>
      <c r="AE127" s="964"/>
      <c r="AF127" s="964"/>
      <c r="AG127" s="964"/>
      <c r="AH127" s="964"/>
      <c r="AI127" s="964"/>
      <c r="AJ127" s="964"/>
      <c r="AK127" s="964"/>
      <c r="AL127" s="964"/>
      <c r="AM127" s="964"/>
      <c r="AN127" s="965"/>
    </row>
    <row r="135" spans="2:40">
      <c r="C135" s="168"/>
      <c r="R135" s="261"/>
      <c r="S135" s="261"/>
      <c r="T135" s="261"/>
      <c r="U135" s="261"/>
      <c r="V135" s="261"/>
      <c r="W135" s="261"/>
      <c r="X135" s="244"/>
      <c r="Y135" s="244"/>
      <c r="Z135" s="244"/>
      <c r="AA135" s="244"/>
      <c r="AB135" s="244"/>
      <c r="AC135" s="244"/>
      <c r="AD135" s="244"/>
      <c r="AE135" s="244"/>
      <c r="AF135" s="244"/>
      <c r="AG135" s="244"/>
      <c r="AH135" s="244"/>
      <c r="AI135" s="244"/>
      <c r="AJ135" s="244"/>
      <c r="AK135" s="244"/>
      <c r="AL135" s="244"/>
      <c r="AM135" s="244"/>
      <c r="AN135" s="261"/>
    </row>
    <row r="136" spans="2:40">
      <c r="C136" s="168"/>
      <c r="R136" s="261"/>
      <c r="S136" s="261"/>
      <c r="T136" s="261"/>
      <c r="U136" s="261"/>
      <c r="V136" s="261"/>
      <c r="W136" s="261"/>
      <c r="X136" s="244"/>
      <c r="Y136" s="244"/>
      <c r="Z136" s="244"/>
      <c r="AA136" s="244"/>
      <c r="AB136" s="244"/>
      <c r="AC136" s="244"/>
      <c r="AD136" s="244"/>
      <c r="AE136" s="244"/>
      <c r="AF136" s="244"/>
      <c r="AG136" s="244"/>
      <c r="AH136" s="244"/>
      <c r="AI136" s="244"/>
      <c r="AJ136" s="244"/>
      <c r="AK136" s="244"/>
      <c r="AL136" s="244"/>
      <c r="AM136" s="244"/>
      <c r="AN136" s="261"/>
    </row>
    <row r="141" spans="2:40">
      <c r="B141" s="825"/>
    </row>
  </sheetData>
  <mergeCells count="2">
    <mergeCell ref="B87:AF87"/>
    <mergeCell ref="B15:AQ15"/>
  </mergeCells>
  <pageMargins left="0.70866141732283472" right="0.70866141732283472" top="0.74803149606299213" bottom="0.74803149606299213" header="0.31496062992125984" footer="0.31496062992125984"/>
  <pageSetup paperSize="9" scale="6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R116"/>
  <sheetViews>
    <sheetView topLeftCell="B14" zoomScale="80" zoomScaleNormal="80" workbookViewId="0">
      <selection activeCell="B116" sqref="B1:AQ116"/>
    </sheetView>
  </sheetViews>
  <sheetFormatPr defaultColWidth="8.5546875" defaultRowHeight="12.75" outlineLevelRow="1"/>
  <cols>
    <col min="1" max="1" width="1.77734375" style="165" hidden="1" customWidth="1"/>
    <col min="2" max="2" width="3.6640625" style="165" customWidth="1"/>
    <col min="3" max="3" width="57.33203125" style="165" customWidth="1"/>
    <col min="4" max="16" width="2.6640625" style="165" hidden="1" customWidth="1"/>
    <col min="17" max="17" width="4.44140625" style="165" hidden="1" customWidth="1"/>
    <col min="18" max="18" width="4.109375" style="165" hidden="1" customWidth="1"/>
    <col min="19" max="19" width="3.21875" style="165" hidden="1" customWidth="1"/>
    <col min="20" max="20" width="4.109375" style="165" hidden="1" customWidth="1"/>
    <col min="21" max="21" width="3.5546875" style="165" hidden="1" customWidth="1"/>
    <col min="22" max="22" width="5.44140625" style="165" hidden="1" customWidth="1"/>
    <col min="23" max="23" width="3.5546875" style="165" customWidth="1"/>
    <col min="24" max="24" width="6.44140625" style="75" customWidth="1"/>
    <col min="25" max="25" width="3.77734375" style="75" hidden="1" customWidth="1"/>
    <col min="26" max="26" width="6.5546875" style="75" customWidth="1"/>
    <col min="27" max="27" width="3.77734375" style="75" hidden="1" customWidth="1"/>
    <col min="28" max="28" width="6.5546875" style="75" customWidth="1"/>
    <col min="29" max="29" width="4.109375" style="75" hidden="1" customWidth="1"/>
    <col min="30" max="30" width="6.33203125" style="75" customWidth="1"/>
    <col min="31" max="31" width="3.77734375" style="75" hidden="1" customWidth="1"/>
    <col min="32" max="32" width="7.44140625" style="75" customWidth="1"/>
    <col min="33" max="33" width="6.5546875" style="547" customWidth="1"/>
    <col min="34" max="35" width="7.44140625" style="547" customWidth="1"/>
    <col min="36" max="43" width="7.44140625" style="165" customWidth="1"/>
    <col min="44" max="16384" width="8.5546875" style="165"/>
  </cols>
  <sheetData>
    <row r="1" spans="1:43" ht="15" hidden="1" customHeight="1" outlineLevel="1">
      <c r="B1" s="165" t="s">
        <v>798</v>
      </c>
    </row>
    <row r="2" spans="1:43" ht="12.75" hidden="1" customHeight="1" outlineLevel="1">
      <c r="V2" s="206"/>
    </row>
    <row r="3" spans="1:43" ht="17.25" hidden="1" customHeight="1" outlineLevel="1"/>
    <row r="4" spans="1:43" ht="23.25" hidden="1" customHeight="1" outlineLevel="1">
      <c r="B4" s="966" t="s">
        <v>1</v>
      </c>
      <c r="C4" s="966"/>
      <c r="D4" s="966"/>
      <c r="E4" s="966"/>
      <c r="F4" s="966"/>
      <c r="G4" s="966"/>
      <c r="H4" s="966"/>
      <c r="I4" s="966"/>
      <c r="J4" s="966"/>
      <c r="K4" s="966"/>
      <c r="L4" s="966"/>
      <c r="M4" s="966"/>
      <c r="N4" s="966"/>
      <c r="O4" s="966"/>
      <c r="P4" s="966"/>
      <c r="Q4" s="966"/>
      <c r="R4" s="966">
        <v>1995</v>
      </c>
      <c r="S4" s="966"/>
      <c r="T4" s="966">
        <v>1997</v>
      </c>
      <c r="U4" s="966"/>
      <c r="V4" s="966">
        <v>1999</v>
      </c>
      <c r="W4" s="966"/>
      <c r="X4" s="202">
        <v>2001</v>
      </c>
      <c r="Y4" s="202"/>
      <c r="Z4" s="202">
        <v>2003</v>
      </c>
      <c r="AA4" s="202"/>
      <c r="AB4" s="202">
        <v>2005</v>
      </c>
      <c r="AC4" s="202"/>
      <c r="AD4" s="202">
        <v>2007</v>
      </c>
      <c r="AE4" s="202"/>
      <c r="AF4" s="202">
        <v>2009</v>
      </c>
      <c r="AG4" s="967">
        <v>2010</v>
      </c>
      <c r="AH4" s="967">
        <v>2011</v>
      </c>
      <c r="AI4" s="967">
        <v>2012</v>
      </c>
      <c r="AJ4" s="967">
        <v>2013</v>
      </c>
      <c r="AK4" s="967">
        <v>2014</v>
      </c>
      <c r="AL4" s="967">
        <v>2015</v>
      </c>
      <c r="AM4" s="967">
        <v>2016</v>
      </c>
      <c r="AN4" s="967">
        <v>2017</v>
      </c>
      <c r="AO4" s="967">
        <v>2018</v>
      </c>
      <c r="AP4" s="967">
        <v>2019</v>
      </c>
      <c r="AQ4" s="967">
        <v>2020</v>
      </c>
    </row>
    <row r="5" spans="1:43" ht="23.25" hidden="1" customHeight="1" outlineLevel="1"/>
    <row r="6" spans="1:43" ht="24" hidden="1" customHeight="1" outlineLevel="1">
      <c r="A6" s="165" t="s">
        <v>2</v>
      </c>
      <c r="B6" s="165" t="s">
        <v>3</v>
      </c>
      <c r="O6" s="168"/>
      <c r="P6" s="168"/>
      <c r="Q6" s="168"/>
      <c r="R6" s="168"/>
      <c r="S6" s="168"/>
      <c r="T6" s="168"/>
      <c r="U6" s="168"/>
      <c r="V6" s="168">
        <v>0</v>
      </c>
      <c r="W6" s="168"/>
      <c r="X6" s="166">
        <f>X95</f>
        <v>0</v>
      </c>
      <c r="Y6" s="166"/>
      <c r="Z6" s="166">
        <f t="shared" ref="Z6:AM6" si="0">Z95</f>
        <v>0</v>
      </c>
      <c r="AA6" s="166"/>
      <c r="AB6" s="166">
        <f t="shared" si="0"/>
        <v>0</v>
      </c>
      <c r="AC6" s="166"/>
      <c r="AD6" s="166">
        <f t="shared" si="0"/>
        <v>0</v>
      </c>
      <c r="AE6" s="166"/>
      <c r="AF6" s="166">
        <f t="shared" si="0"/>
        <v>0</v>
      </c>
      <c r="AG6" s="166">
        <f t="shared" si="0"/>
        <v>0</v>
      </c>
      <c r="AH6" s="166">
        <f t="shared" si="0"/>
        <v>0</v>
      </c>
      <c r="AI6" s="166">
        <f t="shared" si="0"/>
        <v>0</v>
      </c>
      <c r="AJ6" s="166">
        <f t="shared" si="0"/>
        <v>0</v>
      </c>
      <c r="AK6" s="166">
        <f t="shared" si="0"/>
        <v>0</v>
      </c>
      <c r="AL6" s="166">
        <f t="shared" si="0"/>
        <v>0</v>
      </c>
      <c r="AM6" s="166">
        <f t="shared" si="0"/>
        <v>0</v>
      </c>
      <c r="AN6" s="166">
        <f>AN95</f>
        <v>0</v>
      </c>
      <c r="AO6" s="166">
        <f>AO95</f>
        <v>0</v>
      </c>
      <c r="AP6" s="166">
        <f t="shared" ref="AP6:AQ6" si="1">AP95</f>
        <v>0</v>
      </c>
      <c r="AQ6" s="166">
        <f t="shared" si="1"/>
        <v>0</v>
      </c>
    </row>
    <row r="7" spans="1:43" ht="17.25" hidden="1" customHeight="1" outlineLevel="1">
      <c r="A7" s="165" t="s">
        <v>4</v>
      </c>
      <c r="B7" s="165" t="s">
        <v>5</v>
      </c>
      <c r="O7" s="168"/>
      <c r="P7" s="168"/>
      <c r="Q7" s="168"/>
      <c r="R7" s="168"/>
      <c r="S7" s="168"/>
      <c r="T7" s="168"/>
      <c r="U7" s="168"/>
      <c r="V7" s="173">
        <f>V101</f>
        <v>100.9128</v>
      </c>
      <c r="W7" s="168"/>
      <c r="X7" s="256">
        <f>X101</f>
        <v>0</v>
      </c>
      <c r="Y7" s="169"/>
      <c r="Z7" s="256">
        <f>Z101</f>
        <v>0</v>
      </c>
      <c r="AA7" s="169"/>
      <c r="AB7" s="256">
        <f>AB101</f>
        <v>0</v>
      </c>
      <c r="AC7" s="169"/>
      <c r="AD7" s="256">
        <f>AD101</f>
        <v>0</v>
      </c>
      <c r="AE7" s="169"/>
      <c r="AF7" s="256">
        <f t="shared" ref="AF7:AM7" si="2">AF101</f>
        <v>0</v>
      </c>
      <c r="AG7" s="256">
        <f t="shared" si="2"/>
        <v>0</v>
      </c>
      <c r="AH7" s="256">
        <f t="shared" si="2"/>
        <v>0</v>
      </c>
      <c r="AI7" s="256">
        <f t="shared" si="2"/>
        <v>0</v>
      </c>
      <c r="AJ7" s="256">
        <f t="shared" si="2"/>
        <v>0</v>
      </c>
      <c r="AK7" s="256">
        <f t="shared" si="2"/>
        <v>0</v>
      </c>
      <c r="AL7" s="256">
        <f t="shared" si="2"/>
        <v>0</v>
      </c>
      <c r="AM7" s="256">
        <f t="shared" si="2"/>
        <v>0</v>
      </c>
      <c r="AN7" s="256">
        <f>AN101</f>
        <v>0</v>
      </c>
      <c r="AO7" s="256">
        <f>AO101</f>
        <v>0</v>
      </c>
      <c r="AP7" s="256">
        <f t="shared" ref="AP7:AQ7" si="3">AP101</f>
        <v>0</v>
      </c>
      <c r="AQ7" s="256">
        <f t="shared" si="3"/>
        <v>0</v>
      </c>
    </row>
    <row r="8" spans="1:43" ht="18.75" hidden="1" customHeight="1" outlineLevel="1">
      <c r="A8" s="165" t="s">
        <v>6</v>
      </c>
      <c r="O8" s="168"/>
      <c r="P8" s="168"/>
      <c r="Q8" s="168"/>
      <c r="R8" s="168"/>
      <c r="S8" s="168"/>
      <c r="T8" s="168"/>
      <c r="U8" s="168"/>
      <c r="V8" s="168">
        <f>V6+V7</f>
        <v>100.9128</v>
      </c>
      <c r="W8" s="168"/>
      <c r="X8" s="166">
        <f>X6+X7</f>
        <v>0</v>
      </c>
      <c r="Y8" s="166"/>
      <c r="Z8" s="166">
        <f>Z6+Z7</f>
        <v>0</v>
      </c>
      <c r="AA8" s="166"/>
      <c r="AB8" s="166">
        <f>AB6+AB7</f>
        <v>0</v>
      </c>
      <c r="AC8" s="166"/>
      <c r="AD8" s="166">
        <f>AD6+AD7</f>
        <v>0</v>
      </c>
      <c r="AE8" s="166"/>
      <c r="AF8" s="166">
        <f t="shared" ref="AF8:AM8" si="4">AF6+AF7</f>
        <v>0</v>
      </c>
      <c r="AG8" s="166">
        <f t="shared" si="4"/>
        <v>0</v>
      </c>
      <c r="AH8" s="166">
        <f t="shared" si="4"/>
        <v>0</v>
      </c>
      <c r="AI8" s="166">
        <f t="shared" si="4"/>
        <v>0</v>
      </c>
      <c r="AJ8" s="166">
        <f t="shared" si="4"/>
        <v>0</v>
      </c>
      <c r="AK8" s="166">
        <f t="shared" si="4"/>
        <v>0</v>
      </c>
      <c r="AL8" s="166">
        <f t="shared" si="4"/>
        <v>0</v>
      </c>
      <c r="AM8" s="166">
        <f t="shared" si="4"/>
        <v>0</v>
      </c>
      <c r="AN8" s="166">
        <f>AN6+AN7</f>
        <v>0</v>
      </c>
      <c r="AO8" s="166">
        <f>AO6+AO7</f>
        <v>0</v>
      </c>
      <c r="AP8" s="166">
        <f t="shared" ref="AP8:AQ8" si="5">AP6+AP7</f>
        <v>0</v>
      </c>
      <c r="AQ8" s="166">
        <f t="shared" si="5"/>
        <v>0</v>
      </c>
    </row>
    <row r="9" spans="1:43" ht="22.5" hidden="1" customHeight="1" outlineLevel="1">
      <c r="O9" s="168"/>
      <c r="P9" s="168"/>
      <c r="Q9" s="168"/>
      <c r="R9" s="168"/>
      <c r="S9" s="168"/>
      <c r="T9" s="168"/>
      <c r="U9" s="168"/>
      <c r="V9" s="168"/>
      <c r="W9" s="168"/>
      <c r="X9" s="166"/>
      <c r="Y9" s="166"/>
      <c r="Z9" s="166"/>
      <c r="AA9" s="166"/>
      <c r="AB9" s="166"/>
      <c r="AC9" s="166"/>
      <c r="AD9" s="166"/>
      <c r="AE9" s="166"/>
      <c r="AF9" s="166"/>
      <c r="AG9" s="166"/>
      <c r="AH9" s="166"/>
      <c r="AI9" s="166"/>
      <c r="AJ9" s="166"/>
      <c r="AK9" s="166"/>
      <c r="AL9" s="166"/>
      <c r="AM9" s="166"/>
      <c r="AN9" s="166"/>
      <c r="AO9" s="166"/>
      <c r="AP9" s="166"/>
      <c r="AQ9" s="166"/>
    </row>
    <row r="10" spans="1:43" ht="18.75" hidden="1" customHeight="1" outlineLevel="1">
      <c r="B10" s="165" t="s">
        <v>110</v>
      </c>
      <c r="O10" s="168"/>
      <c r="P10" s="168"/>
      <c r="Q10" s="168"/>
      <c r="R10" s="168"/>
      <c r="S10" s="168"/>
      <c r="T10" s="168"/>
      <c r="U10" s="168"/>
      <c r="V10" s="168"/>
      <c r="W10" s="168"/>
      <c r="X10" s="166">
        <f>X105</f>
        <v>170</v>
      </c>
      <c r="Y10" s="166"/>
      <c r="Z10" s="166">
        <f>Z105</f>
        <v>205</v>
      </c>
      <c r="AA10" s="166"/>
      <c r="AB10" s="166">
        <f>AB105</f>
        <v>220</v>
      </c>
      <c r="AC10" s="166"/>
      <c r="AD10" s="166">
        <f>AD105</f>
        <v>125</v>
      </c>
      <c r="AE10" s="166"/>
      <c r="AF10" s="166">
        <f t="shared" ref="AF10:AM10" si="6">AF105</f>
        <v>130</v>
      </c>
      <c r="AG10" s="166">
        <f t="shared" si="6"/>
        <v>125</v>
      </c>
      <c r="AH10" s="166">
        <f t="shared" si="6"/>
        <v>125</v>
      </c>
      <c r="AI10" s="166">
        <f t="shared" si="6"/>
        <v>120</v>
      </c>
      <c r="AJ10" s="166">
        <f t="shared" si="6"/>
        <v>105</v>
      </c>
      <c r="AK10" s="166">
        <f t="shared" si="6"/>
        <v>95</v>
      </c>
      <c r="AL10" s="166">
        <f t="shared" si="6"/>
        <v>85</v>
      </c>
      <c r="AM10" s="166">
        <f t="shared" si="6"/>
        <v>85</v>
      </c>
      <c r="AN10" s="166">
        <f>AN105</f>
        <v>70</v>
      </c>
      <c r="AO10" s="166">
        <f>AO105</f>
        <v>60</v>
      </c>
      <c r="AP10" s="166">
        <f t="shared" ref="AP10:AQ10" si="7">AP105</f>
        <v>60</v>
      </c>
      <c r="AQ10" s="166">
        <f t="shared" si="7"/>
        <v>60</v>
      </c>
    </row>
    <row r="11" spans="1:43" ht="17.25" hidden="1" customHeight="1" outlineLevel="1">
      <c r="O11" s="168"/>
      <c r="P11" s="168"/>
      <c r="Q11" s="168"/>
      <c r="R11" s="168"/>
      <c r="S11" s="168"/>
      <c r="T11" s="168"/>
      <c r="U11" s="168"/>
      <c r="V11" s="168"/>
      <c r="W11" s="168"/>
      <c r="X11" s="166"/>
      <c r="Y11" s="166"/>
      <c r="Z11" s="166"/>
      <c r="AA11" s="166"/>
      <c r="AB11" s="166"/>
      <c r="AC11" s="166"/>
      <c r="AD11" s="166"/>
      <c r="AE11" s="166"/>
      <c r="AF11" s="166"/>
      <c r="AG11" s="166"/>
      <c r="AH11" s="166"/>
      <c r="AI11" s="166"/>
      <c r="AJ11" s="166"/>
      <c r="AK11" s="166"/>
      <c r="AL11" s="166"/>
      <c r="AM11" s="166"/>
      <c r="AN11" s="166"/>
      <c r="AO11" s="166"/>
      <c r="AP11" s="166"/>
      <c r="AQ11" s="166"/>
    </row>
    <row r="12" spans="1:43" ht="17.25" hidden="1" customHeight="1" outlineLevel="1">
      <c r="B12" s="165" t="s">
        <v>8</v>
      </c>
      <c r="O12" s="168"/>
      <c r="P12" s="168"/>
      <c r="Q12" s="168"/>
      <c r="R12" s="168"/>
      <c r="S12" s="168"/>
      <c r="T12" s="168"/>
      <c r="U12" s="168"/>
      <c r="V12" s="168"/>
      <c r="W12" s="168"/>
      <c r="X12" s="166">
        <f>X98</f>
        <v>0</v>
      </c>
      <c r="Y12" s="166"/>
      <c r="Z12" s="166">
        <f t="shared" ref="Z12:AM12" si="8">Z98</f>
        <v>0</v>
      </c>
      <c r="AA12" s="166"/>
      <c r="AB12" s="166">
        <f t="shared" si="8"/>
        <v>0</v>
      </c>
      <c r="AC12" s="166"/>
      <c r="AD12" s="166">
        <f t="shared" si="8"/>
        <v>0</v>
      </c>
      <c r="AE12" s="166"/>
      <c r="AF12" s="166">
        <f t="shared" si="8"/>
        <v>0</v>
      </c>
      <c r="AG12" s="166">
        <f t="shared" si="8"/>
        <v>0</v>
      </c>
      <c r="AH12" s="166">
        <f t="shared" si="8"/>
        <v>0</v>
      </c>
      <c r="AI12" s="166">
        <f t="shared" si="8"/>
        <v>0</v>
      </c>
      <c r="AJ12" s="166">
        <f t="shared" si="8"/>
        <v>0</v>
      </c>
      <c r="AK12" s="166">
        <f t="shared" si="8"/>
        <v>0</v>
      </c>
      <c r="AL12" s="166">
        <f t="shared" si="8"/>
        <v>0</v>
      </c>
      <c r="AM12" s="166">
        <f t="shared" si="8"/>
        <v>0</v>
      </c>
      <c r="AN12" s="166">
        <f>AN98</f>
        <v>0</v>
      </c>
      <c r="AO12" s="166">
        <f>AO98</f>
        <v>0</v>
      </c>
      <c r="AP12" s="166">
        <f t="shared" ref="AP12:AQ12" si="9">AP98</f>
        <v>0</v>
      </c>
      <c r="AQ12" s="166">
        <f t="shared" si="9"/>
        <v>0</v>
      </c>
    </row>
    <row r="13" spans="1:43" ht="15.75" hidden="1" customHeight="1" outlineLevel="1">
      <c r="O13" s="168"/>
      <c r="P13" s="168"/>
      <c r="Q13" s="168"/>
      <c r="R13" s="168"/>
      <c r="S13" s="168"/>
      <c r="T13" s="168"/>
      <c r="U13" s="168"/>
      <c r="V13" s="168"/>
      <c r="W13" s="168"/>
      <c r="X13" s="166"/>
      <c r="Y13" s="166"/>
      <c r="Z13" s="166"/>
      <c r="AA13" s="166"/>
      <c r="AB13" s="166"/>
      <c r="AC13" s="166"/>
      <c r="AD13" s="166"/>
      <c r="AE13" s="166"/>
      <c r="AF13" s="166"/>
      <c r="AG13" s="950"/>
    </row>
    <row r="14" spans="1:43" ht="24" customHeight="1" outlineLevel="1">
      <c r="O14" s="168"/>
      <c r="P14" s="168"/>
      <c r="Q14" s="168"/>
      <c r="R14" s="168"/>
      <c r="S14" s="168"/>
      <c r="T14" s="168"/>
      <c r="U14" s="168"/>
      <c r="V14" s="168"/>
      <c r="W14" s="168"/>
      <c r="X14" s="166"/>
      <c r="Y14" s="166"/>
      <c r="Z14" s="166"/>
      <c r="AA14" s="166"/>
      <c r="AB14" s="166"/>
      <c r="AC14" s="166"/>
      <c r="AD14" s="166"/>
      <c r="AE14" s="166"/>
      <c r="AF14" s="166"/>
      <c r="AG14" s="950"/>
    </row>
    <row r="15" spans="1:43" ht="27" customHeight="1">
      <c r="B15" s="1924" t="s">
        <v>659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O16" s="168"/>
      <c r="P16" s="168"/>
      <c r="Q16" s="168"/>
      <c r="R16" s="168"/>
      <c r="S16" s="168"/>
      <c r="T16" s="168"/>
      <c r="U16" s="168"/>
      <c r="V16" s="168"/>
      <c r="W16" s="168"/>
      <c r="X16" s="169"/>
      <c r="Y16" s="166"/>
      <c r="Z16" s="166"/>
      <c r="AA16" s="166"/>
      <c r="AB16" s="166"/>
      <c r="AC16" s="166"/>
      <c r="AD16" s="166"/>
      <c r="AE16" s="166"/>
      <c r="AF16" s="166"/>
      <c r="AG16" s="950"/>
    </row>
    <row r="17" spans="2:44" ht="16.5" customHeight="1">
      <c r="B17" s="170" t="s">
        <v>798</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950"/>
    </row>
    <row r="18" spans="2:44">
      <c r="O18" s="168"/>
      <c r="P18" s="168"/>
      <c r="Q18" s="168"/>
      <c r="R18" s="168"/>
      <c r="S18" s="168"/>
      <c r="T18" s="168"/>
      <c r="U18" s="168"/>
      <c r="V18" s="168"/>
      <c r="W18" s="168"/>
      <c r="X18" s="169"/>
      <c r="Y18" s="166"/>
      <c r="Z18" s="166"/>
      <c r="AA18" s="166"/>
      <c r="AB18" s="166"/>
      <c r="AC18" s="166"/>
      <c r="AD18" s="166"/>
      <c r="AE18" s="166"/>
      <c r="AF18" s="166"/>
      <c r="AG18" s="950"/>
    </row>
    <row r="19" spans="2:44">
      <c r="B19" s="170" t="s">
        <v>799</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950"/>
    </row>
    <row r="20" spans="2:44">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c r="AG20" s="950"/>
    </row>
    <row r="21" spans="2:44" ht="22.5" customHeight="1">
      <c r="O21" s="168"/>
      <c r="P21" s="168"/>
      <c r="Q21" s="168"/>
      <c r="R21" s="168"/>
      <c r="S21" s="168"/>
      <c r="T21" s="168"/>
      <c r="U21" s="168"/>
      <c r="V21" s="168"/>
      <c r="W21" s="168"/>
      <c r="X21" s="257">
        <v>2001</v>
      </c>
      <c r="Y21" s="258"/>
      <c r="Z21" s="257">
        <v>2003</v>
      </c>
      <c r="AA21" s="258"/>
      <c r="AB21" s="257">
        <v>2005</v>
      </c>
      <c r="AC21" s="258"/>
      <c r="AD21" s="257">
        <v>2007</v>
      </c>
      <c r="AE21" s="258"/>
      <c r="AF21" s="257">
        <v>2009</v>
      </c>
      <c r="AG21" s="967">
        <v>2010</v>
      </c>
      <c r="AH21" s="967">
        <v>2011</v>
      </c>
      <c r="AI21" s="967">
        <v>2012</v>
      </c>
      <c r="AJ21" s="967">
        <v>2013</v>
      </c>
      <c r="AK21" s="967">
        <v>2014</v>
      </c>
      <c r="AL21" s="967">
        <v>2015</v>
      </c>
      <c r="AM21" s="967">
        <v>2016</v>
      </c>
      <c r="AN21" s="967">
        <v>2017</v>
      </c>
      <c r="AO21" s="967">
        <v>2018</v>
      </c>
      <c r="AP21" s="967">
        <v>2019</v>
      </c>
      <c r="AQ21" s="967">
        <v>2020</v>
      </c>
    </row>
    <row r="22" spans="2:44">
      <c r="B22" s="75">
        <v>1</v>
      </c>
      <c r="C22" s="165" t="s">
        <v>410</v>
      </c>
      <c r="D22" s="261"/>
      <c r="E22" s="261"/>
      <c r="F22" s="261"/>
      <c r="G22" s="261"/>
      <c r="H22" s="261"/>
      <c r="I22" s="261"/>
      <c r="J22" s="261"/>
      <c r="K22" s="261"/>
      <c r="L22" s="261"/>
      <c r="M22" s="261"/>
      <c r="N22" s="261"/>
      <c r="O22" s="261"/>
      <c r="P22" s="261"/>
      <c r="Q22" s="261"/>
      <c r="R22" s="261"/>
      <c r="S22" s="261"/>
      <c r="T22" s="261"/>
      <c r="U22" s="261"/>
      <c r="V22" s="261"/>
      <c r="W22" s="261"/>
      <c r="X22" s="244"/>
      <c r="Y22" s="244"/>
      <c r="Z22" s="244"/>
      <c r="AA22" s="244"/>
      <c r="AB22" s="244"/>
      <c r="AC22" s="244"/>
      <c r="AD22" s="244"/>
      <c r="AE22" s="244"/>
      <c r="AF22" s="244"/>
      <c r="AG22" s="950"/>
      <c r="AM22" s="261"/>
      <c r="AN22" s="261"/>
      <c r="AO22" s="261"/>
      <c r="AP22" s="261"/>
      <c r="AQ22" s="261"/>
    </row>
    <row r="23" spans="2:44">
      <c r="B23" s="75" t="s">
        <v>289</v>
      </c>
      <c r="C23" s="165" t="s">
        <v>12</v>
      </c>
      <c r="D23" s="261"/>
      <c r="E23" s="261"/>
      <c r="F23" s="261"/>
      <c r="G23" s="261"/>
      <c r="H23" s="261"/>
      <c r="I23" s="261"/>
      <c r="J23" s="261"/>
      <c r="K23" s="261"/>
      <c r="L23" s="261"/>
      <c r="M23" s="261"/>
      <c r="N23" s="261"/>
      <c r="O23" s="261"/>
      <c r="P23" s="261"/>
      <c r="Q23" s="261"/>
      <c r="R23" s="261"/>
      <c r="S23" s="261"/>
      <c r="T23" s="261"/>
      <c r="U23" s="261"/>
      <c r="V23" s="261"/>
      <c r="W23" s="261"/>
      <c r="X23" s="244">
        <v>19.7</v>
      </c>
      <c r="Y23" s="244"/>
      <c r="Z23" s="244">
        <v>19.399999999999999</v>
      </c>
      <c r="AA23" s="244"/>
      <c r="AB23" s="1347">
        <v>19.899999999999999</v>
      </c>
      <c r="AC23" s="1347"/>
      <c r="AD23" s="1347">
        <v>20</v>
      </c>
      <c r="AE23" s="244"/>
      <c r="AF23" s="1348">
        <v>17.899999999999999</v>
      </c>
      <c r="AG23" s="1001">
        <v>17.949082019433778</v>
      </c>
      <c r="AH23" s="1349">
        <v>18.174375064411592</v>
      </c>
      <c r="AI23" s="261">
        <v>18.217887167445856</v>
      </c>
      <c r="AJ23" s="1001">
        <v>18.5912410191983</v>
      </c>
      <c r="AK23" s="1001">
        <v>19.184700040760365</v>
      </c>
      <c r="AL23" s="1001">
        <v>18.915784571848189</v>
      </c>
      <c r="AM23" s="1001">
        <v>19.196393639311765</v>
      </c>
      <c r="AN23" s="1001">
        <v>19.251863490989738</v>
      </c>
      <c r="AO23" s="1001">
        <v>19.27237490518602</v>
      </c>
      <c r="AP23" s="1001">
        <v>19.7401721408764</v>
      </c>
      <c r="AQ23" s="1001">
        <v>20.488348020942805</v>
      </c>
      <c r="AR23" s="1001"/>
    </row>
    <row r="24" spans="2:44">
      <c r="B24" s="75" t="s">
        <v>411</v>
      </c>
      <c r="C24" s="165" t="s">
        <v>412</v>
      </c>
      <c r="D24" s="261"/>
      <c r="E24" s="261"/>
      <c r="F24" s="261"/>
      <c r="G24" s="261"/>
      <c r="H24" s="261"/>
      <c r="I24" s="261"/>
      <c r="J24" s="261"/>
      <c r="K24" s="261"/>
      <c r="L24" s="261"/>
      <c r="M24" s="261"/>
      <c r="N24" s="261"/>
      <c r="O24" s="261"/>
      <c r="P24" s="261"/>
      <c r="Q24" s="261"/>
      <c r="R24" s="261"/>
      <c r="S24" s="261"/>
      <c r="T24" s="261"/>
      <c r="U24" s="261"/>
      <c r="V24" s="261"/>
      <c r="W24" s="261"/>
      <c r="X24" s="244">
        <v>28.6</v>
      </c>
      <c r="Y24" s="244"/>
      <c r="Z24" s="244">
        <v>28.9</v>
      </c>
      <c r="AA24" s="244"/>
      <c r="AB24" s="1347">
        <v>28.7</v>
      </c>
      <c r="AC24" s="1347"/>
      <c r="AD24" s="1347">
        <v>28.4</v>
      </c>
      <c r="AE24" s="244"/>
      <c r="AF24" s="1348">
        <v>25.5</v>
      </c>
      <c r="AG24" s="1001">
        <v>26.032339970600027</v>
      </c>
      <c r="AH24" s="1349">
        <v>25.572039225546895</v>
      </c>
      <c r="AI24" s="261">
        <v>25.244072524407251</v>
      </c>
      <c r="AJ24" s="1001">
        <v>27.752920705940841</v>
      </c>
      <c r="AK24" s="1001">
        <v>28.376175548589345</v>
      </c>
      <c r="AL24" s="1001">
        <v>28.270774571490563</v>
      </c>
      <c r="AM24" s="1001">
        <v>28.945868945868945</v>
      </c>
      <c r="AN24" s="1001">
        <v>29.095267690668564</v>
      </c>
      <c r="AO24" s="1001">
        <v>26.089452060485208</v>
      </c>
      <c r="AP24" s="1001">
        <v>26.198945081422398</v>
      </c>
      <c r="AQ24" s="1001">
        <v>27.866662761714849</v>
      </c>
      <c r="AR24" s="1001"/>
    </row>
    <row r="25" spans="2:44">
      <c r="B25" s="75">
        <v>2</v>
      </c>
      <c r="C25" s="165" t="s">
        <v>413</v>
      </c>
      <c r="D25" s="261"/>
      <c r="E25" s="261"/>
      <c r="F25" s="261"/>
      <c r="G25" s="261"/>
      <c r="H25" s="261"/>
      <c r="I25" s="261"/>
      <c r="J25" s="261"/>
      <c r="K25" s="261"/>
      <c r="L25" s="261"/>
      <c r="M25" s="261"/>
      <c r="N25" s="261"/>
      <c r="O25" s="261"/>
      <c r="P25" s="261"/>
      <c r="Q25" s="261"/>
      <c r="R25" s="261"/>
      <c r="S25" s="261"/>
      <c r="T25" s="261"/>
      <c r="U25" s="261"/>
      <c r="V25" s="261"/>
      <c r="W25" s="261"/>
      <c r="X25" s="244"/>
      <c r="Y25" s="244"/>
      <c r="Z25" s="244"/>
      <c r="AA25" s="244"/>
      <c r="AB25" s="1347"/>
      <c r="AC25" s="1347"/>
      <c r="AD25" s="1347"/>
      <c r="AE25" s="244"/>
      <c r="AF25" s="1348"/>
      <c r="AG25" s="950"/>
      <c r="AK25" s="1001"/>
      <c r="AL25" s="1001"/>
      <c r="AM25" s="1001"/>
      <c r="AN25" s="1001"/>
      <c r="AO25" s="1001"/>
      <c r="AP25" s="1001"/>
      <c r="AQ25" s="1001"/>
    </row>
    <row r="26" spans="2:44">
      <c r="B26" s="75" t="s">
        <v>414</v>
      </c>
      <c r="C26" s="165" t="s">
        <v>12</v>
      </c>
      <c r="D26" s="261"/>
      <c r="E26" s="261"/>
      <c r="F26" s="261"/>
      <c r="G26" s="261"/>
      <c r="H26" s="261"/>
      <c r="I26" s="261"/>
      <c r="J26" s="261"/>
      <c r="K26" s="261"/>
      <c r="L26" s="261"/>
      <c r="M26" s="261"/>
      <c r="N26" s="261"/>
      <c r="O26" s="261"/>
      <c r="P26" s="261"/>
      <c r="Q26" s="261"/>
      <c r="R26" s="261"/>
      <c r="S26" s="261"/>
      <c r="T26" s="261"/>
      <c r="U26" s="261"/>
      <c r="V26" s="261"/>
      <c r="W26" s="261"/>
      <c r="X26" s="244">
        <v>19.100000000000001</v>
      </c>
      <c r="Y26" s="244"/>
      <c r="Z26" s="244">
        <v>19.8</v>
      </c>
      <c r="AA26" s="244"/>
      <c r="AB26" s="1347">
        <v>19.899999999999999</v>
      </c>
      <c r="AC26" s="1347"/>
      <c r="AD26" s="1347">
        <v>18.600000000000001</v>
      </c>
      <c r="AE26" s="244"/>
      <c r="AF26" s="1348">
        <v>16.899999999999999</v>
      </c>
      <c r="AG26" s="1001">
        <v>16.968608464782132</v>
      </c>
      <c r="AH26" s="1001">
        <v>15.844057532172599</v>
      </c>
      <c r="AI26" s="261">
        <v>16.482728966604558</v>
      </c>
      <c r="AJ26" s="1001">
        <v>16.358102967283795</v>
      </c>
      <c r="AK26" s="1001">
        <v>17.946091299058839</v>
      </c>
      <c r="AL26" s="1001">
        <v>18.562951496388028</v>
      </c>
      <c r="AM26" s="1001">
        <v>18.585360385606993</v>
      </c>
      <c r="AN26" s="1001">
        <v>18.658223702167149</v>
      </c>
      <c r="AO26" s="1001">
        <v>17.791670163105579</v>
      </c>
      <c r="AP26" s="1001">
        <v>18.335503908466549</v>
      </c>
      <c r="AQ26" s="1001">
        <v>19.031382055196932</v>
      </c>
      <c r="AR26" s="1001"/>
    </row>
    <row r="27" spans="2:44">
      <c r="B27" s="75">
        <v>3</v>
      </c>
      <c r="C27" s="165" t="s">
        <v>14</v>
      </c>
      <c r="D27" s="261"/>
      <c r="E27" s="261"/>
      <c r="F27" s="261"/>
      <c r="G27" s="261"/>
      <c r="H27" s="261"/>
      <c r="I27" s="261"/>
      <c r="J27" s="261"/>
      <c r="K27" s="261"/>
      <c r="L27" s="261"/>
      <c r="M27" s="261"/>
      <c r="N27" s="261"/>
      <c r="O27" s="261"/>
      <c r="P27" s="261"/>
      <c r="Q27" s="261"/>
      <c r="R27" s="261"/>
      <c r="S27" s="261"/>
      <c r="T27" s="261"/>
      <c r="U27" s="261"/>
      <c r="V27" s="261"/>
      <c r="W27" s="261"/>
      <c r="X27" s="244"/>
      <c r="Y27" s="244"/>
      <c r="Z27" s="244"/>
      <c r="AA27" s="244"/>
      <c r="AB27" s="1347"/>
      <c r="AC27" s="1347"/>
      <c r="AD27" s="1347"/>
      <c r="AE27" s="244"/>
      <c r="AF27" s="1348"/>
      <c r="AG27" s="950"/>
      <c r="AM27" s="261"/>
      <c r="AN27" s="261"/>
      <c r="AO27" s="261"/>
      <c r="AP27" s="261"/>
      <c r="AQ27" s="261"/>
    </row>
    <row r="28" spans="2:44">
      <c r="B28" s="75" t="s">
        <v>415</v>
      </c>
      <c r="C28" s="165" t="s">
        <v>15</v>
      </c>
      <c r="D28" s="261"/>
      <c r="E28" s="261"/>
      <c r="F28" s="261"/>
      <c r="G28" s="261"/>
      <c r="H28" s="261"/>
      <c r="I28" s="261"/>
      <c r="J28" s="261"/>
      <c r="K28" s="261"/>
      <c r="L28" s="261"/>
      <c r="M28" s="261"/>
      <c r="N28" s="261"/>
      <c r="O28" s="261"/>
      <c r="P28" s="261"/>
      <c r="Q28" s="261"/>
      <c r="R28" s="261"/>
      <c r="S28" s="261"/>
      <c r="T28" s="261"/>
      <c r="U28" s="261"/>
      <c r="V28" s="261"/>
      <c r="W28" s="261"/>
      <c r="X28" s="244">
        <v>17.5</v>
      </c>
      <c r="Y28" s="244"/>
      <c r="Z28" s="244">
        <v>17.600000000000001</v>
      </c>
      <c r="AA28" s="244"/>
      <c r="AB28" s="1347">
        <v>16.5</v>
      </c>
      <c r="AC28" s="1347"/>
      <c r="AD28" s="1347">
        <v>15.5</v>
      </c>
      <c r="AE28" s="244"/>
      <c r="AF28" s="1348">
        <v>12.9</v>
      </c>
      <c r="AG28" s="1001">
        <v>11.913332880527065</v>
      </c>
      <c r="AH28" s="1001">
        <v>12.451870187018702</v>
      </c>
      <c r="AI28" s="261">
        <v>12.591742321472053</v>
      </c>
      <c r="AJ28" s="1001">
        <v>12.639927009860688</v>
      </c>
      <c r="AK28" s="1001">
        <v>13.142562135850728</v>
      </c>
      <c r="AL28" s="1001">
        <v>12.766497461928935</v>
      </c>
      <c r="AM28" s="1001">
        <v>12.30065571116328</v>
      </c>
      <c r="AN28" s="1001">
        <v>12.330570831074278</v>
      </c>
      <c r="AO28" s="1001">
        <v>11.151773326311201</v>
      </c>
      <c r="AP28" s="1001">
        <v>11.147262383492308</v>
      </c>
      <c r="AQ28" s="1001">
        <v>11.742057364537402</v>
      </c>
      <c r="AR28" s="1001"/>
    </row>
    <row r="29" spans="2:44">
      <c r="B29" s="75" t="s">
        <v>416</v>
      </c>
      <c r="C29" s="165" t="s">
        <v>16</v>
      </c>
      <c r="D29" s="261"/>
      <c r="E29" s="261"/>
      <c r="F29" s="261"/>
      <c r="G29" s="261"/>
      <c r="H29" s="261"/>
      <c r="I29" s="261"/>
      <c r="J29" s="261"/>
      <c r="K29" s="261"/>
      <c r="L29" s="261"/>
      <c r="M29" s="261"/>
      <c r="N29" s="261"/>
      <c r="O29" s="261"/>
      <c r="P29" s="261"/>
      <c r="Q29" s="261"/>
      <c r="R29" s="261"/>
      <c r="S29" s="261"/>
      <c r="T29" s="261"/>
      <c r="U29" s="261"/>
      <c r="V29" s="261"/>
      <c r="W29" s="261"/>
      <c r="X29" s="244">
        <v>26.2</v>
      </c>
      <c r="Y29" s="244"/>
      <c r="Z29" s="244">
        <v>23.5</v>
      </c>
      <c r="AA29" s="244"/>
      <c r="AB29" s="1347">
        <v>24.3</v>
      </c>
      <c r="AC29" s="1347"/>
      <c r="AD29" s="1347">
        <v>23</v>
      </c>
      <c r="AE29" s="244"/>
      <c r="AF29" s="1348">
        <v>21.9</v>
      </c>
      <c r="AG29" s="1001">
        <v>21.658251395163433</v>
      </c>
      <c r="AH29" s="1001">
        <v>23.09398392015526</v>
      </c>
      <c r="AI29" s="261">
        <v>21.354367064255481</v>
      </c>
      <c r="AJ29" s="1001">
        <v>22.750083640013386</v>
      </c>
      <c r="AK29" s="1001">
        <v>24.512428298279161</v>
      </c>
      <c r="AL29" s="1001">
        <v>20.765027322404372</v>
      </c>
      <c r="AM29" s="1001">
        <v>25.713501646542262</v>
      </c>
      <c r="AN29" s="1001">
        <v>25.843558282208591</v>
      </c>
      <c r="AO29" s="1001">
        <v>22.317288944931367</v>
      </c>
      <c r="AP29" s="1001">
        <v>22.438351489751433</v>
      </c>
      <c r="AQ29" s="1001">
        <v>23.114601568399635</v>
      </c>
      <c r="AR29" s="1001"/>
    </row>
    <row r="30" spans="2:44">
      <c r="B30" s="75" t="s">
        <v>417</v>
      </c>
      <c r="C30" s="165" t="s">
        <v>418</v>
      </c>
      <c r="D30" s="261"/>
      <c r="E30" s="261"/>
      <c r="F30" s="261"/>
      <c r="G30" s="261"/>
      <c r="H30" s="261"/>
      <c r="I30" s="261"/>
      <c r="J30" s="261"/>
      <c r="K30" s="261"/>
      <c r="L30" s="261"/>
      <c r="M30" s="261"/>
      <c r="N30" s="261"/>
      <c r="O30" s="261"/>
      <c r="P30" s="261"/>
      <c r="Q30" s="261"/>
      <c r="R30" s="261"/>
      <c r="S30" s="261"/>
      <c r="T30" s="261"/>
      <c r="U30" s="261"/>
      <c r="V30" s="261"/>
      <c r="W30" s="261"/>
      <c r="X30" s="244">
        <v>26.8</v>
      </c>
      <c r="Y30" s="244"/>
      <c r="Z30" s="244">
        <v>24.4</v>
      </c>
      <c r="AA30" s="244"/>
      <c r="AB30" s="1347">
        <v>24.5</v>
      </c>
      <c r="AC30" s="1347"/>
      <c r="AD30" s="1347">
        <v>22.4</v>
      </c>
      <c r="AE30" s="244"/>
      <c r="AF30" s="1348">
        <v>21.9</v>
      </c>
      <c r="AG30" s="1001">
        <v>21.669497694734289</v>
      </c>
      <c r="AH30" s="1001">
        <v>21.530120481927714</v>
      </c>
      <c r="AI30" s="261">
        <v>21.416105709299426</v>
      </c>
      <c r="AJ30" s="1001">
        <v>21.490083507306888</v>
      </c>
      <c r="AK30" s="1001">
        <v>22.114372588001405</v>
      </c>
      <c r="AL30" s="1001">
        <v>22.5236134657302</v>
      </c>
      <c r="AM30" s="1001">
        <v>21.787776708373439</v>
      </c>
      <c r="AN30" s="1001">
        <v>21.115827774408736</v>
      </c>
      <c r="AO30" s="1001">
        <v>20.848169193723304</v>
      </c>
      <c r="AP30" s="1001">
        <v>20.868206241572143</v>
      </c>
      <c r="AQ30" s="1001">
        <v>21.575312453699819</v>
      </c>
      <c r="AR30" s="1001"/>
    </row>
    <row r="31" spans="2:44">
      <c r="B31" s="75">
        <v>4</v>
      </c>
      <c r="C31" s="165" t="s">
        <v>419</v>
      </c>
      <c r="D31" s="261"/>
      <c r="E31" s="261"/>
      <c r="F31" s="261"/>
      <c r="G31" s="261"/>
      <c r="H31" s="261"/>
      <c r="I31" s="261"/>
      <c r="J31" s="261"/>
      <c r="K31" s="261"/>
      <c r="L31" s="261"/>
      <c r="M31" s="261"/>
      <c r="N31" s="261"/>
      <c r="O31" s="261"/>
      <c r="P31" s="261"/>
      <c r="Q31" s="261"/>
      <c r="R31" s="261"/>
      <c r="S31" s="261"/>
      <c r="T31" s="261"/>
      <c r="U31" s="261"/>
      <c r="V31" s="261"/>
      <c r="W31" s="261"/>
      <c r="X31" s="244"/>
      <c r="Y31" s="244"/>
      <c r="Z31" s="244"/>
      <c r="AA31" s="244"/>
      <c r="AB31" s="1347"/>
      <c r="AC31" s="1347"/>
      <c r="AD31" s="1347"/>
      <c r="AE31" s="244"/>
      <c r="AF31" s="1348"/>
      <c r="AG31" s="950"/>
      <c r="AK31" s="1022"/>
      <c r="AL31" s="1022"/>
      <c r="AM31" s="1022"/>
      <c r="AN31" s="1022"/>
      <c r="AO31" s="1022"/>
      <c r="AP31" s="1022"/>
      <c r="AQ31" s="1022"/>
    </row>
    <row r="32" spans="2:44">
      <c r="B32" s="75" t="s">
        <v>296</v>
      </c>
      <c r="C32" s="165" t="s">
        <v>420</v>
      </c>
      <c r="D32" s="261"/>
      <c r="E32" s="261"/>
      <c r="F32" s="261"/>
      <c r="G32" s="261"/>
      <c r="H32" s="261"/>
      <c r="I32" s="261"/>
      <c r="J32" s="261"/>
      <c r="K32" s="261"/>
      <c r="L32" s="261"/>
      <c r="M32" s="261"/>
      <c r="N32" s="261"/>
      <c r="O32" s="261"/>
      <c r="P32" s="261"/>
      <c r="Q32" s="261"/>
      <c r="R32" s="261"/>
      <c r="S32" s="261"/>
      <c r="T32" s="261"/>
      <c r="U32" s="261"/>
      <c r="V32" s="261"/>
      <c r="W32" s="261"/>
      <c r="X32" s="244"/>
      <c r="Y32" s="244"/>
      <c r="Z32" s="244"/>
      <c r="AA32" s="244"/>
      <c r="AB32" s="1347"/>
      <c r="AC32" s="1347"/>
      <c r="AD32" s="1347"/>
      <c r="AE32" s="244"/>
      <c r="AF32" s="1348"/>
      <c r="AG32" s="1001">
        <v>15.812699190978179</v>
      </c>
      <c r="AH32" s="1001">
        <v>15.407047387606321</v>
      </c>
      <c r="AI32" s="261">
        <v>14.573877962682804</v>
      </c>
      <c r="AJ32" s="1001">
        <v>15.11216056670602</v>
      </c>
      <c r="AK32" s="1001">
        <v>16.108671789242589</v>
      </c>
      <c r="AL32" s="1001">
        <v>15.224032586558046</v>
      </c>
      <c r="AM32" s="1001">
        <v>14.285714285714285</v>
      </c>
      <c r="AN32" s="1001">
        <v>13.813651137594798</v>
      </c>
      <c r="AO32" s="1001">
        <v>15.033084601944008</v>
      </c>
      <c r="AP32" s="1001">
        <v>14.790813913594242</v>
      </c>
      <c r="AQ32" s="1001">
        <v>14.92118648267898</v>
      </c>
      <c r="AR32" s="1001"/>
    </row>
    <row r="33" spans="2:44">
      <c r="B33" s="75" t="s">
        <v>298</v>
      </c>
      <c r="C33" s="165" t="s">
        <v>421</v>
      </c>
      <c r="D33" s="261"/>
      <c r="E33" s="261"/>
      <c r="F33" s="261"/>
      <c r="G33" s="261"/>
      <c r="H33" s="261"/>
      <c r="I33" s="261"/>
      <c r="J33" s="261"/>
      <c r="K33" s="261"/>
      <c r="L33" s="261"/>
      <c r="M33" s="261"/>
      <c r="N33" s="261"/>
      <c r="O33" s="261"/>
      <c r="P33" s="261"/>
      <c r="Q33" s="261"/>
      <c r="R33" s="261"/>
      <c r="S33" s="261"/>
      <c r="T33" s="261"/>
      <c r="U33" s="261"/>
      <c r="V33" s="261"/>
      <c r="W33" s="261"/>
      <c r="X33" s="244">
        <v>21.7</v>
      </c>
      <c r="Y33" s="244"/>
      <c r="Z33" s="244">
        <v>21.5</v>
      </c>
      <c r="AA33" s="244"/>
      <c r="AB33" s="1347">
        <v>21.6</v>
      </c>
      <c r="AC33" s="1347"/>
      <c r="AD33" s="1347">
        <v>19.7</v>
      </c>
      <c r="AE33" s="244"/>
      <c r="AF33" s="1348">
        <v>20.100000000000001</v>
      </c>
      <c r="AG33" s="1001">
        <v>20.014791531848015</v>
      </c>
      <c r="AH33" s="1001">
        <v>20.597121023636038</v>
      </c>
      <c r="AI33" s="261">
        <v>19.652270415240913</v>
      </c>
      <c r="AJ33" s="1001">
        <v>21.573333333333338</v>
      </c>
      <c r="AK33" s="1001">
        <v>21.408123098944358</v>
      </c>
      <c r="AL33" s="1001">
        <v>21.225561187545257</v>
      </c>
      <c r="AM33" s="1001">
        <v>21.307624547323091</v>
      </c>
      <c r="AN33" s="1001">
        <v>20.662122687439144</v>
      </c>
      <c r="AO33" s="1001">
        <v>20.56534049525667</v>
      </c>
      <c r="AP33" s="1001">
        <v>20.657951000071385</v>
      </c>
      <c r="AQ33" s="1001">
        <v>21.388222639001324</v>
      </c>
      <c r="AR33" s="1001"/>
    </row>
    <row r="34" spans="2:44">
      <c r="B34" s="75">
        <v>5</v>
      </c>
      <c r="C34" s="165" t="s">
        <v>422</v>
      </c>
      <c r="D34" s="261"/>
      <c r="E34" s="261"/>
      <c r="F34" s="261"/>
      <c r="G34" s="261"/>
      <c r="H34" s="261"/>
      <c r="I34" s="261"/>
      <c r="J34" s="261"/>
      <c r="K34" s="261"/>
      <c r="L34" s="261"/>
      <c r="M34" s="261"/>
      <c r="N34" s="261"/>
      <c r="O34" s="261"/>
      <c r="P34" s="261"/>
      <c r="Q34" s="261"/>
      <c r="R34" s="261"/>
      <c r="S34" s="261"/>
      <c r="T34" s="261"/>
      <c r="U34" s="261"/>
      <c r="V34" s="261"/>
      <c r="W34" s="261"/>
      <c r="X34" s="244"/>
      <c r="Y34" s="244"/>
      <c r="Z34" s="244"/>
      <c r="AA34" s="244"/>
      <c r="AB34" s="1347"/>
      <c r="AC34" s="1347"/>
      <c r="AD34" s="1347"/>
      <c r="AE34" s="244"/>
      <c r="AF34" s="1348"/>
      <c r="AG34" s="950"/>
      <c r="AK34" s="1022"/>
      <c r="AL34" s="1022"/>
      <c r="AM34" s="1022"/>
      <c r="AN34" s="1022"/>
    </row>
    <row r="35" spans="2:44">
      <c r="B35" s="75" t="s">
        <v>423</v>
      </c>
      <c r="C35" s="165" t="s">
        <v>424</v>
      </c>
      <c r="D35" s="261"/>
      <c r="E35" s="261"/>
      <c r="F35" s="261"/>
      <c r="G35" s="261"/>
      <c r="H35" s="261"/>
      <c r="I35" s="261"/>
      <c r="J35" s="261"/>
      <c r="K35" s="261"/>
      <c r="L35" s="261"/>
      <c r="M35" s="261"/>
      <c r="N35" s="261"/>
      <c r="O35" s="261"/>
      <c r="P35" s="261"/>
      <c r="Q35" s="261"/>
      <c r="R35" s="261"/>
      <c r="S35" s="261"/>
      <c r="T35" s="261"/>
      <c r="U35" s="261"/>
      <c r="V35" s="261"/>
      <c r="W35" s="261"/>
      <c r="X35" s="244">
        <v>19.399999999999999</v>
      </c>
      <c r="Y35" s="244"/>
      <c r="Z35" s="244">
        <v>19.899999999999999</v>
      </c>
      <c r="AA35" s="244"/>
      <c r="AB35" s="1347">
        <v>20</v>
      </c>
      <c r="AC35" s="1347"/>
      <c r="AD35" s="1347">
        <v>18.5</v>
      </c>
      <c r="AE35" s="244"/>
      <c r="AF35" s="1348">
        <v>19.100000000000001</v>
      </c>
      <c r="AG35" s="1001">
        <v>20.518477661334806</v>
      </c>
      <c r="AH35" s="1001">
        <v>21.212121212121207</v>
      </c>
      <c r="AI35" s="261">
        <v>19.669876203576344</v>
      </c>
      <c r="AJ35" s="1001">
        <v>24.412003244120033</v>
      </c>
      <c r="AK35" s="1001">
        <v>12.5</v>
      </c>
      <c r="AL35" s="1001">
        <v>21.021992238033633</v>
      </c>
      <c r="AM35" s="1001">
        <v>19.714964370546319</v>
      </c>
      <c r="AN35" s="1001">
        <v>18.802318094011593</v>
      </c>
      <c r="AO35" s="1001">
        <v>18.969787252838259</v>
      </c>
      <c r="AP35" s="1001">
        <v>18.887192995224527</v>
      </c>
      <c r="AQ35" s="1001">
        <v>19.535149950954956</v>
      </c>
      <c r="AR35" s="1001"/>
    </row>
    <row r="36" spans="2:44">
      <c r="B36" s="75">
        <v>6</v>
      </c>
      <c r="C36" s="165" t="s">
        <v>425</v>
      </c>
      <c r="D36" s="261"/>
      <c r="E36" s="261"/>
      <c r="F36" s="261"/>
      <c r="G36" s="261"/>
      <c r="H36" s="261"/>
      <c r="I36" s="261"/>
      <c r="J36" s="261"/>
      <c r="K36" s="261"/>
      <c r="L36" s="261"/>
      <c r="M36" s="261"/>
      <c r="N36" s="261"/>
      <c r="O36" s="261"/>
      <c r="P36" s="261"/>
      <c r="Q36" s="261"/>
      <c r="R36" s="261"/>
      <c r="S36" s="261"/>
      <c r="T36" s="261"/>
      <c r="U36" s="261"/>
      <c r="V36" s="261"/>
      <c r="W36" s="261"/>
      <c r="X36" s="244"/>
      <c r="Y36" s="244"/>
      <c r="Z36" s="244"/>
      <c r="AA36" s="244"/>
      <c r="AB36" s="1347"/>
      <c r="AC36" s="1347"/>
      <c r="AD36" s="1347"/>
      <c r="AE36" s="244"/>
      <c r="AF36" s="229"/>
      <c r="AG36" s="950"/>
      <c r="AK36" s="1022"/>
      <c r="AL36" s="1022"/>
      <c r="AM36" s="1022"/>
      <c r="AN36" s="1022"/>
    </row>
    <row r="37" spans="2:44">
      <c r="B37" s="75" t="s">
        <v>426</v>
      </c>
      <c r="C37" s="165" t="s">
        <v>427</v>
      </c>
      <c r="D37" s="261"/>
      <c r="E37" s="261"/>
      <c r="F37" s="261"/>
      <c r="G37" s="261"/>
      <c r="H37" s="261"/>
      <c r="I37" s="261"/>
      <c r="J37" s="261"/>
      <c r="K37" s="261"/>
      <c r="L37" s="261"/>
      <c r="M37" s="261"/>
      <c r="N37" s="261"/>
      <c r="O37" s="261"/>
      <c r="P37" s="261"/>
      <c r="Q37" s="261"/>
      <c r="R37" s="261"/>
      <c r="S37" s="261"/>
      <c r="T37" s="261"/>
      <c r="U37" s="261"/>
      <c r="V37" s="261"/>
      <c r="W37" s="261"/>
      <c r="X37" s="244">
        <v>20.5</v>
      </c>
      <c r="Y37" s="244"/>
      <c r="Z37" s="244">
        <v>20.5</v>
      </c>
      <c r="AA37" s="244"/>
      <c r="AB37" s="1347">
        <v>20.5</v>
      </c>
      <c r="AC37" s="1347"/>
      <c r="AD37" s="1347">
        <v>18.899999999999999</v>
      </c>
      <c r="AE37" s="244"/>
      <c r="AF37" s="1350">
        <v>18.399999999999999</v>
      </c>
      <c r="AG37" s="1001">
        <v>19.252848941821608</v>
      </c>
      <c r="AH37" s="1001">
        <v>18.91158722249903</v>
      </c>
      <c r="AI37" s="261">
        <v>19.530703406705776</v>
      </c>
      <c r="AJ37" s="1001">
        <v>20.519753642782032</v>
      </c>
      <c r="AK37" s="1001">
        <v>20.519753642782032</v>
      </c>
      <c r="AL37" s="1001">
        <v>20.829713292788878</v>
      </c>
      <c r="AM37" s="1001">
        <v>20.004215851602023</v>
      </c>
      <c r="AN37" s="1001">
        <v>19.437003618591099</v>
      </c>
      <c r="AO37" s="1001">
        <v>19.347773995139814</v>
      </c>
      <c r="AP37" s="1001">
        <v>19.232832853005334</v>
      </c>
      <c r="AQ37" s="1001">
        <v>20.104092306206155</v>
      </c>
      <c r="AR37" s="1001"/>
    </row>
    <row r="38" spans="2:44">
      <c r="B38" s="75" t="s">
        <v>428</v>
      </c>
      <c r="C38" s="165" t="s">
        <v>429</v>
      </c>
      <c r="D38" s="261"/>
      <c r="E38" s="261"/>
      <c r="F38" s="261"/>
      <c r="G38" s="261"/>
      <c r="H38" s="261"/>
      <c r="I38" s="261"/>
      <c r="J38" s="261"/>
      <c r="K38" s="261"/>
      <c r="L38" s="261"/>
      <c r="M38" s="261"/>
      <c r="N38" s="261"/>
      <c r="O38" s="261"/>
      <c r="P38" s="261"/>
      <c r="Q38" s="261"/>
      <c r="R38" s="261"/>
      <c r="S38" s="261"/>
      <c r="T38" s="261"/>
      <c r="U38" s="261"/>
      <c r="V38" s="261"/>
      <c r="W38" s="261"/>
      <c r="X38" s="244">
        <v>18.600000000000001</v>
      </c>
      <c r="Y38" s="244"/>
      <c r="Z38" s="244">
        <v>18.100000000000001</v>
      </c>
      <c r="AA38" s="244"/>
      <c r="AB38" s="1347">
        <v>18.2</v>
      </c>
      <c r="AC38" s="1347"/>
      <c r="AD38" s="1347">
        <v>17.8</v>
      </c>
      <c r="AE38" s="244"/>
      <c r="AF38" s="1350">
        <v>15.9</v>
      </c>
      <c r="AG38" s="1001">
        <v>14.745727386411003</v>
      </c>
      <c r="AH38" s="1001">
        <v>14.910105393676378</v>
      </c>
      <c r="AI38" s="261">
        <v>14.404524284763806</v>
      </c>
      <c r="AJ38" s="1001">
        <v>15.258855585831061</v>
      </c>
      <c r="AK38" s="1001">
        <v>15.258855585831061</v>
      </c>
      <c r="AL38" s="1001">
        <v>15.74908647990256</v>
      </c>
      <c r="AM38" s="1001">
        <v>15.035690781147165</v>
      </c>
      <c r="AN38" s="1001">
        <v>15.115005476451259</v>
      </c>
      <c r="AO38" s="1001">
        <v>14.757012497845629</v>
      </c>
      <c r="AP38" s="1001">
        <v>14.209123964803421</v>
      </c>
      <c r="AQ38" s="1001">
        <v>14.32891344040836</v>
      </c>
      <c r="AR38" s="1001"/>
    </row>
    <row r="39" spans="2:44">
      <c r="B39" s="172"/>
      <c r="C39" s="172"/>
      <c r="D39" s="172"/>
      <c r="E39" s="172"/>
      <c r="F39" s="172"/>
      <c r="G39" s="172"/>
      <c r="H39" s="172"/>
      <c r="I39" s="172"/>
      <c r="J39" s="172"/>
      <c r="K39" s="172"/>
      <c r="L39" s="172"/>
      <c r="M39" s="172"/>
      <c r="N39" s="172"/>
      <c r="O39" s="172"/>
      <c r="P39" s="172"/>
      <c r="Q39" s="172"/>
      <c r="R39" s="172"/>
      <c r="S39" s="172"/>
      <c r="T39" s="172"/>
      <c r="U39" s="172"/>
      <c r="V39" s="172"/>
      <c r="W39" s="172"/>
      <c r="X39" s="256"/>
      <c r="Y39" s="256"/>
      <c r="Z39" s="256"/>
      <c r="AA39" s="256"/>
      <c r="AB39" s="256"/>
      <c r="AC39" s="256"/>
      <c r="AD39" s="256"/>
      <c r="AE39" s="256"/>
      <c r="AF39" s="256"/>
      <c r="AG39" s="256"/>
      <c r="AH39" s="256"/>
      <c r="AI39" s="256"/>
      <c r="AJ39" s="256"/>
      <c r="AK39" s="256"/>
      <c r="AL39" s="256"/>
      <c r="AM39" s="256"/>
      <c r="AN39" s="256"/>
      <c r="AO39" s="256"/>
      <c r="AP39" s="256"/>
      <c r="AQ39" s="256"/>
    </row>
    <row r="40" spans="2:44">
      <c r="X40" s="166"/>
      <c r="Y40" s="166"/>
      <c r="Z40" s="166"/>
      <c r="AA40" s="166"/>
      <c r="AB40" s="166"/>
      <c r="AC40" s="166"/>
      <c r="AD40" s="166"/>
      <c r="AE40" s="166"/>
      <c r="AF40" s="166"/>
      <c r="AG40" s="950"/>
    </row>
    <row r="41" spans="2:44" ht="51.75" customHeight="1">
      <c r="B41" s="1963" t="s">
        <v>1781</v>
      </c>
      <c r="C41" s="1964"/>
      <c r="D41" s="1964"/>
      <c r="E41" s="1964"/>
      <c r="F41" s="1964"/>
      <c r="G41" s="1964"/>
      <c r="H41" s="1923"/>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5"/>
      <c r="AH41" s="1925"/>
      <c r="AI41" s="1925"/>
      <c r="AJ41" s="1925"/>
      <c r="AK41" s="1925"/>
      <c r="AL41" s="1925"/>
      <c r="AM41" s="1925"/>
      <c r="AN41" s="1925"/>
      <c r="AO41" s="1925"/>
      <c r="AP41" s="1925"/>
      <c r="AQ41" s="1925"/>
    </row>
    <row r="42" spans="2:44">
      <c r="B42" s="1352" t="s">
        <v>661</v>
      </c>
      <c r="C42" s="1353"/>
      <c r="D42" s="1354"/>
      <c r="E42" s="848"/>
      <c r="F42" s="1355"/>
      <c r="G42" s="848"/>
      <c r="O42" s="168"/>
      <c r="P42" s="168"/>
      <c r="Q42" s="168"/>
      <c r="R42" s="168"/>
      <c r="S42" s="168"/>
      <c r="T42" s="168"/>
      <c r="U42" s="168"/>
      <c r="V42" s="168"/>
      <c r="W42" s="168"/>
      <c r="X42" s="166"/>
      <c r="Y42" s="166"/>
      <c r="Z42" s="166"/>
      <c r="AA42" s="166"/>
      <c r="AB42" s="166"/>
      <c r="AC42" s="166"/>
      <c r="AD42" s="166"/>
      <c r="AE42" s="166"/>
      <c r="AF42" s="166"/>
      <c r="AG42" s="950"/>
    </row>
    <row r="43" spans="2:44">
      <c r="O43" s="168"/>
      <c r="P43" s="168"/>
      <c r="Q43" s="168"/>
      <c r="R43" s="168"/>
      <c r="S43" s="168"/>
      <c r="T43" s="168"/>
      <c r="U43" s="168"/>
      <c r="V43" s="168"/>
      <c r="W43" s="168"/>
      <c r="X43" s="166"/>
      <c r="Y43" s="166"/>
      <c r="Z43" s="166"/>
      <c r="AA43" s="166"/>
      <c r="AB43" s="166"/>
      <c r="AC43" s="166"/>
      <c r="AD43" s="166"/>
      <c r="AE43" s="166"/>
      <c r="AF43" s="166"/>
      <c r="AG43" s="950"/>
    </row>
    <row r="44" spans="2:44" hidden="1">
      <c r="O44" s="168"/>
      <c r="P44" s="168"/>
      <c r="Q44" s="168"/>
      <c r="R44" s="168"/>
      <c r="S44" s="168"/>
      <c r="T44" s="168"/>
      <c r="U44" s="168"/>
      <c r="V44" s="168"/>
      <c r="W44" s="168"/>
      <c r="X44" s="166"/>
      <c r="Y44" s="166"/>
      <c r="Z44" s="166"/>
      <c r="AA44" s="166"/>
      <c r="AB44" s="166"/>
      <c r="AC44" s="166"/>
      <c r="AD44" s="166"/>
      <c r="AE44" s="166"/>
      <c r="AF44" s="166"/>
      <c r="AG44" s="950"/>
    </row>
    <row r="45" spans="2:44" hidden="1">
      <c r="O45" s="168"/>
      <c r="P45" s="168"/>
      <c r="Q45" s="168"/>
      <c r="R45" s="168"/>
      <c r="S45" s="168"/>
      <c r="T45" s="168"/>
      <c r="U45" s="168"/>
      <c r="V45" s="168"/>
      <c r="W45" s="168"/>
      <c r="X45" s="166"/>
      <c r="Y45" s="166"/>
      <c r="Z45" s="166"/>
      <c r="AA45" s="166"/>
      <c r="AB45" s="166"/>
      <c r="AC45" s="166"/>
      <c r="AD45" s="166"/>
      <c r="AE45" s="166"/>
      <c r="AF45" s="166"/>
      <c r="AG45" s="950"/>
    </row>
    <row r="46" spans="2:44" hidden="1">
      <c r="O46" s="168"/>
      <c r="P46" s="168"/>
      <c r="Q46" s="168"/>
      <c r="R46" s="168"/>
      <c r="S46" s="168"/>
      <c r="T46" s="168"/>
      <c r="U46" s="168"/>
      <c r="V46" s="168"/>
      <c r="W46" s="168"/>
      <c r="X46" s="166"/>
      <c r="Y46" s="166"/>
      <c r="Z46" s="166"/>
      <c r="AA46" s="166"/>
      <c r="AB46" s="166"/>
      <c r="AC46" s="166"/>
      <c r="AD46" s="166"/>
      <c r="AE46" s="166"/>
      <c r="AF46" s="166"/>
      <c r="AG46" s="950"/>
    </row>
    <row r="47" spans="2:44" hidden="1">
      <c r="O47" s="168"/>
      <c r="P47" s="168"/>
      <c r="Q47" s="168"/>
      <c r="R47" s="168"/>
      <c r="S47" s="168"/>
      <c r="T47" s="168"/>
      <c r="U47" s="168"/>
      <c r="V47" s="168"/>
      <c r="W47" s="168"/>
      <c r="X47" s="166"/>
      <c r="Y47" s="166"/>
      <c r="Z47" s="166"/>
      <c r="AA47" s="166"/>
      <c r="AB47" s="166"/>
      <c r="AC47" s="166"/>
      <c r="AD47" s="166"/>
      <c r="AE47" s="166"/>
      <c r="AF47" s="166"/>
      <c r="AG47" s="950"/>
    </row>
    <row r="48" spans="2:44" ht="15" hidden="1">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66"/>
      <c r="AB48" s="166"/>
      <c r="AC48" s="166"/>
      <c r="AD48" s="166"/>
      <c r="AE48" s="166"/>
      <c r="AF48" s="166"/>
      <c r="AG48" s="950"/>
    </row>
    <row r="49" spans="2:43" ht="15" hidden="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66"/>
      <c r="AB49" s="166"/>
      <c r="AC49" s="166"/>
      <c r="AD49" s="166"/>
      <c r="AE49" s="166"/>
      <c r="AF49" s="166"/>
      <c r="AG49" s="950"/>
    </row>
    <row r="50" spans="2:43" ht="15" hidden="1">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166"/>
      <c r="AB50" s="166"/>
      <c r="AC50" s="166"/>
      <c r="AD50" s="166"/>
      <c r="AE50" s="166"/>
      <c r="AF50" s="166"/>
      <c r="AG50" s="950"/>
    </row>
    <row r="51" spans="2:43" ht="15" hidden="1">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166"/>
      <c r="AB51" s="166"/>
      <c r="AC51" s="166"/>
      <c r="AD51" s="166"/>
      <c r="AE51" s="166"/>
      <c r="AF51" s="166"/>
      <c r="AG51" s="950"/>
    </row>
    <row r="52" spans="2:43" ht="15" hidden="1">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166"/>
      <c r="AB52" s="166"/>
      <c r="AC52" s="166"/>
      <c r="AD52" s="166"/>
      <c r="AE52" s="166"/>
      <c r="AF52" s="166"/>
      <c r="AG52" s="950"/>
    </row>
    <row r="53" spans="2:43" ht="15" hidden="1">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166"/>
      <c r="AB53" s="166"/>
      <c r="AC53" s="166"/>
      <c r="AD53" s="166"/>
      <c r="AE53" s="166"/>
      <c r="AF53" s="166"/>
      <c r="AG53" s="950"/>
    </row>
    <row r="54" spans="2:43" ht="15" hidden="1">
      <c r="B54" s="266"/>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166"/>
      <c r="AB54" s="166"/>
      <c r="AC54" s="166"/>
      <c r="AD54" s="166"/>
      <c r="AE54" s="166"/>
      <c r="AF54" s="166"/>
      <c r="AG54" s="950"/>
    </row>
    <row r="55" spans="2:43" ht="15" hidden="1">
      <c r="B55" s="1920"/>
      <c r="C55" s="1921"/>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66"/>
      <c r="AB55" s="166"/>
      <c r="AC55" s="166"/>
      <c r="AD55" s="166"/>
      <c r="AE55" s="166"/>
      <c r="AF55" s="166"/>
      <c r="AG55" s="950"/>
    </row>
    <row r="56" spans="2:43" hidden="1">
      <c r="O56" s="168"/>
      <c r="P56" s="168"/>
      <c r="Q56" s="168"/>
      <c r="R56" s="168"/>
      <c r="S56" s="168"/>
      <c r="T56" s="168"/>
      <c r="U56" s="168"/>
      <c r="V56" s="168"/>
      <c r="W56" s="168"/>
      <c r="X56" s="166"/>
      <c r="Y56" s="166"/>
      <c r="Z56" s="166"/>
      <c r="AA56" s="166"/>
      <c r="AB56" s="166"/>
      <c r="AC56" s="166"/>
      <c r="AD56" s="166"/>
      <c r="AE56" s="166"/>
      <c r="AF56" s="166"/>
      <c r="AG56" s="950"/>
    </row>
    <row r="57" spans="2:43" hidden="1">
      <c r="O57" s="168"/>
      <c r="P57" s="168"/>
      <c r="Q57" s="168"/>
      <c r="R57" s="168"/>
      <c r="S57" s="168"/>
      <c r="T57" s="168"/>
      <c r="U57" s="168"/>
      <c r="V57" s="168"/>
      <c r="W57" s="168"/>
      <c r="X57" s="166"/>
      <c r="Y57" s="166"/>
      <c r="Z57" s="166"/>
      <c r="AA57" s="166"/>
      <c r="AB57" s="166"/>
      <c r="AC57" s="166"/>
      <c r="AD57" s="166"/>
      <c r="AE57" s="166"/>
      <c r="AF57" s="166"/>
      <c r="AG57" s="950"/>
    </row>
    <row r="58" spans="2:43" hidden="1">
      <c r="O58" s="168"/>
      <c r="P58" s="168"/>
      <c r="Q58" s="168"/>
      <c r="R58" s="168"/>
      <c r="S58" s="168"/>
      <c r="T58" s="168"/>
      <c r="U58" s="168"/>
      <c r="V58" s="168"/>
      <c r="W58" s="168"/>
      <c r="X58" s="166"/>
      <c r="Y58" s="166"/>
      <c r="Z58" s="166"/>
      <c r="AA58" s="166"/>
      <c r="AB58" s="166"/>
      <c r="AC58" s="166"/>
      <c r="AD58" s="166"/>
      <c r="AE58" s="166"/>
      <c r="AF58" s="166"/>
      <c r="AG58" s="950"/>
    </row>
    <row r="59" spans="2:43">
      <c r="O59" s="168"/>
      <c r="P59" s="168"/>
      <c r="Q59" s="168"/>
      <c r="R59" s="168"/>
      <c r="S59" s="168"/>
      <c r="T59" s="168"/>
      <c r="U59" s="168"/>
      <c r="V59" s="168"/>
      <c r="W59" s="168"/>
      <c r="X59" s="166"/>
      <c r="Y59" s="166"/>
      <c r="Z59" s="166"/>
      <c r="AA59" s="166"/>
      <c r="AB59" s="166"/>
      <c r="AC59" s="166"/>
      <c r="AD59" s="166"/>
      <c r="AE59" s="166"/>
      <c r="AF59" s="166"/>
      <c r="AG59" s="950"/>
    </row>
    <row r="60" spans="2:43"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950"/>
    </row>
    <row r="61" spans="2:43"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950"/>
      <c r="AJ61" s="547"/>
      <c r="AK61" s="547"/>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950"/>
      <c r="AJ62" s="547"/>
      <c r="AK62" s="547"/>
    </row>
    <row r="63" spans="2:43" ht="27" customHeight="1" outlineLevel="1">
      <c r="B63" s="165" t="s">
        <v>1782</v>
      </c>
      <c r="C63" s="165" t="s">
        <v>1782</v>
      </c>
      <c r="E63" s="167"/>
      <c r="F63" s="167"/>
      <c r="G63" s="167"/>
      <c r="H63" s="167"/>
      <c r="I63" s="167"/>
      <c r="J63" s="167"/>
      <c r="K63" s="167"/>
      <c r="L63" s="167"/>
      <c r="M63" s="167"/>
      <c r="N63" s="167"/>
      <c r="O63" s="197"/>
      <c r="P63" s="198"/>
      <c r="Q63" s="199"/>
      <c r="R63" s="198"/>
      <c r="S63" s="198"/>
      <c r="T63" s="198"/>
      <c r="U63" s="198"/>
      <c r="V63" s="198"/>
      <c r="W63" s="198"/>
      <c r="X63" s="1003">
        <v>2001</v>
      </c>
      <c r="Y63" s="1356"/>
      <c r="Z63" s="967">
        <v>2003</v>
      </c>
      <c r="AA63" s="1356"/>
      <c r="AB63" s="967">
        <v>2005</v>
      </c>
      <c r="AC63" s="1356"/>
      <c r="AD63" s="967">
        <v>2007</v>
      </c>
      <c r="AE63" s="1356"/>
      <c r="AF63" s="967">
        <v>2009</v>
      </c>
      <c r="AG63" s="967">
        <v>2010</v>
      </c>
      <c r="AH63" s="967">
        <v>2011</v>
      </c>
      <c r="AI63" s="967">
        <v>2012</v>
      </c>
      <c r="AJ63" s="967">
        <v>2013</v>
      </c>
      <c r="AK63" s="967">
        <v>2014</v>
      </c>
      <c r="AL63" s="967">
        <v>2015</v>
      </c>
      <c r="AM63" s="967">
        <v>2016</v>
      </c>
      <c r="AN63" s="967">
        <v>2017</v>
      </c>
      <c r="AO63" s="967">
        <v>2018</v>
      </c>
      <c r="AP63" s="967">
        <v>2019</v>
      </c>
      <c r="AQ63" s="967">
        <v>2020</v>
      </c>
    </row>
    <row r="64" spans="2:43" outlineLevel="1">
      <c r="B64" s="165" t="s">
        <v>1783</v>
      </c>
      <c r="E64" s="167"/>
      <c r="F64" s="167"/>
      <c r="G64" s="167"/>
      <c r="H64" s="167"/>
      <c r="I64" s="167"/>
      <c r="J64" s="167"/>
      <c r="K64" s="167"/>
      <c r="L64" s="167"/>
      <c r="M64" s="167"/>
      <c r="N64" s="167"/>
      <c r="O64" s="197"/>
      <c r="P64" s="198"/>
      <c r="Q64" s="199"/>
      <c r="R64" s="198"/>
      <c r="S64" s="198"/>
      <c r="T64" s="198"/>
      <c r="U64" s="198"/>
      <c r="V64" s="198"/>
      <c r="W64" s="198"/>
      <c r="X64" s="547"/>
      <c r="Y64" s="994"/>
      <c r="Z64" s="547"/>
      <c r="AA64" s="994"/>
      <c r="AB64" s="994"/>
      <c r="AC64" s="994"/>
      <c r="AD64" s="547"/>
      <c r="AE64" s="994"/>
      <c r="AF64" s="547"/>
      <c r="AJ64" s="547"/>
      <c r="AK64" s="547"/>
    </row>
    <row r="65" spans="2:43" outlineLevel="1">
      <c r="B65" s="204" t="s">
        <v>28</v>
      </c>
      <c r="C65" s="165" t="s">
        <v>29</v>
      </c>
      <c r="E65" s="167"/>
      <c r="F65" s="167"/>
      <c r="G65" s="167"/>
      <c r="H65" s="167"/>
      <c r="I65" s="167"/>
      <c r="J65" s="167"/>
      <c r="K65" s="167"/>
      <c r="L65" s="167"/>
      <c r="M65" s="167"/>
      <c r="N65" s="167"/>
      <c r="O65" s="197"/>
      <c r="P65" s="198"/>
      <c r="Q65" s="199"/>
      <c r="R65" s="198"/>
      <c r="S65" s="198"/>
      <c r="T65" s="198"/>
      <c r="U65" s="198"/>
      <c r="V65" s="198"/>
      <c r="W65" s="198"/>
      <c r="X65" s="1128">
        <v>68774</v>
      </c>
      <c r="Y65" s="1128">
        <v>71649</v>
      </c>
      <c r="Z65" s="1128">
        <v>75349</v>
      </c>
      <c r="AA65" s="1128">
        <v>78394</v>
      </c>
      <c r="AB65" s="1128">
        <v>81746</v>
      </c>
      <c r="AC65" s="1128">
        <v>86134</v>
      </c>
      <c r="AD65" s="1128">
        <v>90871</v>
      </c>
      <c r="AE65" s="1128">
        <v>95815</v>
      </c>
      <c r="AF65" s="1128">
        <v>94773</v>
      </c>
      <c r="AG65" s="1128">
        <v>99020</v>
      </c>
      <c r="AH65" s="1128">
        <v>105260</v>
      </c>
      <c r="AI65" s="1128">
        <v>108645</v>
      </c>
      <c r="AJ65" s="1128">
        <v>110708</v>
      </c>
      <c r="AK65" s="1128">
        <v>112803</v>
      </c>
      <c r="AL65" s="1128">
        <v>115144</v>
      </c>
      <c r="AM65" s="1128">
        <v>118181</v>
      </c>
      <c r="AN65" s="1128">
        <v>120301</v>
      </c>
      <c r="AO65" s="1128">
        <v>123937</v>
      </c>
      <c r="AP65" s="1128">
        <v>126081</v>
      </c>
      <c r="AQ65" s="1128">
        <v>121502</v>
      </c>
    </row>
    <row r="66" spans="2:43" ht="5.0999999999999996" customHeight="1" outlineLevel="1">
      <c r="B66" s="75"/>
      <c r="E66" s="167"/>
      <c r="F66" s="167"/>
      <c r="G66" s="167"/>
      <c r="H66" s="167"/>
      <c r="I66" s="167"/>
      <c r="J66" s="167"/>
      <c r="K66" s="167"/>
      <c r="L66" s="167"/>
      <c r="M66" s="167"/>
      <c r="N66" s="167"/>
      <c r="O66" s="197"/>
      <c r="P66" s="198"/>
      <c r="Q66" s="199"/>
      <c r="R66" s="198"/>
      <c r="S66" s="198"/>
      <c r="T66" s="198"/>
      <c r="U66" s="198"/>
      <c r="V66" s="198"/>
      <c r="W66" s="198"/>
      <c r="X66" s="1128"/>
      <c r="Y66" s="1128"/>
      <c r="Z66" s="1128"/>
      <c r="AA66" s="1128"/>
      <c r="AB66" s="1128"/>
      <c r="AC66" s="1128"/>
      <c r="AD66" s="1128"/>
      <c r="AE66" s="1128"/>
      <c r="AF66" s="1128"/>
      <c r="AG66" s="1128"/>
      <c r="AH66" s="1128"/>
      <c r="AI66" s="1128"/>
      <c r="AJ66" s="1128"/>
      <c r="AK66" s="1128"/>
      <c r="AL66" s="1128"/>
      <c r="AM66" s="1128"/>
      <c r="AN66" s="1128"/>
      <c r="AO66" s="1128"/>
      <c r="AP66" s="1128"/>
      <c r="AQ66" s="1128"/>
    </row>
    <row r="67" spans="2:43" outlineLevel="1">
      <c r="B67" s="204" t="s">
        <v>30</v>
      </c>
      <c r="C67" s="165" t="s">
        <v>31</v>
      </c>
      <c r="E67" s="167"/>
      <c r="F67" s="167"/>
      <c r="G67" s="167"/>
      <c r="H67" s="167"/>
      <c r="I67" s="167"/>
      <c r="J67" s="167"/>
      <c r="K67" s="167"/>
      <c r="L67" s="167"/>
      <c r="M67" s="167"/>
      <c r="N67" s="167"/>
      <c r="O67" s="197"/>
      <c r="P67" s="198"/>
      <c r="Q67" s="199"/>
      <c r="R67" s="198"/>
      <c r="S67" s="198"/>
      <c r="T67" s="198"/>
      <c r="U67" s="198"/>
      <c r="V67" s="198"/>
      <c r="W67" s="198"/>
      <c r="X67" s="1128">
        <v>79408</v>
      </c>
      <c r="Y67" s="1128">
        <v>83082</v>
      </c>
      <c r="Z67" s="1128">
        <v>87314</v>
      </c>
      <c r="AA67" s="1128">
        <v>91137</v>
      </c>
      <c r="AB67" s="1128">
        <v>95169</v>
      </c>
      <c r="AC67" s="1128">
        <v>100461</v>
      </c>
      <c r="AD67" s="1128">
        <v>106271</v>
      </c>
      <c r="AE67" s="1128">
        <v>112774</v>
      </c>
      <c r="AF67" s="1128">
        <v>112722</v>
      </c>
      <c r="AG67" s="1128">
        <v>117153</v>
      </c>
      <c r="AH67" s="1128">
        <v>124068</v>
      </c>
      <c r="AI67" s="1128">
        <v>128529</v>
      </c>
      <c r="AJ67" s="1128">
        <v>131714</v>
      </c>
      <c r="AK67" s="1128">
        <v>134333</v>
      </c>
      <c r="AL67" s="1128">
        <v>137587</v>
      </c>
      <c r="AM67" s="1128">
        <v>140907</v>
      </c>
      <c r="AN67" s="1128">
        <v>143800</v>
      </c>
      <c r="AO67" s="1128">
        <v>148487</v>
      </c>
      <c r="AP67" s="1128">
        <v>151788</v>
      </c>
      <c r="AQ67" s="1128">
        <v>148839</v>
      </c>
    </row>
    <row r="68" spans="2:43" ht="5.0999999999999996" customHeight="1" outlineLevel="1">
      <c r="B68" s="75"/>
      <c r="E68" s="167"/>
      <c r="F68" s="167"/>
      <c r="G68" s="167"/>
      <c r="H68" s="167"/>
      <c r="I68" s="167"/>
      <c r="J68" s="167"/>
      <c r="K68" s="167"/>
      <c r="L68" s="167"/>
      <c r="M68" s="167"/>
      <c r="N68" s="167"/>
      <c r="O68" s="197"/>
      <c r="P68" s="198"/>
      <c r="Q68" s="199"/>
      <c r="R68" s="198"/>
      <c r="S68" s="198"/>
      <c r="T68" s="198"/>
      <c r="U68" s="198"/>
      <c r="V68" s="198"/>
      <c r="W68" s="198"/>
      <c r="X68" s="1128"/>
      <c r="Y68" s="1128"/>
      <c r="Z68" s="1128"/>
      <c r="AA68" s="1128"/>
      <c r="AB68" s="1128"/>
      <c r="AC68" s="1128"/>
      <c r="AD68" s="1128"/>
      <c r="AE68" s="1128"/>
      <c r="AF68" s="1128"/>
      <c r="AG68" s="1128"/>
      <c r="AH68" s="1128"/>
      <c r="AI68" s="1128"/>
      <c r="AJ68" s="1128"/>
      <c r="AK68" s="1128"/>
      <c r="AL68" s="1128"/>
      <c r="AM68" s="1128"/>
      <c r="AN68" s="1128"/>
      <c r="AO68" s="1128"/>
      <c r="AP68" s="1128"/>
      <c r="AQ68" s="1128"/>
    </row>
    <row r="69" spans="2:43" outlineLevel="1">
      <c r="B69" s="204" t="s">
        <v>32</v>
      </c>
      <c r="C69" s="165" t="s">
        <v>33</v>
      </c>
      <c r="E69" s="167"/>
      <c r="F69" s="167"/>
      <c r="G69" s="167"/>
      <c r="H69" s="167"/>
      <c r="I69" s="167"/>
      <c r="J69" s="167"/>
      <c r="K69" s="167"/>
      <c r="L69" s="167"/>
      <c r="M69" s="167"/>
      <c r="N69" s="167"/>
      <c r="O69" s="197"/>
      <c r="P69" s="198"/>
      <c r="Q69" s="199"/>
      <c r="R69" s="198"/>
      <c r="S69" s="198"/>
      <c r="T69" s="198"/>
      <c r="U69" s="198"/>
      <c r="V69" s="198"/>
      <c r="W69" s="198"/>
      <c r="X69" s="1128">
        <f>SUM(X71:X72)</f>
        <v>16790</v>
      </c>
      <c r="Y69" s="1128">
        <f t="shared" ref="Y69:AQ69" si="10">SUM(Y71:Y72)</f>
        <v>17705</v>
      </c>
      <c r="Z69" s="1128">
        <f t="shared" si="10"/>
        <v>18689</v>
      </c>
      <c r="AA69" s="1128">
        <f t="shared" si="10"/>
        <v>18987</v>
      </c>
      <c r="AB69" s="1128">
        <f t="shared" si="10"/>
        <v>19713</v>
      </c>
      <c r="AC69" s="1128">
        <f t="shared" si="10"/>
        <v>20634</v>
      </c>
      <c r="AD69" s="1128">
        <f t="shared" si="10"/>
        <v>21220</v>
      </c>
      <c r="AE69" s="1128">
        <f t="shared" si="10"/>
        <v>21808</v>
      </c>
      <c r="AF69" s="1128">
        <f t="shared" si="10"/>
        <v>21064</v>
      </c>
      <c r="AG69" s="1128">
        <f t="shared" si="10"/>
        <v>21819</v>
      </c>
      <c r="AH69" s="1128">
        <f t="shared" si="10"/>
        <v>24634</v>
      </c>
      <c r="AI69" s="1128">
        <f t="shared" si="10"/>
        <v>25501</v>
      </c>
      <c r="AJ69" s="1128">
        <f t="shared" si="10"/>
        <v>26399</v>
      </c>
      <c r="AK69" s="1128">
        <f t="shared" si="10"/>
        <v>26379</v>
      </c>
      <c r="AL69" s="1128">
        <f t="shared" si="10"/>
        <v>26652</v>
      </c>
      <c r="AM69" s="1128">
        <f t="shared" si="10"/>
        <v>27889</v>
      </c>
      <c r="AN69" s="1128">
        <f t="shared" si="10"/>
        <v>28406</v>
      </c>
      <c r="AO69" s="1128">
        <f t="shared" si="10"/>
        <v>29687</v>
      </c>
      <c r="AP69" s="1128">
        <f t="shared" si="10"/>
        <v>30092</v>
      </c>
      <c r="AQ69" s="1128">
        <f t="shared" si="10"/>
        <v>30019</v>
      </c>
    </row>
    <row r="70" spans="2:43" ht="5.0999999999999996" customHeight="1" outlineLevel="1">
      <c r="B70" s="75"/>
      <c r="E70" s="167"/>
      <c r="F70" s="167"/>
      <c r="G70" s="167"/>
      <c r="H70" s="167"/>
      <c r="I70" s="167"/>
      <c r="J70" s="167"/>
      <c r="K70" s="167"/>
      <c r="L70" s="167"/>
      <c r="M70" s="167"/>
      <c r="N70" s="167"/>
      <c r="O70" s="197"/>
      <c r="P70" s="198"/>
      <c r="Q70" s="199"/>
      <c r="R70" s="198"/>
      <c r="S70" s="198"/>
      <c r="T70" s="198"/>
      <c r="U70" s="198"/>
      <c r="V70" s="198"/>
      <c r="W70" s="198"/>
      <c r="X70" s="1128"/>
      <c r="Y70" s="1128"/>
      <c r="Z70" s="1128"/>
      <c r="AA70" s="1128"/>
      <c r="AB70" s="1128"/>
      <c r="AC70" s="1128"/>
      <c r="AD70" s="1128"/>
      <c r="AE70" s="1128"/>
      <c r="AF70" s="1128"/>
      <c r="AG70" s="1128"/>
      <c r="AH70" s="1128"/>
      <c r="AI70" s="1128"/>
      <c r="AJ70" s="1128"/>
      <c r="AK70" s="1128"/>
      <c r="AL70" s="1128"/>
      <c r="AM70" s="1128"/>
      <c r="AN70" s="1128"/>
      <c r="AO70" s="1128"/>
      <c r="AP70" s="1128"/>
      <c r="AQ70" s="1128"/>
    </row>
    <row r="71" spans="2:43" outlineLevel="1">
      <c r="B71" s="75"/>
      <c r="C71" s="165" t="s">
        <v>34</v>
      </c>
      <c r="E71" s="167"/>
      <c r="F71" s="167"/>
      <c r="G71" s="167"/>
      <c r="H71" s="167"/>
      <c r="I71" s="167"/>
      <c r="J71" s="167"/>
      <c r="K71" s="167"/>
      <c r="L71" s="167"/>
      <c r="M71" s="167"/>
      <c r="N71" s="167"/>
      <c r="O71" s="197"/>
      <c r="P71" s="198"/>
      <c r="Q71" s="199"/>
      <c r="R71" s="198"/>
      <c r="S71" s="198"/>
      <c r="T71" s="198"/>
      <c r="U71" s="198"/>
      <c r="V71" s="198"/>
      <c r="W71" s="198"/>
      <c r="X71" s="1128">
        <v>11118</v>
      </c>
      <c r="Y71" s="1128">
        <v>11731</v>
      </c>
      <c r="Z71" s="1128">
        <v>12487</v>
      </c>
      <c r="AA71" s="1128">
        <v>13010</v>
      </c>
      <c r="AB71" s="1128">
        <v>13748</v>
      </c>
      <c r="AC71" s="1128">
        <v>14537</v>
      </c>
      <c r="AD71" s="1128">
        <v>15207</v>
      </c>
      <c r="AE71" s="1128">
        <v>15658</v>
      </c>
      <c r="AF71" s="1128">
        <v>15176</v>
      </c>
      <c r="AG71" s="1128">
        <v>15533</v>
      </c>
      <c r="AH71" s="1128">
        <v>17315</v>
      </c>
      <c r="AI71" s="1128">
        <v>17987</v>
      </c>
      <c r="AJ71" s="1128">
        <v>18888</v>
      </c>
      <c r="AK71" s="1128">
        <v>18948</v>
      </c>
      <c r="AL71" s="1128">
        <v>18974</v>
      </c>
      <c r="AM71" s="1128">
        <v>19694</v>
      </c>
      <c r="AN71" s="1128">
        <v>20404</v>
      </c>
      <c r="AO71" s="1128">
        <v>21364</v>
      </c>
      <c r="AP71" s="1128">
        <v>21974</v>
      </c>
      <c r="AQ71" s="1128">
        <v>22013</v>
      </c>
    </row>
    <row r="72" spans="2:43" outlineLevel="1">
      <c r="B72" s="75"/>
      <c r="C72" s="165" t="s">
        <v>35</v>
      </c>
      <c r="E72" s="167"/>
      <c r="F72" s="167"/>
      <c r="G72" s="167"/>
      <c r="H72" s="167"/>
      <c r="I72" s="167"/>
      <c r="J72" s="167"/>
      <c r="K72" s="167"/>
      <c r="L72" s="167"/>
      <c r="M72" s="167"/>
      <c r="N72" s="167"/>
      <c r="O72" s="197"/>
      <c r="P72" s="198"/>
      <c r="Q72" s="199"/>
      <c r="R72" s="198"/>
      <c r="S72" s="198"/>
      <c r="T72" s="198"/>
      <c r="U72" s="198"/>
      <c r="V72" s="198"/>
      <c r="W72" s="198"/>
      <c r="X72" s="1128">
        <v>5672</v>
      </c>
      <c r="Y72" s="1128">
        <v>5974</v>
      </c>
      <c r="Z72" s="1128">
        <v>6202</v>
      </c>
      <c r="AA72" s="1128">
        <v>5977</v>
      </c>
      <c r="AB72" s="1128">
        <v>5965</v>
      </c>
      <c r="AC72" s="1128">
        <v>6097</v>
      </c>
      <c r="AD72" s="1128">
        <v>6013</v>
      </c>
      <c r="AE72" s="1128">
        <v>6150</v>
      </c>
      <c r="AF72" s="1128">
        <v>5888</v>
      </c>
      <c r="AG72" s="1128">
        <v>6286</v>
      </c>
      <c r="AH72" s="1128">
        <v>7319</v>
      </c>
      <c r="AI72" s="1128">
        <v>7514</v>
      </c>
      <c r="AJ72" s="1128">
        <v>7511</v>
      </c>
      <c r="AK72" s="1128">
        <v>7431</v>
      </c>
      <c r="AL72" s="1128">
        <v>7678</v>
      </c>
      <c r="AM72" s="1128">
        <v>8195</v>
      </c>
      <c r="AN72" s="1128">
        <v>8002.0000000000009</v>
      </c>
      <c r="AO72" s="1128">
        <v>8323</v>
      </c>
      <c r="AP72" s="1128">
        <v>8118</v>
      </c>
      <c r="AQ72" s="1128">
        <v>8006</v>
      </c>
    </row>
    <row r="73" spans="2:43" ht="5.0999999999999996" customHeight="1" outlineLevel="1">
      <c r="B73" s="75"/>
      <c r="E73" s="167"/>
      <c r="F73" s="167"/>
      <c r="G73" s="167"/>
      <c r="H73" s="167"/>
      <c r="I73" s="167"/>
      <c r="J73" s="167"/>
      <c r="K73" s="167"/>
      <c r="L73" s="167"/>
      <c r="M73" s="167"/>
      <c r="N73" s="167"/>
      <c r="O73" s="197"/>
      <c r="P73" s="198"/>
      <c r="Q73" s="199"/>
      <c r="R73" s="198"/>
      <c r="S73" s="198"/>
      <c r="T73" s="198"/>
      <c r="U73" s="198"/>
      <c r="V73" s="198"/>
      <c r="W73" s="198"/>
      <c r="X73" s="1128"/>
      <c r="Y73" s="1128"/>
      <c r="Z73" s="1128"/>
      <c r="AA73" s="1128"/>
      <c r="AB73" s="1128"/>
      <c r="AC73" s="1128"/>
      <c r="AD73" s="1128"/>
      <c r="AE73" s="1128"/>
      <c r="AF73" s="1128"/>
      <c r="AG73" s="1128"/>
      <c r="AH73" s="1128"/>
      <c r="AI73" s="1128"/>
      <c r="AJ73" s="1128"/>
      <c r="AK73" s="1128"/>
      <c r="AL73" s="1128"/>
      <c r="AM73" s="1128"/>
      <c r="AN73" s="1128"/>
      <c r="AO73" s="1128"/>
      <c r="AP73" s="1128"/>
      <c r="AQ73" s="1128"/>
    </row>
    <row r="74" spans="2:43" outlineLevel="1">
      <c r="B74" s="204" t="s">
        <v>36</v>
      </c>
      <c r="C74" s="165" t="s">
        <v>37</v>
      </c>
      <c r="E74" s="167"/>
      <c r="F74" s="167"/>
      <c r="G74" s="167"/>
      <c r="H74" s="167"/>
      <c r="I74" s="167"/>
      <c r="J74" s="167"/>
      <c r="K74" s="167"/>
      <c r="L74" s="167"/>
      <c r="M74" s="167"/>
      <c r="N74" s="167"/>
      <c r="O74" s="197"/>
      <c r="P74" s="198"/>
      <c r="Q74" s="199"/>
      <c r="R74" s="198"/>
      <c r="S74" s="198"/>
      <c r="T74" s="198"/>
      <c r="U74" s="198"/>
      <c r="V74" s="198"/>
      <c r="W74" s="198"/>
      <c r="X74" s="1128">
        <v>18124</v>
      </c>
      <c r="Y74" s="1128">
        <v>19068</v>
      </c>
      <c r="Z74" s="1128">
        <v>20144</v>
      </c>
      <c r="AA74" s="1128">
        <v>20523</v>
      </c>
      <c r="AB74" s="1128">
        <v>21336</v>
      </c>
      <c r="AC74" s="1128">
        <v>22306</v>
      </c>
      <c r="AD74" s="1128">
        <v>22953</v>
      </c>
      <c r="AE74" s="1128">
        <v>23598</v>
      </c>
      <c r="AF74" s="1128">
        <v>22852</v>
      </c>
      <c r="AG74" s="1128">
        <v>23642</v>
      </c>
      <c r="AH74" s="1128">
        <v>26597</v>
      </c>
      <c r="AI74" s="1128">
        <v>27539</v>
      </c>
      <c r="AJ74" s="1128">
        <v>28662</v>
      </c>
      <c r="AK74" s="1128">
        <v>28692</v>
      </c>
      <c r="AL74" s="1128">
        <v>28836</v>
      </c>
      <c r="AM74" s="1128">
        <v>30142</v>
      </c>
      <c r="AN74" s="1128">
        <v>30751</v>
      </c>
      <c r="AO74" s="1128">
        <v>32040</v>
      </c>
      <c r="AP74" s="1128">
        <v>32671</v>
      </c>
      <c r="AQ74" s="1128">
        <v>32238.999999999996</v>
      </c>
    </row>
    <row r="75" spans="2:43" ht="5.0999999999999996" customHeight="1" outlineLevel="1">
      <c r="B75" s="75"/>
      <c r="E75" s="167"/>
      <c r="F75" s="167"/>
      <c r="G75" s="167"/>
      <c r="H75" s="167"/>
      <c r="I75" s="167"/>
      <c r="J75" s="167"/>
      <c r="K75" s="167"/>
      <c r="L75" s="167"/>
      <c r="M75" s="167"/>
      <c r="N75" s="167"/>
      <c r="O75" s="197"/>
      <c r="P75" s="198"/>
      <c r="Q75" s="199"/>
      <c r="R75" s="198"/>
      <c r="S75" s="198"/>
      <c r="T75" s="198"/>
      <c r="U75" s="198"/>
      <c r="V75" s="198"/>
      <c r="W75" s="198"/>
      <c r="X75" s="1128"/>
      <c r="Y75" s="1128"/>
      <c r="Z75" s="1128"/>
      <c r="AA75" s="1128"/>
      <c r="AB75" s="1128"/>
      <c r="AC75" s="1128"/>
      <c r="AD75" s="1128"/>
      <c r="AE75" s="1128"/>
      <c r="AF75" s="1128"/>
      <c r="AG75" s="1128"/>
      <c r="AH75" s="1128"/>
      <c r="AI75" s="1128"/>
      <c r="AJ75" s="1128"/>
      <c r="AK75" s="1128"/>
      <c r="AL75" s="1128"/>
      <c r="AM75" s="1128"/>
      <c r="AN75" s="1128"/>
      <c r="AO75" s="1128"/>
      <c r="AP75" s="1128"/>
      <c r="AQ75" s="1128"/>
    </row>
    <row r="76" spans="2:43" outlineLevel="1">
      <c r="B76" s="204" t="s">
        <v>38</v>
      </c>
      <c r="C76" s="165" t="s">
        <v>39</v>
      </c>
      <c r="E76" s="167"/>
      <c r="F76" s="167"/>
      <c r="G76" s="167"/>
      <c r="H76" s="167"/>
      <c r="I76" s="167"/>
      <c r="J76" s="167"/>
      <c r="K76" s="167"/>
      <c r="L76" s="167"/>
      <c r="M76" s="167"/>
      <c r="N76" s="167"/>
      <c r="O76" s="197"/>
      <c r="P76" s="198"/>
      <c r="Q76" s="199"/>
      <c r="R76" s="198"/>
      <c r="S76" s="198"/>
      <c r="T76" s="198"/>
      <c r="U76" s="198"/>
      <c r="V76" s="198"/>
      <c r="W76" s="198"/>
      <c r="X76" s="1128">
        <v>18604</v>
      </c>
      <c r="Y76" s="1128">
        <v>19568</v>
      </c>
      <c r="Z76" s="1128">
        <v>20671</v>
      </c>
      <c r="AA76" s="1128">
        <v>21223</v>
      </c>
      <c r="AB76" s="1128">
        <v>21930</v>
      </c>
      <c r="AC76" s="1128">
        <v>22937</v>
      </c>
      <c r="AD76" s="1128">
        <v>23624</v>
      </c>
      <c r="AE76" s="1128">
        <v>24303</v>
      </c>
      <c r="AF76" s="1128">
        <v>23571</v>
      </c>
      <c r="AG76" s="1128">
        <v>24407</v>
      </c>
      <c r="AH76" s="1128">
        <v>27430</v>
      </c>
      <c r="AI76" s="1128">
        <v>28370</v>
      </c>
      <c r="AJ76" s="1128">
        <v>29596</v>
      </c>
      <c r="AK76" s="1128">
        <v>29742</v>
      </c>
      <c r="AL76" s="1128">
        <v>29895</v>
      </c>
      <c r="AM76" s="1128">
        <v>31386</v>
      </c>
      <c r="AN76" s="1128">
        <v>32061</v>
      </c>
      <c r="AO76" s="1128">
        <v>33413</v>
      </c>
      <c r="AP76" s="1128">
        <v>34150</v>
      </c>
      <c r="AQ76" s="1128">
        <v>33695</v>
      </c>
    </row>
    <row r="77" spans="2:43" outlineLevel="1">
      <c r="B77" s="204"/>
      <c r="E77" s="167"/>
      <c r="F77" s="167"/>
      <c r="G77" s="167"/>
      <c r="H77" s="167"/>
      <c r="I77" s="167"/>
      <c r="J77" s="167"/>
      <c r="K77" s="167"/>
      <c r="L77" s="167"/>
      <c r="M77" s="167"/>
      <c r="N77" s="167"/>
      <c r="O77" s="197"/>
      <c r="P77" s="198"/>
      <c r="Q77" s="199"/>
      <c r="R77" s="198"/>
      <c r="S77" s="198"/>
      <c r="T77" s="198"/>
      <c r="U77" s="198"/>
      <c r="V77" s="198"/>
      <c r="W77" s="198"/>
      <c r="X77" s="1128"/>
      <c r="Y77" s="1128"/>
      <c r="Z77" s="1128"/>
      <c r="AA77" s="1128"/>
      <c r="AB77" s="1128"/>
      <c r="AC77" s="1128"/>
      <c r="AD77" s="1128"/>
      <c r="AE77" s="1128"/>
      <c r="AF77" s="1128"/>
      <c r="AG77" s="1128"/>
      <c r="AH77" s="1128"/>
      <c r="AI77" s="1128"/>
      <c r="AJ77" s="1128"/>
      <c r="AK77" s="1128"/>
      <c r="AL77" s="1128"/>
      <c r="AM77" s="1128"/>
      <c r="AN77" s="1128"/>
      <c r="AO77" s="1128"/>
      <c r="AP77" s="1128"/>
      <c r="AQ77" s="1128"/>
    </row>
    <row r="78" spans="2:43" outlineLevel="1">
      <c r="B78" s="165" t="s">
        <v>40</v>
      </c>
      <c r="E78" s="167"/>
      <c r="F78" s="167"/>
      <c r="G78" s="167"/>
      <c r="H78" s="167"/>
      <c r="I78" s="167"/>
      <c r="J78" s="167"/>
      <c r="K78" s="167"/>
      <c r="L78" s="167"/>
      <c r="M78" s="167"/>
      <c r="N78" s="167"/>
      <c r="O78" s="197"/>
      <c r="P78" s="198"/>
      <c r="Q78" s="199"/>
      <c r="R78" s="198"/>
      <c r="S78" s="198"/>
      <c r="T78" s="198"/>
      <c r="U78" s="198"/>
      <c r="V78" s="198"/>
      <c r="W78" s="198"/>
      <c r="X78" s="1128"/>
      <c r="Y78" s="1128"/>
      <c r="Z78" s="1128"/>
      <c r="AA78" s="1128"/>
      <c r="AB78" s="1128"/>
      <c r="AC78" s="1128"/>
      <c r="AD78" s="1128"/>
      <c r="AE78" s="1128"/>
      <c r="AF78" s="1128"/>
      <c r="AG78" s="1128"/>
      <c r="AH78" s="1128"/>
      <c r="AI78" s="1128"/>
      <c r="AJ78" s="1128"/>
      <c r="AK78" s="1128"/>
      <c r="AL78" s="1128"/>
      <c r="AM78" s="1128"/>
      <c r="AN78" s="1128"/>
      <c r="AO78" s="1128"/>
      <c r="AP78" s="1128"/>
      <c r="AQ78" s="1128"/>
    </row>
    <row r="79" spans="2:43" ht="6" customHeight="1" outlineLevel="1">
      <c r="B79" s="75"/>
      <c r="E79" s="167"/>
      <c r="F79" s="167"/>
      <c r="G79" s="167"/>
      <c r="H79" s="167"/>
      <c r="I79" s="167"/>
      <c r="J79" s="167"/>
      <c r="K79" s="167"/>
      <c r="L79" s="167"/>
      <c r="M79" s="167"/>
      <c r="N79" s="167"/>
      <c r="O79" s="197"/>
      <c r="P79" s="198"/>
      <c r="Q79" s="199"/>
      <c r="R79" s="198"/>
      <c r="S79" s="198"/>
      <c r="T79" s="198"/>
      <c r="U79" s="198"/>
      <c r="V79" s="198"/>
      <c r="W79" s="198"/>
      <c r="X79" s="1128"/>
      <c r="Y79" s="1128"/>
      <c r="Z79" s="1128"/>
      <c r="AA79" s="1128"/>
      <c r="AB79" s="1128"/>
      <c r="AC79" s="1128"/>
      <c r="AD79" s="1128"/>
      <c r="AE79" s="1128"/>
      <c r="AF79" s="1128"/>
      <c r="AG79" s="1128"/>
      <c r="AH79" s="1128"/>
      <c r="AI79" s="1128"/>
      <c r="AJ79" s="1128"/>
      <c r="AK79" s="1128"/>
      <c r="AL79" s="1128"/>
      <c r="AM79" s="1128"/>
      <c r="AN79" s="1128"/>
      <c r="AO79" s="1128"/>
      <c r="AP79" s="1128"/>
      <c r="AQ79" s="1128"/>
    </row>
    <row r="80" spans="2:43" outlineLevel="1">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1129">
        <f>X69/X67</f>
        <v>0.21143965343542212</v>
      </c>
      <c r="Y80" s="1129">
        <f t="shared" ref="Y80:AQ80" si="11">Y69/Y67</f>
        <v>0.21310271779687537</v>
      </c>
      <c r="Z80" s="1129">
        <f t="shared" si="11"/>
        <v>0.21404356689648854</v>
      </c>
      <c r="AA80" s="1129">
        <f t="shared" si="11"/>
        <v>0.20833470489482867</v>
      </c>
      <c r="AB80" s="1129">
        <f t="shared" si="11"/>
        <v>0.20713677773224473</v>
      </c>
      <c r="AC80" s="1129">
        <f t="shared" si="11"/>
        <v>0.20539313763550035</v>
      </c>
      <c r="AD80" s="1129">
        <f t="shared" si="11"/>
        <v>0.19967818125358752</v>
      </c>
      <c r="AE80" s="1129">
        <f t="shared" si="11"/>
        <v>0.19337790625498785</v>
      </c>
      <c r="AF80" s="1129">
        <f t="shared" si="11"/>
        <v>0.1868668050602367</v>
      </c>
      <c r="AG80" s="1129">
        <f t="shared" si="11"/>
        <v>0.18624363012470871</v>
      </c>
      <c r="AH80" s="1129">
        <f t="shared" si="11"/>
        <v>0.19855240674468841</v>
      </c>
      <c r="AI80" s="1129">
        <f t="shared" si="11"/>
        <v>0.19840658528425492</v>
      </c>
      <c r="AJ80" s="1129">
        <f t="shared" si="11"/>
        <v>0.20042668205354025</v>
      </c>
      <c r="AK80" s="1129">
        <f t="shared" si="11"/>
        <v>0.19637021431814966</v>
      </c>
      <c r="AL80" s="1129">
        <f t="shared" si="11"/>
        <v>0.19371016157049722</v>
      </c>
      <c r="AM80" s="1129">
        <f t="shared" si="11"/>
        <v>0.19792487243359094</v>
      </c>
      <c r="AN80" s="1129">
        <f t="shared" si="11"/>
        <v>0.19753824756606397</v>
      </c>
      <c r="AO80" s="1129">
        <f t="shared" si="11"/>
        <v>0.1999299601985359</v>
      </c>
      <c r="AP80" s="1129">
        <f t="shared" si="11"/>
        <v>0.19825019105594646</v>
      </c>
      <c r="AQ80" s="1129">
        <f t="shared" si="11"/>
        <v>0.2016877296945021</v>
      </c>
    </row>
    <row r="81" spans="2:43" ht="5.0999999999999996" customHeight="1" outlineLevel="1">
      <c r="B81" s="75"/>
      <c r="E81" s="167"/>
      <c r="F81" s="167"/>
      <c r="G81" s="167"/>
      <c r="H81" s="167"/>
      <c r="I81" s="167"/>
      <c r="J81" s="167"/>
      <c r="K81" s="167"/>
      <c r="L81" s="167"/>
      <c r="M81" s="167"/>
      <c r="N81" s="167"/>
      <c r="O81" s="197"/>
      <c r="P81" s="198"/>
      <c r="Q81" s="199"/>
      <c r="R81" s="198"/>
      <c r="S81" s="198"/>
      <c r="T81" s="198"/>
      <c r="U81" s="198"/>
      <c r="V81" s="198"/>
      <c r="W81" s="198"/>
      <c r="X81" s="1128"/>
      <c r="Y81" s="1128"/>
      <c r="Z81" s="1128"/>
      <c r="AA81" s="1128"/>
      <c r="AB81" s="1128"/>
      <c r="AC81" s="1128"/>
      <c r="AD81" s="1128"/>
      <c r="AE81" s="1128"/>
      <c r="AF81" s="1128"/>
      <c r="AG81" s="1128"/>
      <c r="AH81" s="1128"/>
      <c r="AI81" s="1128"/>
      <c r="AJ81" s="1128"/>
      <c r="AK81" s="1128"/>
      <c r="AL81" s="1128"/>
      <c r="AM81" s="1128"/>
      <c r="AN81" s="1128"/>
      <c r="AO81" s="1128"/>
      <c r="AP81" s="1128"/>
      <c r="AQ81" s="1128"/>
    </row>
    <row r="82" spans="2:43" outlineLevel="1">
      <c r="B82" s="204" t="s">
        <v>43</v>
      </c>
      <c r="C82" s="165" t="s">
        <v>44</v>
      </c>
      <c r="E82" s="167"/>
      <c r="F82" s="167"/>
      <c r="G82" s="167"/>
      <c r="H82" s="167"/>
      <c r="I82" s="167"/>
      <c r="J82" s="167"/>
      <c r="K82" s="167"/>
      <c r="L82" s="167"/>
      <c r="M82" s="167"/>
      <c r="N82" s="167"/>
      <c r="O82" s="197"/>
      <c r="P82" s="198"/>
      <c r="Q82" s="199"/>
      <c r="R82" s="198"/>
      <c r="S82" s="198"/>
      <c r="T82" s="198"/>
      <c r="U82" s="198"/>
      <c r="V82" s="198"/>
      <c r="W82" s="198"/>
      <c r="X82" s="1130">
        <f>X76/X67</f>
        <v>0.2342836993753778</v>
      </c>
      <c r="Y82" s="1130">
        <f t="shared" ref="Y82:AQ82" si="12">Y76/Y67</f>
        <v>0.23552634746395126</v>
      </c>
      <c r="Z82" s="1130">
        <f t="shared" si="12"/>
        <v>0.23674324850539433</v>
      </c>
      <c r="AA82" s="1130">
        <f t="shared" si="12"/>
        <v>0.23286919692331326</v>
      </c>
      <c r="AB82" s="1130">
        <f t="shared" si="12"/>
        <v>0.2304321785455348</v>
      </c>
      <c r="AC82" s="1130">
        <f t="shared" si="12"/>
        <v>0.22831745652541782</v>
      </c>
      <c r="AD82" s="1130">
        <f t="shared" si="12"/>
        <v>0.22229959255111931</v>
      </c>
      <c r="AE82" s="1130">
        <f t="shared" si="12"/>
        <v>0.21550180006029759</v>
      </c>
      <c r="AF82" s="1130">
        <f t="shared" si="12"/>
        <v>0.20910736147335923</v>
      </c>
      <c r="AG82" s="1130">
        <f t="shared" si="12"/>
        <v>0.20833440031411915</v>
      </c>
      <c r="AH82" s="1130">
        <f t="shared" si="12"/>
        <v>0.22108843537414966</v>
      </c>
      <c r="AI82" s="1130">
        <f t="shared" si="12"/>
        <v>0.22072839592621121</v>
      </c>
      <c r="AJ82" s="1130">
        <f t="shared" si="12"/>
        <v>0.22469896897824074</v>
      </c>
      <c r="AK82" s="1130">
        <f t="shared" si="12"/>
        <v>0.22140501589333969</v>
      </c>
      <c r="AL82" s="1130">
        <f t="shared" si="12"/>
        <v>0.21728070239194111</v>
      </c>
      <c r="AM82" s="1130">
        <f t="shared" si="12"/>
        <v>0.22274266005237497</v>
      </c>
      <c r="AN82" s="1130">
        <f t="shared" si="12"/>
        <v>0.22295549374130738</v>
      </c>
      <c r="AO82" s="1130">
        <f t="shared" si="12"/>
        <v>0.22502306599230909</v>
      </c>
      <c r="AP82" s="1130">
        <f t="shared" si="12"/>
        <v>0.22498484728700557</v>
      </c>
      <c r="AQ82" s="1130">
        <f t="shared" si="12"/>
        <v>0.22638555754876075</v>
      </c>
    </row>
    <row r="83" spans="2:43" ht="5.0999999999999996" customHeight="1" outlineLevel="1">
      <c r="B83" s="75"/>
      <c r="E83" s="167"/>
      <c r="F83" s="167"/>
      <c r="G83" s="167"/>
      <c r="H83" s="167"/>
      <c r="I83" s="167"/>
      <c r="J83" s="167"/>
      <c r="K83" s="167"/>
      <c r="L83" s="167"/>
      <c r="M83" s="167"/>
      <c r="N83" s="167"/>
      <c r="O83" s="197"/>
      <c r="P83" s="198"/>
      <c r="Q83" s="199"/>
      <c r="R83" s="198"/>
      <c r="S83" s="198"/>
      <c r="T83" s="198"/>
      <c r="U83" s="198"/>
      <c r="V83" s="198"/>
      <c r="W83" s="198"/>
      <c r="X83" s="1128"/>
      <c r="Y83" s="1128"/>
      <c r="Z83" s="1128"/>
      <c r="AA83" s="1128"/>
      <c r="AB83" s="1128"/>
      <c r="AC83" s="1128"/>
      <c r="AD83" s="1128"/>
      <c r="AE83" s="1128"/>
      <c r="AF83" s="1128"/>
      <c r="AG83" s="1128"/>
      <c r="AH83" s="1128"/>
      <c r="AI83" s="1128"/>
      <c r="AJ83" s="1128"/>
      <c r="AK83" s="1128"/>
      <c r="AL83" s="1128"/>
      <c r="AM83" s="1128"/>
      <c r="AN83" s="1128"/>
      <c r="AO83" s="1128"/>
      <c r="AP83" s="1128"/>
      <c r="AQ83" s="1128"/>
    </row>
    <row r="84" spans="2:43" outlineLevel="1">
      <c r="B84" s="204" t="s">
        <v>45</v>
      </c>
      <c r="C84" s="165" t="s">
        <v>46</v>
      </c>
      <c r="E84" s="167"/>
      <c r="F84" s="167"/>
      <c r="G84" s="167"/>
      <c r="H84" s="167"/>
      <c r="I84" s="167"/>
      <c r="J84" s="167"/>
      <c r="K84" s="167"/>
      <c r="L84" s="167"/>
      <c r="M84" s="167"/>
      <c r="N84" s="167"/>
      <c r="O84" s="197"/>
      <c r="P84" s="198"/>
      <c r="Q84" s="199"/>
      <c r="R84" s="198"/>
      <c r="S84" s="198"/>
      <c r="T84" s="198"/>
      <c r="U84" s="198"/>
      <c r="V84" s="198"/>
      <c r="W84" s="198"/>
      <c r="X84" s="1130">
        <f>X76/X65</f>
        <v>0.27050920405967371</v>
      </c>
      <c r="Y84" s="1130">
        <f t="shared" ref="Y84:AQ84" si="13">Y76/Y65</f>
        <v>0.27310918505492049</v>
      </c>
      <c r="Z84" s="1130">
        <f t="shared" si="13"/>
        <v>0.27433675297615095</v>
      </c>
      <c r="AA84" s="1130">
        <f t="shared" si="13"/>
        <v>0.27072224915172077</v>
      </c>
      <c r="AB84" s="1130">
        <f t="shared" si="13"/>
        <v>0.26827000709514837</v>
      </c>
      <c r="AC84" s="1130">
        <f t="shared" si="13"/>
        <v>0.26629437852648197</v>
      </c>
      <c r="AD84" s="1130">
        <f t="shared" si="13"/>
        <v>0.25997292865710731</v>
      </c>
      <c r="AE84" s="1130">
        <f t="shared" si="13"/>
        <v>0.2536450451390701</v>
      </c>
      <c r="AF84" s="1130">
        <f t="shared" si="13"/>
        <v>0.24871007565445855</v>
      </c>
      <c r="AG84" s="1130">
        <f t="shared" si="13"/>
        <v>0.24648555847303574</v>
      </c>
      <c r="AH84" s="1130">
        <f t="shared" si="13"/>
        <v>0.26059281778453353</v>
      </c>
      <c r="AI84" s="1130">
        <f t="shared" si="13"/>
        <v>0.26112568456900914</v>
      </c>
      <c r="AJ84" s="1130">
        <f t="shared" si="13"/>
        <v>0.26733388734328145</v>
      </c>
      <c r="AK84" s="1130">
        <f t="shared" si="13"/>
        <v>0.26366320044679664</v>
      </c>
      <c r="AL84" s="1130">
        <f t="shared" si="13"/>
        <v>0.25963141805044121</v>
      </c>
      <c r="AM84" s="1130">
        <f t="shared" si="13"/>
        <v>0.26557568475474064</v>
      </c>
      <c r="AN84" s="1130">
        <f t="shared" si="13"/>
        <v>0.26650651283031729</v>
      </c>
      <c r="AO84" s="1130">
        <f t="shared" si="13"/>
        <v>0.26959664991084181</v>
      </c>
      <c r="AP84" s="1130">
        <f t="shared" si="13"/>
        <v>0.2708576232739271</v>
      </c>
      <c r="AQ84" s="1130">
        <f t="shared" si="13"/>
        <v>0.27732053793353195</v>
      </c>
    </row>
    <row r="85" spans="2:43" ht="5.0999999999999996"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ht="6" customHeight="1" outlineLevel="1">
      <c r="E86" s="167"/>
      <c r="F86" s="167"/>
      <c r="G86" s="167"/>
      <c r="H86" s="167"/>
      <c r="I86" s="167"/>
      <c r="J86" s="167"/>
      <c r="K86" s="167"/>
      <c r="L86" s="167"/>
      <c r="M86" s="167"/>
      <c r="N86" s="167"/>
      <c r="O86" s="197"/>
      <c r="P86" s="198"/>
      <c r="Q86" s="199"/>
      <c r="R86" s="198"/>
      <c r="S86" s="198"/>
      <c r="T86" s="198"/>
      <c r="U86" s="198"/>
      <c r="V86" s="198"/>
      <c r="W86" s="198"/>
      <c r="AG86" s="950"/>
      <c r="AJ86" s="547"/>
      <c r="AK86" s="547"/>
    </row>
    <row r="87" spans="2:43" ht="30"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950"/>
    </row>
    <row r="88" spans="2:43">
      <c r="O88" s="168"/>
      <c r="P88" s="168"/>
      <c r="Q88" s="168"/>
      <c r="R88" s="168"/>
      <c r="S88" s="168"/>
      <c r="T88" s="168"/>
      <c r="U88" s="168"/>
      <c r="V88" s="168"/>
      <c r="W88" s="168"/>
      <c r="X88" s="166"/>
      <c r="Y88" s="166"/>
      <c r="Z88" s="166"/>
      <c r="AA88" s="166"/>
      <c r="AB88" s="166"/>
      <c r="AC88" s="166"/>
      <c r="AD88" s="166"/>
      <c r="AE88" s="166"/>
      <c r="AF88" s="166"/>
      <c r="AG88" s="950"/>
    </row>
    <row r="89" spans="2:43">
      <c r="O89" s="168"/>
      <c r="P89" s="168"/>
      <c r="Q89" s="168"/>
      <c r="R89" s="168"/>
      <c r="S89" s="168"/>
      <c r="T89" s="168"/>
      <c r="U89" s="168"/>
      <c r="V89" s="168"/>
      <c r="W89" s="168"/>
      <c r="X89" s="166"/>
      <c r="Y89" s="166"/>
      <c r="Z89" s="166"/>
      <c r="AA89" s="166"/>
      <c r="AB89" s="166"/>
      <c r="AC89" s="166"/>
      <c r="AD89" s="166"/>
      <c r="AE89" s="166"/>
      <c r="AF89" s="166"/>
      <c r="AG89" s="950"/>
    </row>
    <row r="90" spans="2:43">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950"/>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950"/>
    </row>
    <row r="92" spans="2:43" ht="25.5" customHeight="1">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944"/>
      <c r="AD92" s="211">
        <v>2007</v>
      </c>
      <c r="AE92" s="196"/>
      <c r="AF92" s="211">
        <v>2009</v>
      </c>
      <c r="AG92" s="174">
        <v>2010</v>
      </c>
      <c r="AH92" s="174">
        <v>2011</v>
      </c>
      <c r="AI92" s="174">
        <v>2012</v>
      </c>
      <c r="AJ92" s="174">
        <v>2013</v>
      </c>
      <c r="AK92" s="174">
        <v>2014</v>
      </c>
      <c r="AL92" s="174">
        <v>2015</v>
      </c>
      <c r="AM92" s="174">
        <v>2016</v>
      </c>
      <c r="AN92" s="174">
        <v>2017</v>
      </c>
      <c r="AO92" s="174">
        <v>2018</v>
      </c>
      <c r="AP92" s="174">
        <v>2019</v>
      </c>
      <c r="AQ92" s="174">
        <v>2020</v>
      </c>
    </row>
    <row r="93" spans="2:43">
      <c r="R93" s="261"/>
      <c r="S93" s="261"/>
      <c r="T93" s="261"/>
      <c r="U93" s="261"/>
      <c r="V93" s="261"/>
      <c r="W93" s="261"/>
      <c r="X93" s="244"/>
      <c r="Y93" s="244"/>
      <c r="Z93" s="244"/>
      <c r="AA93" s="244"/>
      <c r="AB93" s="244"/>
      <c r="AC93" s="244"/>
      <c r="AD93" s="244"/>
      <c r="AE93" s="244"/>
      <c r="AF93" s="244"/>
      <c r="AG93" s="166"/>
      <c r="AH93" s="75"/>
    </row>
    <row r="94" spans="2:43">
      <c r="O94" s="168"/>
      <c r="P94" s="168"/>
      <c r="Q94" s="168"/>
      <c r="R94" s="168"/>
      <c r="S94" s="168"/>
      <c r="T94" s="168"/>
      <c r="U94" s="168"/>
      <c r="V94" s="168"/>
      <c r="W94" s="168"/>
      <c r="X94" s="166"/>
      <c r="Y94" s="166"/>
      <c r="Z94" s="166"/>
      <c r="AA94" s="166"/>
      <c r="AB94" s="166"/>
      <c r="AC94" s="166"/>
      <c r="AD94" s="166"/>
      <c r="AE94" s="166"/>
      <c r="AF94" s="166"/>
      <c r="AG94" s="166"/>
      <c r="AH94" s="75"/>
    </row>
    <row r="95" spans="2:43">
      <c r="B95" s="217" t="s">
        <v>49</v>
      </c>
      <c r="O95" s="168"/>
      <c r="P95" s="168"/>
      <c r="Q95" s="168"/>
      <c r="R95" s="168">
        <v>0</v>
      </c>
      <c r="S95" s="168"/>
      <c r="T95" s="168">
        <v>0</v>
      </c>
      <c r="U95" s="168"/>
      <c r="V95" s="168">
        <v>0</v>
      </c>
      <c r="W95" s="168"/>
      <c r="X95" s="273">
        <v>0</v>
      </c>
      <c r="Y95" s="273"/>
      <c r="Z95" s="273">
        <v>0</v>
      </c>
      <c r="AA95" s="273"/>
      <c r="AB95" s="273">
        <v>0</v>
      </c>
      <c r="AC95" s="273"/>
      <c r="AD95" s="273">
        <v>0</v>
      </c>
      <c r="AE95" s="273"/>
      <c r="AF95" s="273">
        <v>0</v>
      </c>
      <c r="AG95" s="273">
        <v>0</v>
      </c>
      <c r="AH95" s="273">
        <v>0</v>
      </c>
      <c r="AI95" s="273">
        <v>0</v>
      </c>
      <c r="AJ95" s="273">
        <v>0</v>
      </c>
      <c r="AK95" s="273">
        <v>0</v>
      </c>
      <c r="AL95" s="273">
        <v>0</v>
      </c>
      <c r="AM95" s="273">
        <v>0</v>
      </c>
      <c r="AN95" s="273">
        <v>0</v>
      </c>
      <c r="AO95" s="273">
        <v>0</v>
      </c>
      <c r="AP95" s="273">
        <v>0</v>
      </c>
      <c r="AQ95" s="273">
        <v>0</v>
      </c>
    </row>
    <row r="96" spans="2:43">
      <c r="B96" s="217"/>
      <c r="O96" s="168"/>
      <c r="P96" s="168"/>
      <c r="Q96" s="168"/>
      <c r="R96" s="168"/>
      <c r="S96" s="168"/>
      <c r="T96" s="168"/>
      <c r="U96" s="168"/>
      <c r="V96" s="168"/>
      <c r="W96" s="168"/>
      <c r="X96" s="273"/>
      <c r="Y96" s="273"/>
      <c r="Z96" s="273"/>
      <c r="AA96" s="273"/>
      <c r="AB96" s="273"/>
      <c r="AC96" s="273"/>
      <c r="AD96" s="273"/>
      <c r="AE96" s="273"/>
      <c r="AF96" s="273"/>
      <c r="AG96" s="166"/>
      <c r="AH96" s="75"/>
    </row>
    <row r="97" spans="1:43">
      <c r="B97" s="217"/>
      <c r="O97" s="168"/>
      <c r="P97" s="168"/>
      <c r="Q97" s="168"/>
      <c r="R97" s="168"/>
      <c r="S97" s="168"/>
      <c r="T97" s="168"/>
      <c r="U97" s="168"/>
      <c r="V97" s="168"/>
      <c r="W97" s="168"/>
      <c r="X97" s="273"/>
      <c r="Y97" s="273"/>
      <c r="Z97" s="273"/>
      <c r="AA97" s="273"/>
      <c r="AB97" s="273"/>
      <c r="AC97" s="273"/>
      <c r="AD97" s="273"/>
      <c r="AE97" s="273"/>
      <c r="AF97" s="273"/>
      <c r="AG97" s="166"/>
      <c r="AH97" s="75"/>
    </row>
    <row r="98" spans="1:43">
      <c r="B98" s="217" t="s">
        <v>50</v>
      </c>
      <c r="O98" s="168"/>
      <c r="P98" s="168"/>
      <c r="Q98" s="168"/>
      <c r="R98" s="168"/>
      <c r="S98" s="168"/>
      <c r="T98" s="168"/>
      <c r="U98" s="168"/>
      <c r="V98" s="168"/>
      <c r="W98" s="168"/>
      <c r="X98" s="273"/>
      <c r="Y98" s="273"/>
      <c r="Z98" s="273"/>
      <c r="AA98" s="273"/>
      <c r="AB98" s="273"/>
      <c r="AC98" s="273"/>
      <c r="AD98" s="273"/>
      <c r="AE98" s="273"/>
      <c r="AF98" s="273"/>
      <c r="AG98" s="166"/>
      <c r="AH98" s="75"/>
    </row>
    <row r="99" spans="1:43">
      <c r="B99" s="206" t="s">
        <v>56</v>
      </c>
      <c r="O99" s="168"/>
      <c r="P99" s="168"/>
      <c r="Q99" s="168"/>
      <c r="R99" s="168"/>
      <c r="S99" s="168"/>
      <c r="T99" s="168"/>
      <c r="U99" s="168"/>
      <c r="V99" s="168"/>
      <c r="W99" s="168"/>
      <c r="X99" s="273"/>
      <c r="Y99" s="273"/>
      <c r="Z99" s="273"/>
      <c r="AA99" s="273"/>
      <c r="AB99" s="273"/>
      <c r="AC99" s="273"/>
      <c r="AD99" s="273"/>
      <c r="AE99" s="273"/>
      <c r="AF99" s="273"/>
      <c r="AG99" s="166"/>
      <c r="AH99" s="75"/>
    </row>
    <row r="100" spans="1:43">
      <c r="O100" s="168"/>
      <c r="P100" s="168"/>
      <c r="Q100" s="168"/>
      <c r="R100" s="168"/>
      <c r="S100" s="168"/>
      <c r="T100" s="168"/>
      <c r="U100" s="168"/>
      <c r="V100" s="168"/>
      <c r="W100" s="168"/>
      <c r="X100" s="273"/>
      <c r="Y100" s="273"/>
      <c r="Z100" s="273"/>
      <c r="AA100" s="273"/>
      <c r="AB100" s="273"/>
      <c r="AC100" s="273"/>
      <c r="AD100" s="273"/>
      <c r="AE100" s="273"/>
      <c r="AF100" s="273"/>
      <c r="AG100" s="166"/>
      <c r="AH100" s="75"/>
    </row>
    <row r="101" spans="1:43">
      <c r="A101" s="165" t="s">
        <v>430</v>
      </c>
      <c r="B101" s="217" t="s">
        <v>78</v>
      </c>
      <c r="O101" s="168"/>
      <c r="P101" s="168"/>
      <c r="Q101" s="168"/>
      <c r="R101" s="168">
        <v>0</v>
      </c>
      <c r="S101" s="168"/>
      <c r="T101" s="168">
        <v>0</v>
      </c>
      <c r="U101" s="168"/>
      <c r="V101" s="168">
        <f>V102</f>
        <v>100.9128</v>
      </c>
      <c r="W101" s="168"/>
      <c r="X101" s="273">
        <v>0</v>
      </c>
      <c r="Y101" s="273"/>
      <c r="Z101" s="273">
        <v>0</v>
      </c>
      <c r="AA101" s="273"/>
      <c r="AB101" s="273">
        <v>0</v>
      </c>
      <c r="AC101" s="273"/>
      <c r="AD101" s="273">
        <v>0</v>
      </c>
      <c r="AE101" s="273"/>
      <c r="AF101" s="273">
        <v>0</v>
      </c>
      <c r="AG101" s="273">
        <v>0</v>
      </c>
      <c r="AH101" s="273">
        <v>0</v>
      </c>
      <c r="AI101" s="273">
        <v>0</v>
      </c>
      <c r="AJ101" s="273">
        <v>0</v>
      </c>
      <c r="AK101" s="273">
        <v>0</v>
      </c>
      <c r="AL101" s="273">
        <v>0</v>
      </c>
      <c r="AM101" s="273">
        <v>0</v>
      </c>
      <c r="AN101" s="273">
        <v>0</v>
      </c>
      <c r="AO101" s="273">
        <v>0</v>
      </c>
      <c r="AP101" s="273">
        <v>0</v>
      </c>
      <c r="AQ101" s="273">
        <v>0</v>
      </c>
    </row>
    <row r="102" spans="1:43">
      <c r="C102" s="165" t="s">
        <v>662</v>
      </c>
      <c r="O102" s="168"/>
      <c r="P102" s="168"/>
      <c r="Q102" s="168"/>
      <c r="R102" s="168"/>
      <c r="S102" s="168"/>
      <c r="T102" s="168"/>
      <c r="U102" s="168"/>
      <c r="V102" s="168">
        <v>100.9128</v>
      </c>
      <c r="W102" s="168"/>
      <c r="X102" s="166"/>
      <c r="Y102" s="166"/>
      <c r="Z102" s="166"/>
      <c r="AA102" s="166"/>
      <c r="AB102" s="166"/>
      <c r="AC102" s="166"/>
      <c r="AD102" s="166"/>
      <c r="AE102" s="166"/>
      <c r="AF102" s="166"/>
      <c r="AG102" s="166"/>
      <c r="AH102" s="75"/>
    </row>
    <row r="103" spans="1:43">
      <c r="O103" s="168"/>
      <c r="P103" s="168"/>
      <c r="Q103" s="168"/>
      <c r="R103" s="168"/>
      <c r="S103" s="168"/>
      <c r="T103" s="168"/>
      <c r="U103" s="168"/>
      <c r="V103" s="168"/>
      <c r="W103" s="168"/>
      <c r="X103" s="166"/>
      <c r="Y103" s="166"/>
      <c r="Z103" s="166"/>
      <c r="AA103" s="166"/>
      <c r="AB103" s="166"/>
      <c r="AC103" s="166"/>
      <c r="AD103" s="166"/>
      <c r="AE103" s="166"/>
      <c r="AF103" s="166"/>
      <c r="AG103" s="166"/>
      <c r="AH103" s="75"/>
    </row>
    <row r="104" spans="1:43" ht="13.5">
      <c r="B104" s="925" t="s">
        <v>90</v>
      </c>
      <c r="O104" s="168"/>
      <c r="P104" s="168"/>
      <c r="Q104" s="168"/>
      <c r="R104" s="168"/>
      <c r="S104" s="168"/>
      <c r="T104" s="168"/>
      <c r="U104" s="168"/>
      <c r="V104" s="168"/>
      <c r="W104" s="168"/>
      <c r="X104" s="166"/>
      <c r="Y104" s="166"/>
      <c r="Z104" s="166"/>
      <c r="AA104" s="166"/>
      <c r="AB104" s="166"/>
      <c r="AC104" s="166"/>
      <c r="AD104" s="166"/>
      <c r="AE104" s="166"/>
      <c r="AF104" s="166"/>
      <c r="AG104" s="166"/>
      <c r="AH104" s="75"/>
    </row>
    <row r="105" spans="1:43">
      <c r="B105" s="206" t="s">
        <v>110</v>
      </c>
      <c r="O105" s="168"/>
      <c r="P105" s="168"/>
      <c r="Q105" s="168"/>
      <c r="R105" s="168"/>
      <c r="S105" s="168"/>
      <c r="T105" s="168"/>
      <c r="U105" s="168"/>
      <c r="V105" s="168"/>
      <c r="W105" s="168"/>
      <c r="X105" s="273">
        <f>X107</f>
        <v>170</v>
      </c>
      <c r="Y105" s="273"/>
      <c r="Z105" s="273">
        <f>Z107</f>
        <v>205</v>
      </c>
      <c r="AA105" s="273"/>
      <c r="AB105" s="273">
        <f>AB107</f>
        <v>220</v>
      </c>
      <c r="AC105" s="273"/>
      <c r="AD105" s="273">
        <f>AD107</f>
        <v>125</v>
      </c>
      <c r="AE105" s="273"/>
      <c r="AF105" s="273">
        <f t="shared" ref="AF105:AQ105" si="14">AF107</f>
        <v>130</v>
      </c>
      <c r="AG105" s="273">
        <f t="shared" si="14"/>
        <v>125</v>
      </c>
      <c r="AH105" s="273">
        <f t="shared" si="14"/>
        <v>125</v>
      </c>
      <c r="AI105" s="273">
        <f t="shared" si="14"/>
        <v>120</v>
      </c>
      <c r="AJ105" s="273">
        <f t="shared" si="14"/>
        <v>105</v>
      </c>
      <c r="AK105" s="273">
        <f t="shared" si="14"/>
        <v>95</v>
      </c>
      <c r="AL105" s="273">
        <f t="shared" si="14"/>
        <v>85</v>
      </c>
      <c r="AM105" s="273">
        <f t="shared" si="14"/>
        <v>85</v>
      </c>
      <c r="AN105" s="273">
        <f t="shared" si="14"/>
        <v>70</v>
      </c>
      <c r="AO105" s="273">
        <f t="shared" si="14"/>
        <v>60</v>
      </c>
      <c r="AP105" s="273">
        <f t="shared" si="14"/>
        <v>60</v>
      </c>
      <c r="AQ105" s="273">
        <f t="shared" si="14"/>
        <v>60</v>
      </c>
    </row>
    <row r="106" spans="1:43">
      <c r="O106" s="168"/>
      <c r="P106" s="168"/>
      <c r="Q106" s="168"/>
      <c r="R106" s="168"/>
      <c r="S106" s="168"/>
      <c r="T106" s="168"/>
      <c r="U106" s="168"/>
      <c r="V106" s="168"/>
      <c r="W106" s="168"/>
      <c r="X106" s="166"/>
      <c r="Y106" s="166"/>
      <c r="Z106" s="166"/>
      <c r="AA106" s="166"/>
      <c r="AB106" s="166"/>
      <c r="AC106" s="166"/>
      <c r="AD106" s="166"/>
      <c r="AE106" s="166"/>
      <c r="AF106" s="166"/>
      <c r="AG106" s="166"/>
      <c r="AH106" s="75"/>
    </row>
    <row r="107" spans="1:43">
      <c r="C107" s="827" t="s">
        <v>562</v>
      </c>
      <c r="D107" s="552"/>
      <c r="E107" s="552"/>
      <c r="F107" s="552"/>
      <c r="G107" s="552"/>
      <c r="H107" s="552"/>
      <c r="I107" s="552"/>
      <c r="J107" s="552"/>
      <c r="K107" s="552"/>
      <c r="L107" s="552"/>
      <c r="M107" s="552"/>
      <c r="N107" s="552"/>
      <c r="O107" s="554"/>
      <c r="P107" s="554"/>
      <c r="Q107" s="554"/>
      <c r="R107" s="554"/>
      <c r="S107" s="554"/>
      <c r="T107" s="554"/>
      <c r="U107" s="554"/>
      <c r="V107" s="554"/>
      <c r="W107" s="554"/>
      <c r="X107" s="820">
        <v>170</v>
      </c>
      <c r="Y107" s="820"/>
      <c r="Z107" s="820">
        <v>205</v>
      </c>
      <c r="AA107" s="820"/>
      <c r="AB107" s="820">
        <v>220</v>
      </c>
      <c r="AC107" s="820"/>
      <c r="AD107" s="820">
        <v>125</v>
      </c>
      <c r="AE107" s="820"/>
      <c r="AF107" s="820">
        <v>130</v>
      </c>
      <c r="AG107" s="820">
        <v>125</v>
      </c>
      <c r="AH107" s="820">
        <v>125</v>
      </c>
      <c r="AI107" s="75">
        <v>120</v>
      </c>
      <c r="AJ107" s="75">
        <v>105</v>
      </c>
      <c r="AK107" s="75">
        <v>95</v>
      </c>
      <c r="AL107" s="75">
        <v>85</v>
      </c>
      <c r="AM107" s="75">
        <v>85</v>
      </c>
      <c r="AN107" s="75">
        <v>70</v>
      </c>
      <c r="AO107" s="75">
        <v>60</v>
      </c>
      <c r="AP107" s="75">
        <v>60</v>
      </c>
      <c r="AQ107" s="75">
        <v>60</v>
      </c>
    </row>
    <row r="108" spans="1:43">
      <c r="B108" s="172"/>
      <c r="C108" s="172"/>
      <c r="D108" s="172"/>
      <c r="E108" s="172"/>
      <c r="F108" s="172"/>
      <c r="G108" s="172"/>
      <c r="H108" s="172"/>
      <c r="I108" s="172"/>
      <c r="J108" s="172"/>
      <c r="K108" s="172"/>
      <c r="L108" s="172"/>
      <c r="M108" s="172"/>
      <c r="N108" s="172"/>
      <c r="O108" s="173"/>
      <c r="P108" s="173"/>
      <c r="Q108" s="173"/>
      <c r="R108" s="173"/>
      <c r="S108" s="173"/>
      <c r="T108" s="173"/>
      <c r="U108" s="173"/>
      <c r="V108" s="173"/>
      <c r="W108" s="173"/>
      <c r="X108" s="256"/>
      <c r="Y108" s="256"/>
      <c r="Z108" s="256"/>
      <c r="AA108" s="256"/>
      <c r="AB108" s="256"/>
      <c r="AC108" s="256"/>
      <c r="AD108" s="256"/>
      <c r="AE108" s="256"/>
      <c r="AF108" s="256"/>
      <c r="AG108" s="256"/>
      <c r="AH108" s="256"/>
      <c r="AI108" s="256"/>
      <c r="AJ108" s="256"/>
      <c r="AK108" s="256"/>
      <c r="AL108" s="256"/>
      <c r="AM108" s="256"/>
      <c r="AN108" s="256"/>
      <c r="AO108" s="256"/>
      <c r="AP108" s="256"/>
      <c r="AQ108" s="256"/>
    </row>
    <row r="109" spans="1:43">
      <c r="O109" s="168"/>
      <c r="P109" s="168"/>
      <c r="Q109" s="168"/>
      <c r="R109" s="168"/>
      <c r="S109" s="168"/>
      <c r="T109" s="168"/>
      <c r="U109" s="168"/>
      <c r="V109" s="168"/>
      <c r="W109" s="168"/>
      <c r="X109" s="166"/>
      <c r="Y109" s="166"/>
      <c r="Z109" s="166"/>
      <c r="AA109" s="166"/>
      <c r="AB109" s="166"/>
      <c r="AC109" s="166"/>
      <c r="AD109" s="166"/>
      <c r="AE109" s="166"/>
      <c r="AF109" s="166"/>
      <c r="AG109" s="950"/>
      <c r="AN109" s="623"/>
    </row>
    <row r="110" spans="1:43">
      <c r="B110" s="165" t="s">
        <v>800</v>
      </c>
      <c r="O110" s="168"/>
      <c r="P110" s="168"/>
      <c r="Q110" s="168"/>
      <c r="R110" s="168"/>
      <c r="S110" s="168"/>
      <c r="T110" s="168"/>
      <c r="U110" s="168"/>
      <c r="V110" s="168"/>
      <c r="W110" s="168"/>
      <c r="X110" s="166"/>
      <c r="Y110" s="166"/>
      <c r="Z110" s="166"/>
      <c r="AA110" s="166"/>
      <c r="AB110" s="166"/>
      <c r="AC110" s="166"/>
      <c r="AD110" s="166"/>
      <c r="AE110" s="166"/>
      <c r="AF110" s="166"/>
      <c r="AG110" s="950"/>
      <c r="AN110" s="623"/>
    </row>
    <row r="111" spans="1:43">
      <c r="O111" s="168"/>
      <c r="P111" s="168"/>
      <c r="Q111" s="168"/>
      <c r="R111" s="168"/>
      <c r="S111" s="168"/>
      <c r="T111" s="168"/>
      <c r="U111" s="168"/>
      <c r="V111" s="168"/>
      <c r="W111" s="168"/>
      <c r="X111" s="166"/>
      <c r="Y111" s="166"/>
      <c r="Z111" s="166"/>
      <c r="AA111" s="166"/>
      <c r="AB111" s="166"/>
      <c r="AC111" s="166"/>
      <c r="AD111" s="166"/>
      <c r="AE111" s="166"/>
      <c r="AF111" s="166"/>
      <c r="AG111" s="950"/>
    </row>
    <row r="112" spans="1:43">
      <c r="O112" s="168"/>
      <c r="P112" s="168"/>
      <c r="Q112" s="168"/>
      <c r="R112" s="168"/>
      <c r="S112" s="168"/>
      <c r="T112" s="168"/>
      <c r="U112" s="168"/>
      <c r="V112" s="168"/>
      <c r="W112" s="168"/>
      <c r="X112" s="166"/>
      <c r="Y112" s="166"/>
      <c r="Z112" s="166"/>
      <c r="AA112" s="166"/>
      <c r="AB112" s="166"/>
      <c r="AC112" s="166"/>
      <c r="AD112" s="166"/>
      <c r="AE112" s="166"/>
      <c r="AF112" s="166"/>
      <c r="AG112" s="950"/>
    </row>
    <row r="113" spans="2:43">
      <c r="O113" s="168"/>
      <c r="P113" s="168"/>
      <c r="Q113" s="168"/>
      <c r="R113" s="168"/>
      <c r="S113" s="168"/>
      <c r="T113" s="168"/>
      <c r="U113" s="168"/>
      <c r="V113" s="168"/>
      <c r="W113" s="168"/>
      <c r="X113" s="166"/>
      <c r="Y113" s="166"/>
      <c r="Z113" s="166"/>
      <c r="AA113" s="166"/>
      <c r="AB113" s="166"/>
      <c r="AC113" s="166"/>
      <c r="AD113" s="166"/>
      <c r="AE113" s="166"/>
      <c r="AF113" s="166"/>
      <c r="AG113" s="950"/>
    </row>
    <row r="114" spans="2:43">
      <c r="B114" s="165" t="s">
        <v>801</v>
      </c>
      <c r="O114" s="168"/>
      <c r="P114" s="168"/>
      <c r="Q114" s="168"/>
      <c r="R114" s="168"/>
      <c r="S114" s="168"/>
      <c r="T114" s="168"/>
      <c r="U114" s="168"/>
      <c r="V114" s="168"/>
      <c r="W114" s="168"/>
      <c r="X114" s="166"/>
      <c r="Y114" s="166"/>
      <c r="Z114" s="166"/>
      <c r="AA114" s="166"/>
      <c r="AB114" s="166"/>
      <c r="AC114" s="166"/>
      <c r="AD114" s="166"/>
      <c r="AE114" s="166"/>
      <c r="AF114" s="166"/>
      <c r="AG114" s="950"/>
    </row>
    <row r="116" spans="2:43" ht="39.75" customHeight="1">
      <c r="B116" s="1922" t="s">
        <v>1784</v>
      </c>
      <c r="C116" s="1922"/>
      <c r="D116" s="1922"/>
      <c r="E116" s="1922"/>
      <c r="F116" s="1922"/>
      <c r="G116" s="1922"/>
      <c r="H116" s="1922"/>
      <c r="I116" s="1922"/>
      <c r="J116" s="1922"/>
      <c r="K116" s="1922"/>
      <c r="L116" s="1922"/>
      <c r="M116" s="1922"/>
      <c r="N116" s="1922"/>
      <c r="O116" s="1922"/>
      <c r="P116" s="1922"/>
      <c r="Q116" s="1922"/>
      <c r="R116" s="1922"/>
      <c r="S116" s="1922"/>
      <c r="T116" s="1922"/>
      <c r="U116" s="1922"/>
      <c r="V116" s="1922"/>
      <c r="W116" s="1922"/>
      <c r="X116" s="1922"/>
      <c r="Y116" s="1922"/>
      <c r="Z116" s="1922"/>
      <c r="AA116" s="1922"/>
      <c r="AB116" s="1922"/>
      <c r="AC116" s="1922"/>
      <c r="AD116" s="1922"/>
      <c r="AE116" s="1922"/>
      <c r="AF116" s="1922"/>
      <c r="AG116" s="1922"/>
      <c r="AH116" s="1922"/>
      <c r="AI116" s="1922"/>
      <c r="AJ116" s="1922"/>
      <c r="AK116" s="1922"/>
      <c r="AL116" s="1922"/>
      <c r="AM116" s="1922"/>
      <c r="AN116" s="1925"/>
      <c r="AO116" s="1925"/>
      <c r="AP116" s="1925"/>
      <c r="AQ116" s="1925"/>
    </row>
  </sheetData>
  <mergeCells count="7">
    <mergeCell ref="B15:AQ15"/>
    <mergeCell ref="B41:AQ41"/>
    <mergeCell ref="B116:AQ116"/>
    <mergeCell ref="B55:Z55"/>
    <mergeCell ref="B87:AF87"/>
    <mergeCell ref="B48:Z48"/>
    <mergeCell ref="B49:Z49"/>
  </mergeCells>
  <hyperlinks>
    <hyperlink ref="B42" r:id="rId1" display="http://vm.fi/" xr:uid="{00000000-0004-0000-0C00-000000000000}"/>
  </hyperlinks>
  <pageMargins left="0.70866141732283472" right="0.70866141732283472" top="0.74803149606299213" bottom="0.74803149606299213" header="0.31496062992125984" footer="0.31496062992125984"/>
  <pageSetup paperSize="9" scale="46"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R170"/>
  <sheetViews>
    <sheetView topLeftCell="A15" zoomScale="80" zoomScaleNormal="80" workbookViewId="0">
      <selection activeCell="A15" sqref="A15:AQ164"/>
    </sheetView>
  </sheetViews>
  <sheetFormatPr defaultColWidth="6.21875" defaultRowHeight="12.75" outlineLevelRow="1"/>
  <cols>
    <col min="1" max="1" width="5.33203125" style="228" customWidth="1"/>
    <col min="2" max="2" width="10" style="228" customWidth="1"/>
    <col min="3" max="3" width="47.5546875" style="228" customWidth="1"/>
    <col min="4" max="14" width="1.77734375" style="228" customWidth="1"/>
    <col min="15" max="21" width="0.33203125" style="229" customWidth="1"/>
    <col min="22" max="22" width="0.33203125" style="228" customWidth="1"/>
    <col min="23" max="23" width="0.33203125" style="229" customWidth="1"/>
    <col min="24" max="24" width="7" style="229" customWidth="1"/>
    <col min="25" max="25" width="1.109375" style="229" customWidth="1"/>
    <col min="26" max="26" width="7.6640625" style="229" customWidth="1"/>
    <col min="27" max="27" width="1.33203125" style="229" customWidth="1"/>
    <col min="28" max="28" width="7.44140625" style="229" customWidth="1"/>
    <col min="29" max="29" width="0.88671875" style="229" customWidth="1"/>
    <col min="30" max="30" width="7.77734375" style="229" customWidth="1"/>
    <col min="31" max="31" width="0.6640625" style="228" customWidth="1"/>
    <col min="32" max="43" width="7.44140625" style="228" customWidth="1"/>
    <col min="44" max="16384" width="6.21875" style="228"/>
  </cols>
  <sheetData>
    <row r="1" spans="1:43" hidden="1" outlineLevel="1">
      <c r="B1" s="228" t="s">
        <v>802</v>
      </c>
    </row>
    <row r="2" spans="1:43" hidden="1" outlineLevel="1"/>
    <row r="3" spans="1:43" hidden="1" outlineLevel="1"/>
    <row r="4" spans="1:43" hidden="1" outlineLevel="1">
      <c r="B4" s="228" t="s">
        <v>696</v>
      </c>
      <c r="X4" s="230">
        <v>2001</v>
      </c>
      <c r="Y4" s="230"/>
      <c r="Z4" s="230">
        <v>2003</v>
      </c>
      <c r="AA4" s="230"/>
      <c r="AB4" s="230">
        <v>2005</v>
      </c>
      <c r="AC4" s="230"/>
      <c r="AD4" s="230">
        <v>2007</v>
      </c>
      <c r="AE4" s="238"/>
      <c r="AF4" s="238">
        <v>2009</v>
      </c>
      <c r="AG4" s="238">
        <v>2010</v>
      </c>
      <c r="AH4" s="238">
        <v>2011</v>
      </c>
      <c r="AI4" s="238">
        <v>2012</v>
      </c>
      <c r="AJ4" s="238">
        <v>2013</v>
      </c>
      <c r="AK4" s="238">
        <v>2014</v>
      </c>
      <c r="AL4" s="238">
        <v>2015</v>
      </c>
      <c r="AM4" s="238">
        <v>2016</v>
      </c>
      <c r="AN4" s="238">
        <v>2017</v>
      </c>
      <c r="AO4" s="238">
        <v>2018</v>
      </c>
      <c r="AP4" s="238">
        <v>2019</v>
      </c>
      <c r="AQ4" s="238">
        <v>2020</v>
      </c>
    </row>
    <row r="5" spans="1:43" hidden="1" outlineLevel="1"/>
    <row r="6" spans="1:43" hidden="1" outlineLevel="1">
      <c r="A6" s="228" t="s">
        <v>2</v>
      </c>
      <c r="B6" s="228" t="s">
        <v>3</v>
      </c>
      <c r="X6" s="231">
        <f>X93</f>
        <v>16058</v>
      </c>
      <c r="Y6" s="231"/>
      <c r="Z6" s="231">
        <f t="shared" ref="Z6:AJ6" si="0">Z93</f>
        <v>16218</v>
      </c>
      <c r="AA6" s="231"/>
      <c r="AB6" s="231">
        <f t="shared" si="0"/>
        <v>18089</v>
      </c>
      <c r="AC6" s="231"/>
      <c r="AD6" s="231">
        <f t="shared" si="0"/>
        <v>21184.393298510215</v>
      </c>
      <c r="AE6" s="239"/>
      <c r="AF6" s="239">
        <f t="shared" si="0"/>
        <v>21483</v>
      </c>
      <c r="AG6" s="239">
        <f t="shared" si="0"/>
        <v>20356</v>
      </c>
      <c r="AH6" s="239">
        <f t="shared" si="0"/>
        <v>22140</v>
      </c>
      <c r="AI6" s="239"/>
      <c r="AJ6" s="239">
        <f t="shared" si="0"/>
        <v>20954</v>
      </c>
      <c r="AK6" s="239">
        <f>AK93</f>
        <v>20908</v>
      </c>
      <c r="AL6" s="239">
        <f>AL93</f>
        <v>21809.149272611518</v>
      </c>
      <c r="AM6" s="239">
        <f>AM93</f>
        <v>18787.630162335387</v>
      </c>
      <c r="AN6" s="239">
        <f>AN93</f>
        <v>19520.925681922672</v>
      </c>
      <c r="AO6" s="239">
        <f>AO93</f>
        <v>20016</v>
      </c>
      <c r="AP6" s="239">
        <f t="shared" ref="AP6" si="1">AP93</f>
        <v>20459</v>
      </c>
      <c r="AQ6" s="239"/>
    </row>
    <row r="7" spans="1:43" hidden="1" outlineLevel="1">
      <c r="A7" s="228" t="s">
        <v>4</v>
      </c>
      <c r="B7" s="228" t="s">
        <v>5</v>
      </c>
      <c r="X7" s="231">
        <f>X145</f>
        <v>0</v>
      </c>
      <c r="Y7" s="231"/>
      <c r="Z7" s="231">
        <f t="shared" ref="Z7:AJ7" si="2">Z145</f>
        <v>0</v>
      </c>
      <c r="AA7" s="231"/>
      <c r="AB7" s="231">
        <f t="shared" si="2"/>
        <v>0</v>
      </c>
      <c r="AC7" s="231"/>
      <c r="AD7" s="231">
        <f t="shared" si="2"/>
        <v>8</v>
      </c>
      <c r="AE7" s="239"/>
      <c r="AF7" s="239">
        <f t="shared" si="2"/>
        <v>2105</v>
      </c>
      <c r="AG7" s="239">
        <f t="shared" si="2"/>
        <v>2159</v>
      </c>
      <c r="AH7" s="239">
        <f>AH145</f>
        <v>10</v>
      </c>
      <c r="AI7" s="239"/>
      <c r="AJ7" s="239">
        <f t="shared" si="2"/>
        <v>10</v>
      </c>
      <c r="AK7" s="239">
        <f>AK145</f>
        <v>9</v>
      </c>
      <c r="AL7" s="239">
        <f>AL145</f>
        <v>9</v>
      </c>
      <c r="AM7" s="239">
        <f>AM145</f>
        <v>8</v>
      </c>
      <c r="AN7" s="239">
        <f>AN145</f>
        <v>8</v>
      </c>
      <c r="AO7" s="239">
        <f>AO145</f>
        <v>8</v>
      </c>
      <c r="AP7" s="239">
        <f t="shared" ref="AP7" si="3">AP145</f>
        <v>7</v>
      </c>
      <c r="AQ7" s="239"/>
    </row>
    <row r="8" spans="1:43" hidden="1" outlineLevel="1">
      <c r="A8" s="228" t="s">
        <v>6</v>
      </c>
      <c r="X8" s="231">
        <f>X6+X7</f>
        <v>16058</v>
      </c>
      <c r="Y8" s="231"/>
      <c r="Z8" s="231">
        <f>Z6+Z7</f>
        <v>16218</v>
      </c>
      <c r="AA8" s="231"/>
      <c r="AB8" s="231">
        <f>AB6+AB7</f>
        <v>18089</v>
      </c>
      <c r="AC8" s="231"/>
      <c r="AD8" s="231">
        <f>AD6+AD7</f>
        <v>21192.393298510215</v>
      </c>
      <c r="AE8" s="239"/>
      <c r="AF8" s="239">
        <f>AF6+AF7</f>
        <v>23588</v>
      </c>
      <c r="AG8" s="239">
        <f>AG6+AG7</f>
        <v>22515</v>
      </c>
      <c r="AH8" s="239">
        <f>AH6+AH7</f>
        <v>22150</v>
      </c>
      <c r="AI8" s="239"/>
      <c r="AJ8" s="239">
        <f t="shared" ref="AJ8:AO8" si="4">AJ6+AJ7</f>
        <v>20964</v>
      </c>
      <c r="AK8" s="239">
        <f t="shared" si="4"/>
        <v>20917</v>
      </c>
      <c r="AL8" s="239">
        <f t="shared" si="4"/>
        <v>21818.149272611518</v>
      </c>
      <c r="AM8" s="239">
        <f t="shared" si="4"/>
        <v>18795.630162335387</v>
      </c>
      <c r="AN8" s="239">
        <f t="shared" si="4"/>
        <v>19528.925681922672</v>
      </c>
      <c r="AO8" s="239">
        <f t="shared" si="4"/>
        <v>20024</v>
      </c>
      <c r="AP8" s="239">
        <f t="shared" ref="AP8" si="5">AP6+AP7</f>
        <v>20466</v>
      </c>
      <c r="AQ8" s="239"/>
    </row>
    <row r="9" spans="1:43" hidden="1" outlineLevel="1">
      <c r="X9" s="231"/>
      <c r="Y9" s="231"/>
      <c r="Z9" s="231"/>
      <c r="AA9" s="231"/>
      <c r="AB9" s="231"/>
      <c r="AC9" s="231"/>
      <c r="AD9" s="231"/>
      <c r="AE9" s="239"/>
      <c r="AF9" s="239"/>
      <c r="AG9" s="239"/>
      <c r="AH9" s="239"/>
      <c r="AI9" s="239"/>
      <c r="AJ9" s="239"/>
      <c r="AK9" s="239"/>
      <c r="AL9" s="239"/>
      <c r="AM9" s="239"/>
      <c r="AN9" s="239"/>
      <c r="AO9" s="239"/>
      <c r="AP9" s="239"/>
      <c r="AQ9" s="239"/>
    </row>
    <row r="10" spans="1:43" hidden="1" outlineLevel="1">
      <c r="B10" s="228" t="s">
        <v>110</v>
      </c>
      <c r="X10" s="231">
        <f>X154</f>
        <v>0</v>
      </c>
      <c r="Y10" s="231"/>
      <c r="Z10" s="231">
        <f t="shared" ref="Z10:AJ10" si="6">Z154</f>
        <v>0</v>
      </c>
      <c r="AA10" s="231"/>
      <c r="AB10" s="231">
        <f t="shared" si="6"/>
        <v>0</v>
      </c>
      <c r="AC10" s="231"/>
      <c r="AD10" s="231">
        <f>AD154</f>
        <v>429.93790620182</v>
      </c>
      <c r="AE10" s="239"/>
      <c r="AF10" s="239">
        <f t="shared" si="6"/>
        <v>1074</v>
      </c>
      <c r="AG10" s="239">
        <f t="shared" si="6"/>
        <v>1213</v>
      </c>
      <c r="AH10" s="239">
        <f t="shared" si="6"/>
        <v>1462</v>
      </c>
      <c r="AI10" s="239"/>
      <c r="AJ10" s="239">
        <f t="shared" si="6"/>
        <v>1712</v>
      </c>
      <c r="AK10" s="239">
        <f>AK154</f>
        <v>1947</v>
      </c>
      <c r="AL10" s="239">
        <f>AL154</f>
        <v>1968</v>
      </c>
      <c r="AM10" s="239">
        <f>AM154</f>
        <v>2079</v>
      </c>
      <c r="AN10" s="239">
        <f>AN154</f>
        <v>2138</v>
      </c>
      <c r="AO10" s="239">
        <f>AO154</f>
        <v>2197</v>
      </c>
      <c r="AP10" s="239">
        <f t="shared" ref="AP10" si="7">AP154</f>
        <v>2154</v>
      </c>
      <c r="AQ10" s="239"/>
    </row>
    <row r="11" spans="1:43" hidden="1" outlineLevel="1">
      <c r="X11" s="231"/>
      <c r="Y11" s="231"/>
      <c r="Z11" s="231"/>
      <c r="AA11" s="231"/>
      <c r="AB11" s="231"/>
      <c r="AC11" s="231"/>
      <c r="AD11" s="231"/>
      <c r="AE11" s="239"/>
      <c r="AF11" s="239"/>
      <c r="AG11" s="239"/>
      <c r="AH11" s="239"/>
      <c r="AI11" s="239"/>
      <c r="AJ11" s="239"/>
      <c r="AK11" s="239"/>
      <c r="AL11" s="239"/>
      <c r="AM11" s="239"/>
      <c r="AN11" s="239"/>
      <c r="AO11" s="239"/>
      <c r="AP11" s="239"/>
      <c r="AQ11" s="239"/>
    </row>
    <row r="12" spans="1:43" hidden="1" outlineLevel="1">
      <c r="B12" s="228" t="s">
        <v>8</v>
      </c>
      <c r="X12" s="231">
        <f>SUM(X116,X119:X121,X124:X129)</f>
        <v>11740</v>
      </c>
      <c r="Y12" s="231"/>
      <c r="Z12" s="231">
        <f t="shared" ref="Z12:AG12" si="8">SUM(Z116,Z119:Z121,Z124:Z129)</f>
        <v>11985</v>
      </c>
      <c r="AA12" s="231"/>
      <c r="AB12" s="231">
        <f t="shared" si="8"/>
        <v>13243</v>
      </c>
      <c r="AC12" s="231"/>
      <c r="AD12" s="231">
        <f t="shared" si="8"/>
        <v>14190.888323364918</v>
      </c>
      <c r="AE12" s="239"/>
      <c r="AF12" s="239">
        <f t="shared" si="8"/>
        <v>14105</v>
      </c>
      <c r="AG12" s="239">
        <f t="shared" si="8"/>
        <v>14323</v>
      </c>
      <c r="AH12" s="239">
        <f>SUM(AH116,AH119:AH121,AH124:AH129)</f>
        <v>16613</v>
      </c>
      <c r="AI12" s="239"/>
      <c r="AJ12" s="239">
        <f t="shared" ref="AJ12:AO12" si="9">SUM(AJ116,AJ119:AJ121,AJ124:AJ129)</f>
        <v>15863</v>
      </c>
      <c r="AK12" s="239">
        <f t="shared" si="9"/>
        <v>16174</v>
      </c>
      <c r="AL12" s="239">
        <f t="shared" si="9"/>
        <v>17070.558548860241</v>
      </c>
      <c r="AM12" s="239">
        <f t="shared" si="9"/>
        <v>16232.153098115205</v>
      </c>
      <c r="AN12" s="239">
        <f t="shared" si="9"/>
        <v>16898.412430138778</v>
      </c>
      <c r="AO12" s="239">
        <f t="shared" si="9"/>
        <v>17041</v>
      </c>
      <c r="AP12" s="239">
        <f>SUM(AP116,AP119:AP121,AP124:AP129)</f>
        <v>17725</v>
      </c>
      <c r="AQ12" s="239"/>
    </row>
    <row r="13" spans="1:43" hidden="1" outlineLevel="1">
      <c r="C13" s="228" t="s">
        <v>256</v>
      </c>
      <c r="X13" s="231">
        <f>X126</f>
        <v>190</v>
      </c>
      <c r="Y13" s="231"/>
      <c r="Z13" s="231">
        <f t="shared" ref="Z13:AO13" si="10">Z126</f>
        <v>200</v>
      </c>
      <c r="AA13" s="231"/>
      <c r="AB13" s="231">
        <f t="shared" si="10"/>
        <v>131</v>
      </c>
      <c r="AC13" s="231"/>
      <c r="AD13" s="231">
        <f t="shared" si="10"/>
        <v>780</v>
      </c>
      <c r="AE13" s="239"/>
      <c r="AF13" s="239">
        <f t="shared" si="10"/>
        <v>878</v>
      </c>
      <c r="AG13" s="239">
        <f t="shared" si="10"/>
        <v>920</v>
      </c>
      <c r="AH13" s="239">
        <f t="shared" si="10"/>
        <v>985</v>
      </c>
      <c r="AI13" s="239">
        <f t="shared" si="10"/>
        <v>1025</v>
      </c>
      <c r="AJ13" s="239">
        <f t="shared" si="10"/>
        <v>1125</v>
      </c>
      <c r="AK13" s="239">
        <f t="shared" si="10"/>
        <v>1144</v>
      </c>
      <c r="AL13" s="239">
        <f t="shared" si="10"/>
        <v>1175</v>
      </c>
      <c r="AM13" s="239">
        <f t="shared" si="10"/>
        <v>1200</v>
      </c>
      <c r="AN13" s="239">
        <f t="shared" si="10"/>
        <v>1200</v>
      </c>
      <c r="AO13" s="239">
        <f t="shared" si="10"/>
        <v>1184</v>
      </c>
      <c r="AP13" s="239">
        <f t="shared" ref="AP13" si="11">AP126</f>
        <v>1229</v>
      </c>
      <c r="AQ13" s="239"/>
    </row>
    <row r="14" spans="1:43" ht="15.75" hidden="1" customHeight="1" outlineLevel="1">
      <c r="C14" s="228" t="s">
        <v>257</v>
      </c>
      <c r="X14" s="231">
        <f>X132</f>
        <v>2518</v>
      </c>
      <c r="Y14" s="231"/>
      <c r="Z14" s="231">
        <f t="shared" ref="Z14:AJ14" si="12">Z132</f>
        <v>2210</v>
      </c>
      <c r="AA14" s="231"/>
      <c r="AB14" s="231">
        <f t="shared" si="12"/>
        <v>2700</v>
      </c>
      <c r="AC14" s="231"/>
      <c r="AD14" s="231">
        <f t="shared" si="12"/>
        <v>4520</v>
      </c>
      <c r="AE14" s="239"/>
      <c r="AF14" s="239">
        <f t="shared" si="12"/>
        <v>3917</v>
      </c>
      <c r="AG14" s="239">
        <f t="shared" si="12"/>
        <v>3610</v>
      </c>
      <c r="AH14" s="239">
        <f t="shared" si="12"/>
        <v>3105</v>
      </c>
      <c r="AI14" s="239">
        <f>AI132</f>
        <v>2900</v>
      </c>
      <c r="AJ14" s="239">
        <f t="shared" si="12"/>
        <v>2460</v>
      </c>
      <c r="AK14" s="239">
        <f>AK132</f>
        <v>2234</v>
      </c>
      <c r="AL14" s="239">
        <f>AL132</f>
        <v>2129</v>
      </c>
      <c r="AM14" s="239">
        <f>AM132</f>
        <v>37</v>
      </c>
      <c r="AN14" s="239" t="str">
        <f>AN132</f>
        <v>-</v>
      </c>
      <c r="AO14" s="239" t="str">
        <f>AO132</f>
        <v>-</v>
      </c>
      <c r="AP14" s="239" t="str">
        <f t="shared" ref="AP14" si="13">AP132</f>
        <v>-</v>
      </c>
      <c r="AQ14" s="239"/>
    </row>
    <row r="15" spans="1:43" ht="27" customHeight="1" collapsed="1">
      <c r="A15" s="1957" t="s">
        <v>431</v>
      </c>
      <c r="B15" s="1957"/>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57"/>
      <c r="AQ15" s="1957"/>
    </row>
    <row r="16" spans="1:43">
      <c r="N16" s="239"/>
      <c r="O16" s="233"/>
      <c r="P16" s="231"/>
      <c r="Q16" s="231"/>
      <c r="R16" s="231"/>
      <c r="S16" s="231"/>
      <c r="T16" s="231"/>
      <c r="U16" s="231"/>
      <c r="W16" s="231"/>
    </row>
    <row r="17" spans="1:43">
      <c r="A17" s="232" t="s">
        <v>803</v>
      </c>
      <c r="B17" s="242"/>
      <c r="C17" s="242"/>
      <c r="D17" s="242"/>
      <c r="E17" s="242"/>
      <c r="F17" s="242"/>
      <c r="G17" s="242"/>
      <c r="H17" s="242"/>
      <c r="I17" s="242"/>
      <c r="J17" s="242"/>
      <c r="K17" s="242"/>
      <c r="L17" s="242"/>
      <c r="M17" s="242"/>
      <c r="N17" s="242"/>
      <c r="O17" s="242"/>
      <c r="P17" s="242"/>
      <c r="Q17" s="242"/>
      <c r="R17" s="242"/>
      <c r="S17" s="242"/>
      <c r="T17" s="242"/>
      <c r="U17" s="242"/>
      <c r="W17" s="242"/>
    </row>
    <row r="18" spans="1:43">
      <c r="N18" s="239"/>
      <c r="O18" s="233"/>
      <c r="P18" s="231"/>
      <c r="Q18" s="233"/>
      <c r="R18" s="231"/>
      <c r="S18" s="233"/>
      <c r="T18" s="231"/>
      <c r="U18" s="233"/>
      <c r="V18" s="237"/>
      <c r="W18" s="233"/>
      <c r="X18" s="233"/>
      <c r="Y18" s="233"/>
      <c r="Z18" s="236"/>
      <c r="AA18" s="233"/>
    </row>
    <row r="19" spans="1:43">
      <c r="A19" s="232" t="s">
        <v>259</v>
      </c>
      <c r="B19" s="242"/>
      <c r="C19" s="242"/>
      <c r="D19" s="242"/>
      <c r="E19" s="242"/>
      <c r="F19" s="242"/>
      <c r="G19" s="242"/>
      <c r="H19" s="242"/>
      <c r="I19" s="242"/>
      <c r="J19" s="242"/>
      <c r="K19" s="242"/>
      <c r="L19" s="242"/>
      <c r="M19" s="242"/>
      <c r="N19" s="242"/>
      <c r="O19" s="228"/>
      <c r="P19" s="228"/>
      <c r="Q19" s="228"/>
      <c r="R19" s="228"/>
      <c r="S19" s="228"/>
      <c r="T19" s="228"/>
      <c r="U19" s="228"/>
      <c r="W19" s="228"/>
      <c r="X19" s="361">
        <v>2001</v>
      </c>
      <c r="Y19" s="234"/>
      <c r="Z19" s="361">
        <v>2003</v>
      </c>
      <c r="AA19" s="234"/>
      <c r="AB19" s="361">
        <v>2005</v>
      </c>
      <c r="AC19" s="234"/>
      <c r="AD19" s="361">
        <v>2007</v>
      </c>
      <c r="AE19" s="234"/>
      <c r="AF19" s="234"/>
      <c r="AG19" s="1357">
        <v>2010</v>
      </c>
      <c r="AH19" s="361">
        <v>2011</v>
      </c>
      <c r="AI19" s="361">
        <v>2012</v>
      </c>
      <c r="AJ19" s="361">
        <v>2013</v>
      </c>
      <c r="AK19" s="361">
        <v>2014</v>
      </c>
      <c r="AL19" s="361">
        <v>2015</v>
      </c>
      <c r="AM19" s="361">
        <v>2016</v>
      </c>
      <c r="AN19" s="361">
        <v>2017</v>
      </c>
      <c r="AO19" s="361">
        <v>2018</v>
      </c>
      <c r="AP19" s="361">
        <v>2019</v>
      </c>
      <c r="AQ19" s="361">
        <v>2020</v>
      </c>
    </row>
    <row r="20" spans="1:43">
      <c r="A20" s="235"/>
      <c r="B20" s="237"/>
      <c r="N20" s="239"/>
      <c r="O20" s="228"/>
      <c r="P20" s="228"/>
      <c r="Q20" s="228"/>
      <c r="R20" s="228"/>
      <c r="S20" s="228"/>
      <c r="T20" s="228"/>
      <c r="U20" s="228"/>
      <c r="W20" s="228"/>
      <c r="AE20" s="229"/>
      <c r="AF20" s="229"/>
      <c r="AG20" s="1358"/>
      <c r="AH20" s="229"/>
      <c r="AI20" s="229"/>
      <c r="AJ20" s="229"/>
      <c r="AK20" s="229"/>
      <c r="AL20" s="229"/>
      <c r="AM20" s="229"/>
      <c r="AN20" s="237"/>
      <c r="AO20" s="237"/>
      <c r="AP20" s="237"/>
      <c r="AQ20" s="237"/>
    </row>
    <row r="21" spans="1:43">
      <c r="A21" s="229"/>
      <c r="B21" s="238" t="s">
        <v>804</v>
      </c>
      <c r="O21" s="228"/>
      <c r="P21" s="228"/>
      <c r="Q21" s="228"/>
      <c r="R21" s="228"/>
      <c r="S21" s="228"/>
      <c r="T21" s="228"/>
      <c r="U21" s="228"/>
      <c r="W21" s="228"/>
      <c r="X21" s="360">
        <v>21192.244538819188</v>
      </c>
      <c r="Y21" s="231"/>
      <c r="Z21" s="360">
        <v>22247.83112843545</v>
      </c>
      <c r="AB21" s="360">
        <v>25385.268923130785</v>
      </c>
      <c r="AD21" s="360">
        <v>26549.057167308743</v>
      </c>
      <c r="AE21" s="233"/>
      <c r="AF21" s="233"/>
      <c r="AG21" s="1359">
        <v>31025.705056142386</v>
      </c>
      <c r="AH21" s="360">
        <v>34181.96752518112</v>
      </c>
      <c r="AI21" s="360">
        <v>37874.113470620687</v>
      </c>
      <c r="AJ21" s="360">
        <v>40212.252289321623</v>
      </c>
      <c r="AK21" s="360">
        <v>39486.4504550001</v>
      </c>
      <c r="AL21" s="360">
        <v>40563.19383429992</v>
      </c>
      <c r="AM21" s="360">
        <v>41760.802547883199</v>
      </c>
      <c r="AN21" s="360">
        <v>41475.036012852674</v>
      </c>
      <c r="AO21" s="360">
        <v>45108.829337798816</v>
      </c>
      <c r="AP21" s="360">
        <v>46074.881450890178</v>
      </c>
      <c r="AQ21" s="360"/>
    </row>
    <row r="22" spans="1:43">
      <c r="A22" s="229" t="s">
        <v>805</v>
      </c>
      <c r="B22" s="228" t="s">
        <v>806</v>
      </c>
      <c r="O22" s="228"/>
      <c r="P22" s="228"/>
      <c r="Q22" s="228"/>
      <c r="R22" s="228"/>
      <c r="S22" s="228"/>
      <c r="T22" s="228"/>
      <c r="U22" s="228"/>
      <c r="W22" s="228"/>
      <c r="X22" s="231">
        <v>15160</v>
      </c>
      <c r="Z22" s="231">
        <v>16292</v>
      </c>
      <c r="AB22" s="231">
        <v>19026</v>
      </c>
      <c r="AD22" s="231">
        <v>19812.427447895199</v>
      </c>
      <c r="AE22" s="231"/>
      <c r="AF22" s="231"/>
      <c r="AG22" s="1360">
        <v>24509.634675778736</v>
      </c>
      <c r="AH22" s="231">
        <v>27464.487557427965</v>
      </c>
      <c r="AI22" s="231">
        <v>30653.324885772163</v>
      </c>
      <c r="AJ22" s="231">
        <v>32780.220163765764</v>
      </c>
      <c r="AK22" s="231">
        <v>32159.055850500088</v>
      </c>
      <c r="AL22" s="231">
        <v>33013.047816799917</v>
      </c>
      <c r="AM22" s="231">
        <v>34204.479400735057</v>
      </c>
      <c r="AN22" s="1361">
        <v>33681.050879308401</v>
      </c>
      <c r="AO22" s="1361">
        <v>37267.599425603599</v>
      </c>
      <c r="AP22" s="1361">
        <v>38053.848557156598</v>
      </c>
      <c r="AQ22" s="1361"/>
    </row>
    <row r="23" spans="1:43">
      <c r="A23" s="229" t="s">
        <v>416</v>
      </c>
      <c r="B23" s="228" t="s">
        <v>807</v>
      </c>
      <c r="O23" s="228"/>
      <c r="P23" s="228"/>
      <c r="Q23" s="228"/>
      <c r="R23" s="228"/>
      <c r="S23" s="228"/>
      <c r="T23" s="228"/>
      <c r="U23" s="228"/>
      <c r="W23" s="228"/>
      <c r="X23" s="231">
        <v>130</v>
      </c>
      <c r="Z23" s="231">
        <v>153.63636363636363</v>
      </c>
      <c r="AB23" s="231">
        <v>156</v>
      </c>
      <c r="AD23" s="231">
        <v>209.599896</v>
      </c>
      <c r="AE23" s="231"/>
      <c r="AF23" s="231"/>
      <c r="AG23" s="1360">
        <v>6.9326642161456675E-2</v>
      </c>
      <c r="AH23" s="231">
        <v>7.3671533345191165E-2</v>
      </c>
      <c r="AI23" s="231">
        <v>7.9364332603688581E-2</v>
      </c>
      <c r="AJ23" s="231">
        <v>8.1489284093834158E-2</v>
      </c>
      <c r="AK23" s="231">
        <v>0</v>
      </c>
      <c r="AL23" s="231">
        <v>7.1570000000008349E-2</v>
      </c>
      <c r="AM23" s="231">
        <v>6.8334918292975999E-2</v>
      </c>
      <c r="AN23" s="1361">
        <v>7.3243513151965089E-2</v>
      </c>
      <c r="AO23" s="1361">
        <v>8.1636153040989257E-2</v>
      </c>
      <c r="AP23" s="1361">
        <v>7.5755751241985081E-2</v>
      </c>
      <c r="AQ23" s="1361"/>
    </row>
    <row r="24" spans="1:43">
      <c r="A24" s="229" t="s">
        <v>417</v>
      </c>
      <c r="B24" s="228" t="s">
        <v>808</v>
      </c>
      <c r="O24" s="228"/>
      <c r="P24" s="228"/>
      <c r="Q24" s="228"/>
      <c r="R24" s="228"/>
      <c r="S24" s="228"/>
      <c r="T24" s="228"/>
      <c r="U24" s="228"/>
      <c r="W24" s="228"/>
      <c r="X24" s="231">
        <v>1352.0528455284552</v>
      </c>
      <c r="Z24" s="231">
        <v>1365.4247967479675</v>
      </c>
      <c r="AB24" s="231">
        <v>1675.2689231307859</v>
      </c>
      <c r="AD24" s="231">
        <v>1896.4754768993134</v>
      </c>
      <c r="AE24" s="231"/>
      <c r="AF24" s="231"/>
      <c r="AG24" s="1360">
        <v>2415.8723351136205</v>
      </c>
      <c r="AH24" s="231">
        <v>2513.2427585712176</v>
      </c>
      <c r="AI24" s="231">
        <v>2620.4169814026764</v>
      </c>
      <c r="AJ24" s="231">
        <v>2685.0313276816246</v>
      </c>
      <c r="AK24" s="231">
        <v>2545.4835717999999</v>
      </c>
      <c r="AL24" s="231">
        <v>2694.3862941999973</v>
      </c>
      <c r="AM24" s="231">
        <v>2774.0525962812831</v>
      </c>
      <c r="AN24" s="1361">
        <v>2977.1290314836142</v>
      </c>
      <c r="AO24" s="1361">
        <v>3030.71238877015</v>
      </c>
      <c r="AP24" s="1361">
        <v>3105.42443147425</v>
      </c>
      <c r="AQ24" s="1361"/>
    </row>
    <row r="25" spans="1:43">
      <c r="A25" s="229" t="s">
        <v>809</v>
      </c>
      <c r="B25" s="228" t="s">
        <v>810</v>
      </c>
      <c r="O25" s="228"/>
      <c r="P25" s="228"/>
      <c r="Q25" s="228"/>
      <c r="R25" s="228"/>
      <c r="S25" s="228"/>
      <c r="T25" s="228"/>
      <c r="U25" s="228"/>
      <c r="W25" s="228"/>
      <c r="X25" s="231">
        <v>660.19169329073486</v>
      </c>
      <c r="Z25" s="231">
        <v>683.76996805111821</v>
      </c>
      <c r="AB25" s="231">
        <v>738</v>
      </c>
      <c r="AD25" s="231">
        <v>887.76361962271449</v>
      </c>
      <c r="AE25" s="231"/>
      <c r="AF25" s="231"/>
      <c r="AG25" s="1360">
        <v>835.63490232050742</v>
      </c>
      <c r="AH25" s="231">
        <v>861.60930525223205</v>
      </c>
      <c r="AI25" s="231">
        <v>902.37985392807047</v>
      </c>
      <c r="AJ25" s="231">
        <v>920.01736338740045</v>
      </c>
      <c r="AK25" s="231">
        <v>769.47613900000295</v>
      </c>
      <c r="AL25" s="231">
        <v>795.81039650000207</v>
      </c>
      <c r="AM25" s="231">
        <v>795.18264935778905</v>
      </c>
      <c r="AN25" s="1361">
        <v>825.35591788580484</v>
      </c>
      <c r="AO25" s="1361">
        <v>844.42623934197002</v>
      </c>
      <c r="AP25" s="1361">
        <v>842.74169892518705</v>
      </c>
      <c r="AQ25" s="1361"/>
    </row>
    <row r="26" spans="1:43">
      <c r="A26" s="229" t="s">
        <v>298</v>
      </c>
      <c r="B26" s="228" t="s">
        <v>811</v>
      </c>
      <c r="O26" s="228"/>
      <c r="P26" s="228"/>
      <c r="Q26" s="228"/>
      <c r="R26" s="228"/>
      <c r="S26" s="228"/>
      <c r="T26" s="228"/>
      <c r="U26" s="228"/>
      <c r="W26" s="228"/>
      <c r="X26" s="231">
        <v>220</v>
      </c>
      <c r="Z26" s="231">
        <v>283</v>
      </c>
      <c r="AB26" s="231">
        <v>282</v>
      </c>
      <c r="AD26" s="231">
        <v>303.67102661922252</v>
      </c>
      <c r="AE26" s="231"/>
      <c r="AF26" s="231"/>
      <c r="AG26" s="1360">
        <v>292.60953097107904</v>
      </c>
      <c r="AH26" s="231">
        <v>304.84012583975164</v>
      </c>
      <c r="AI26" s="231">
        <v>311.64721466476294</v>
      </c>
      <c r="AJ26" s="231">
        <v>316.68637835869731</v>
      </c>
      <c r="AK26" s="231">
        <v>400.04808699999921</v>
      </c>
      <c r="AL26" s="231">
        <v>412.25900340000067</v>
      </c>
      <c r="AM26" s="231">
        <v>403.84027866952511</v>
      </c>
      <c r="AN26" s="1361">
        <v>357.07030063521233</v>
      </c>
      <c r="AO26" s="1361">
        <v>345.91184702011071</v>
      </c>
      <c r="AP26" s="1361">
        <v>353.62817453381967</v>
      </c>
      <c r="AQ26" s="1361"/>
    </row>
    <row r="27" spans="1:43">
      <c r="A27" s="229">
        <v>5</v>
      </c>
      <c r="B27" s="228" t="s">
        <v>422</v>
      </c>
      <c r="O27" s="228"/>
      <c r="P27" s="228"/>
      <c r="Q27" s="228"/>
      <c r="R27" s="228"/>
      <c r="S27" s="228"/>
      <c r="T27" s="228"/>
      <c r="U27" s="228"/>
      <c r="W27" s="228"/>
      <c r="X27" s="231">
        <v>1570</v>
      </c>
      <c r="Z27" s="231">
        <v>1417</v>
      </c>
      <c r="AB27" s="231">
        <v>973</v>
      </c>
      <c r="AD27" s="231">
        <v>1096.3823317123326</v>
      </c>
      <c r="AE27" s="231"/>
      <c r="AF27" s="231"/>
      <c r="AG27" s="1360">
        <v>242.92114197042054</v>
      </c>
      <c r="AH27" s="231">
        <v>248.85278642122773</v>
      </c>
      <c r="AI27" s="231">
        <v>260.13009884690473</v>
      </c>
      <c r="AJ27" s="231">
        <v>259.328913716035</v>
      </c>
      <c r="AK27" s="231">
        <v>261.7816200000002</v>
      </c>
      <c r="AL27" s="231">
        <v>264.93189999999981</v>
      </c>
      <c r="AM27" s="231">
        <v>282.53274734858019</v>
      </c>
      <c r="AN27" s="1361">
        <v>292.32631414459001</v>
      </c>
      <c r="AO27" s="1361">
        <v>287.01893042942993</v>
      </c>
      <c r="AP27" s="1361">
        <v>302.68890446957994</v>
      </c>
      <c r="AQ27" s="1361"/>
    </row>
    <row r="28" spans="1:43">
      <c r="A28" s="229">
        <v>6</v>
      </c>
      <c r="B28" s="228" t="s">
        <v>425</v>
      </c>
      <c r="O28" s="228"/>
      <c r="P28" s="228"/>
      <c r="Q28" s="228"/>
      <c r="R28" s="228"/>
      <c r="S28" s="228"/>
      <c r="T28" s="228"/>
      <c r="U28" s="228"/>
      <c r="W28" s="228"/>
      <c r="X28" s="231">
        <v>2040</v>
      </c>
      <c r="Z28" s="231">
        <v>1987</v>
      </c>
      <c r="AB28" s="231">
        <v>2469</v>
      </c>
      <c r="AD28" s="231">
        <v>2274.5964187431814</v>
      </c>
      <c r="AE28" s="231"/>
      <c r="AF28" s="231"/>
      <c r="AG28" s="1360">
        <v>2678.7179484074791</v>
      </c>
      <c r="AH28" s="231">
        <v>2734.1115599604977</v>
      </c>
      <c r="AI28" s="231">
        <v>3068.6396954223674</v>
      </c>
      <c r="AJ28" s="231">
        <v>3190.2190319527426</v>
      </c>
      <c r="AK28" s="231">
        <v>3284.423536700001</v>
      </c>
      <c r="AL28" s="231">
        <v>3317.5544533999951</v>
      </c>
      <c r="AM28" s="231">
        <v>3213.2343127948907</v>
      </c>
      <c r="AN28" s="1361">
        <v>3248.5358382536215</v>
      </c>
      <c r="AO28" s="1361">
        <v>3234.1399034231099</v>
      </c>
      <c r="AP28" s="1361">
        <v>3289.2092438693999</v>
      </c>
      <c r="AQ28" s="1361"/>
    </row>
    <row r="29" spans="1:43">
      <c r="A29" s="229">
        <v>7</v>
      </c>
      <c r="B29" s="228" t="s">
        <v>432</v>
      </c>
      <c r="O29" s="228"/>
      <c r="P29" s="228"/>
      <c r="Q29" s="228"/>
      <c r="R29" s="228"/>
      <c r="S29" s="228"/>
      <c r="T29" s="228"/>
      <c r="U29" s="228"/>
      <c r="W29" s="228"/>
      <c r="X29" s="231">
        <v>60</v>
      </c>
      <c r="Z29" s="231">
        <v>66</v>
      </c>
      <c r="AB29" s="231">
        <v>66</v>
      </c>
      <c r="AD29" s="231">
        <v>68.140949816778303</v>
      </c>
      <c r="AE29" s="231"/>
      <c r="AF29" s="231"/>
      <c r="AG29" s="1360">
        <v>0</v>
      </c>
      <c r="AH29" s="231">
        <v>0</v>
      </c>
      <c r="AI29" s="231">
        <v>0</v>
      </c>
      <c r="AJ29" s="231">
        <v>0</v>
      </c>
      <c r="AK29" s="231">
        <v>0</v>
      </c>
      <c r="AL29" s="231">
        <v>0</v>
      </c>
      <c r="AM29" s="231">
        <v>0</v>
      </c>
      <c r="AN29" s="1361">
        <v>0</v>
      </c>
      <c r="AO29" s="1361">
        <v>0</v>
      </c>
      <c r="AP29" s="1361">
        <v>0</v>
      </c>
      <c r="AQ29" s="1361"/>
    </row>
    <row r="30" spans="1:43">
      <c r="A30" s="230">
        <v>8</v>
      </c>
      <c r="B30" s="238" t="s">
        <v>812</v>
      </c>
      <c r="C30" s="238"/>
      <c r="D30" s="238"/>
      <c r="E30" s="238"/>
      <c r="F30" s="238"/>
      <c r="G30" s="238"/>
      <c r="H30" s="238"/>
      <c r="I30" s="238"/>
      <c r="J30" s="238"/>
      <c r="K30" s="238"/>
      <c r="L30" s="238"/>
      <c r="M30" s="238"/>
      <c r="N30" s="238"/>
      <c r="O30" s="228"/>
      <c r="P30" s="228"/>
      <c r="Q30" s="228"/>
      <c r="R30" s="228"/>
      <c r="S30" s="228"/>
      <c r="T30" s="228"/>
      <c r="U30" s="228"/>
      <c r="W30" s="228"/>
      <c r="X30" s="230"/>
      <c r="Y30" s="230"/>
      <c r="Z30" s="230"/>
      <c r="AA30" s="230"/>
      <c r="AB30" s="230"/>
      <c r="AC30" s="230"/>
      <c r="AD30" s="230"/>
      <c r="AE30" s="230"/>
      <c r="AF30" s="230"/>
      <c r="AG30" s="1357">
        <v>50.245194938379427</v>
      </c>
      <c r="AH30" s="361">
        <v>54.749760174883704</v>
      </c>
      <c r="AI30" s="361">
        <v>57.495376251143171</v>
      </c>
      <c r="AJ30" s="361">
        <v>60.667621175267413</v>
      </c>
      <c r="AK30" s="361">
        <v>66.181649999998626</v>
      </c>
      <c r="AL30" s="360">
        <v>66.174699999999575</v>
      </c>
      <c r="AM30" s="361">
        <v>87.412227777782391</v>
      </c>
      <c r="AN30" s="1362">
        <v>93.494487628231582</v>
      </c>
      <c r="AO30" s="1362">
        <v>98.938967057401896</v>
      </c>
      <c r="AP30" s="1362">
        <v>127.264684710099</v>
      </c>
      <c r="AQ30" s="1362"/>
    </row>
    <row r="31" spans="1:43">
      <c r="A31" s="229"/>
      <c r="O31" s="228"/>
      <c r="P31" s="228"/>
      <c r="Q31" s="228"/>
      <c r="R31" s="228"/>
      <c r="S31" s="228"/>
      <c r="T31" s="228"/>
      <c r="U31" s="228"/>
      <c r="W31" s="228"/>
      <c r="AE31" s="229"/>
      <c r="AF31" s="229"/>
      <c r="AG31" s="229"/>
      <c r="AH31" s="229"/>
      <c r="AI31" s="229"/>
      <c r="AJ31" s="229"/>
      <c r="AK31" s="229"/>
      <c r="AL31" s="229"/>
      <c r="AM31" s="229"/>
      <c r="AN31" s="229"/>
      <c r="AO31" s="229"/>
      <c r="AP31" s="1363"/>
    </row>
    <row r="32" spans="1:43">
      <c r="A32" s="1364" t="s">
        <v>813</v>
      </c>
      <c r="O32" s="228"/>
      <c r="P32" s="228"/>
      <c r="Q32" s="228"/>
      <c r="R32" s="228"/>
      <c r="S32" s="228"/>
      <c r="T32" s="228"/>
      <c r="U32" s="228"/>
      <c r="W32" s="228"/>
      <c r="AE32" s="229"/>
      <c r="AF32" s="229"/>
      <c r="AG32" s="229"/>
      <c r="AH32" s="229"/>
      <c r="AI32" s="229"/>
      <c r="AJ32" s="229"/>
      <c r="AK32" s="229"/>
      <c r="AL32" s="229"/>
      <c r="AM32" s="229"/>
      <c r="AN32" s="237"/>
      <c r="AO32" s="237"/>
      <c r="AP32" s="1363"/>
    </row>
    <row r="33" spans="1:42">
      <c r="A33" s="1365" t="s">
        <v>814</v>
      </c>
      <c r="B33" s="1366"/>
      <c r="C33" s="1366"/>
      <c r="D33" s="1366"/>
      <c r="E33" s="1366"/>
      <c r="F33" s="1366"/>
      <c r="G33" s="1366"/>
      <c r="H33" s="1366"/>
      <c r="I33" s="1366"/>
      <c r="J33" s="1366"/>
      <c r="K33" s="1366"/>
      <c r="L33" s="1366"/>
      <c r="M33" s="1366"/>
      <c r="N33" s="1366"/>
      <c r="O33" s="228"/>
      <c r="P33" s="228"/>
      <c r="Q33" s="228"/>
      <c r="R33" s="228"/>
      <c r="S33" s="228"/>
      <c r="T33" s="228"/>
      <c r="U33" s="228"/>
      <c r="W33" s="228"/>
      <c r="X33" s="1367"/>
      <c r="Y33" s="1367"/>
      <c r="Z33" s="1367"/>
      <c r="AA33" s="1367"/>
      <c r="AB33" s="1367"/>
      <c r="AC33" s="1367"/>
      <c r="AD33" s="1367"/>
      <c r="AE33" s="1366"/>
      <c r="AF33" s="1366"/>
      <c r="AG33" s="1366"/>
      <c r="AH33" s="1366"/>
      <c r="AI33" s="1366"/>
      <c r="AJ33" s="1366"/>
      <c r="AK33" s="1366"/>
      <c r="AL33" s="1366"/>
      <c r="AM33" s="1366"/>
      <c r="AN33" s="237"/>
      <c r="AO33" s="237"/>
      <c r="AP33" s="1363"/>
    </row>
    <row r="34" spans="1:42">
      <c r="A34" s="235"/>
      <c r="B34" s="237"/>
      <c r="K34" s="237"/>
      <c r="L34" s="237"/>
      <c r="M34" s="237"/>
      <c r="N34" s="1368"/>
      <c r="O34" s="228"/>
      <c r="P34" s="228"/>
      <c r="Q34" s="228"/>
      <c r="R34" s="228"/>
      <c r="S34" s="228"/>
      <c r="T34" s="228"/>
      <c r="U34" s="228"/>
      <c r="W34" s="228"/>
      <c r="X34" s="236"/>
      <c r="Y34" s="236"/>
      <c r="Z34" s="236"/>
      <c r="AA34" s="236"/>
      <c r="AB34" s="236"/>
      <c r="AC34" s="236"/>
      <c r="AD34" s="236"/>
      <c r="AE34" s="236"/>
      <c r="AF34" s="236"/>
      <c r="AG34" s="236"/>
      <c r="AH34" s="236"/>
      <c r="AI34" s="236"/>
      <c r="AJ34" s="236"/>
      <c r="AK34" s="236"/>
      <c r="AL34" s="236"/>
      <c r="AM34" s="236"/>
      <c r="AN34" s="237"/>
      <c r="AO34" s="237"/>
      <c r="AP34" s="1363"/>
    </row>
    <row r="35" spans="1:42" hidden="1">
      <c r="O35" s="228"/>
      <c r="P35" s="228"/>
      <c r="Q35" s="228"/>
      <c r="R35" s="228"/>
      <c r="S35" s="228"/>
      <c r="T35" s="228"/>
      <c r="U35" s="228"/>
      <c r="W35" s="228"/>
      <c r="AF35" s="229"/>
    </row>
    <row r="36" spans="1:42" hidden="1">
      <c r="O36" s="228"/>
      <c r="P36" s="228"/>
      <c r="Q36" s="228"/>
      <c r="R36" s="228"/>
      <c r="S36" s="228"/>
      <c r="T36" s="228"/>
      <c r="U36" s="228"/>
      <c r="W36" s="228"/>
      <c r="AF36" s="229"/>
    </row>
    <row r="37" spans="1:42" hidden="1">
      <c r="O37" s="228"/>
      <c r="P37" s="228"/>
      <c r="Q37" s="228"/>
      <c r="R37" s="228"/>
      <c r="S37" s="228"/>
      <c r="T37" s="228"/>
      <c r="U37" s="228"/>
      <c r="W37" s="228"/>
      <c r="AF37" s="229"/>
    </row>
    <row r="38" spans="1:42" hidden="1">
      <c r="O38" s="228"/>
      <c r="P38" s="228"/>
      <c r="Q38" s="228"/>
      <c r="R38" s="228"/>
      <c r="S38" s="228"/>
      <c r="T38" s="228"/>
      <c r="U38" s="228"/>
      <c r="W38" s="228"/>
      <c r="AF38" s="229"/>
    </row>
    <row r="39" spans="1:42" hidden="1">
      <c r="O39" s="228"/>
      <c r="P39" s="228"/>
      <c r="Q39" s="228"/>
      <c r="R39" s="228"/>
      <c r="S39" s="228"/>
      <c r="T39" s="228"/>
      <c r="U39" s="228"/>
      <c r="W39" s="228"/>
      <c r="AF39" s="229"/>
    </row>
    <row r="40" spans="1:42" hidden="1">
      <c r="O40" s="228"/>
      <c r="P40" s="228"/>
      <c r="Q40" s="228"/>
      <c r="R40" s="228"/>
      <c r="S40" s="228"/>
      <c r="T40" s="228"/>
      <c r="U40" s="228"/>
      <c r="W40" s="228"/>
      <c r="AF40" s="229"/>
    </row>
    <row r="41" spans="1:42" hidden="1">
      <c r="O41" s="228"/>
      <c r="P41" s="228"/>
      <c r="Q41" s="228"/>
      <c r="R41" s="228"/>
      <c r="S41" s="228"/>
      <c r="T41" s="228"/>
      <c r="U41" s="228"/>
      <c r="W41" s="228"/>
      <c r="AF41" s="229"/>
    </row>
    <row r="42" spans="1:42" hidden="1">
      <c r="O42" s="228"/>
      <c r="P42" s="228"/>
      <c r="Q42" s="228"/>
      <c r="R42" s="228"/>
      <c r="S42" s="228"/>
      <c r="T42" s="228"/>
      <c r="U42" s="228"/>
      <c r="W42" s="228"/>
      <c r="AF42" s="229"/>
    </row>
    <row r="43" spans="1:42" hidden="1">
      <c r="O43" s="228"/>
      <c r="P43" s="228"/>
      <c r="Q43" s="228"/>
      <c r="R43" s="228"/>
      <c r="S43" s="228"/>
      <c r="T43" s="228"/>
      <c r="U43" s="228"/>
      <c r="W43" s="228"/>
      <c r="AF43" s="229"/>
    </row>
    <row r="44" spans="1:42" hidden="1">
      <c r="O44" s="228"/>
      <c r="P44" s="228"/>
      <c r="Q44" s="228"/>
      <c r="R44" s="228"/>
      <c r="S44" s="228"/>
      <c r="T44" s="228"/>
      <c r="U44" s="228"/>
      <c r="W44" s="228"/>
      <c r="AF44" s="229"/>
    </row>
    <row r="45" spans="1:42" hidden="1">
      <c r="O45" s="228"/>
      <c r="P45" s="228"/>
      <c r="Q45" s="228"/>
      <c r="R45" s="228"/>
      <c r="S45" s="228"/>
      <c r="T45" s="228"/>
      <c r="U45" s="228"/>
      <c r="W45" s="228"/>
      <c r="AF45" s="229"/>
    </row>
    <row r="46" spans="1:42" hidden="1">
      <c r="O46" s="228"/>
      <c r="P46" s="228"/>
      <c r="Q46" s="228"/>
      <c r="R46" s="228"/>
      <c r="S46" s="228"/>
      <c r="T46" s="228"/>
      <c r="U46" s="228"/>
      <c r="W46" s="228"/>
      <c r="AF46" s="229"/>
    </row>
    <row r="47" spans="1:42" hidden="1">
      <c r="O47" s="228"/>
      <c r="P47" s="228"/>
      <c r="Q47" s="228"/>
      <c r="R47" s="228"/>
      <c r="S47" s="228"/>
      <c r="T47" s="228"/>
      <c r="U47" s="228"/>
      <c r="W47" s="228"/>
      <c r="AF47" s="229"/>
    </row>
    <row r="48" spans="1:42" hidden="1">
      <c r="O48" s="228"/>
      <c r="P48" s="228"/>
      <c r="Q48" s="228"/>
      <c r="R48" s="228"/>
      <c r="S48" s="228"/>
      <c r="T48" s="228"/>
      <c r="U48" s="228"/>
      <c r="W48" s="228"/>
      <c r="AF48" s="229"/>
    </row>
    <row r="49" spans="2:43" hidden="1">
      <c r="O49" s="228"/>
      <c r="P49" s="228"/>
      <c r="Q49" s="228"/>
      <c r="R49" s="228"/>
      <c r="S49" s="228"/>
      <c r="T49" s="228"/>
      <c r="U49" s="228"/>
      <c r="W49" s="228"/>
      <c r="AF49" s="229"/>
    </row>
    <row r="50" spans="2:43" hidden="1">
      <c r="O50" s="228"/>
      <c r="P50" s="228"/>
      <c r="Q50" s="228"/>
      <c r="R50" s="228"/>
      <c r="S50" s="228"/>
      <c r="T50" s="228"/>
      <c r="U50" s="228"/>
      <c r="W50" s="228"/>
      <c r="AF50" s="229"/>
    </row>
    <row r="51" spans="2:43" hidden="1">
      <c r="O51" s="228"/>
      <c r="P51" s="228"/>
      <c r="Q51" s="228"/>
      <c r="R51" s="228"/>
      <c r="S51" s="228"/>
      <c r="T51" s="228"/>
      <c r="U51" s="228"/>
      <c r="W51" s="228"/>
      <c r="AF51" s="229"/>
    </row>
    <row r="52" spans="2:43" hidden="1">
      <c r="O52" s="228"/>
      <c r="P52" s="228"/>
      <c r="Q52" s="228"/>
      <c r="R52" s="228"/>
      <c r="S52" s="228"/>
      <c r="T52" s="228"/>
      <c r="U52" s="228"/>
      <c r="W52" s="228"/>
      <c r="AF52" s="229"/>
    </row>
    <row r="53" spans="2:43" hidden="1">
      <c r="O53" s="228"/>
      <c r="P53" s="228"/>
      <c r="Q53" s="228"/>
      <c r="R53" s="228"/>
      <c r="S53" s="228"/>
      <c r="T53" s="228"/>
      <c r="U53" s="228"/>
      <c r="W53" s="228"/>
      <c r="AF53" s="229"/>
    </row>
    <row r="54" spans="2:43" hidden="1">
      <c r="O54" s="228"/>
      <c r="P54" s="228"/>
      <c r="Q54" s="228"/>
      <c r="R54" s="228"/>
      <c r="S54" s="228"/>
      <c r="T54" s="228"/>
      <c r="U54" s="228"/>
      <c r="W54" s="228"/>
      <c r="AF54" s="229"/>
    </row>
    <row r="55" spans="2:43" hidden="1">
      <c r="O55" s="228"/>
      <c r="P55" s="228"/>
      <c r="Q55" s="228"/>
      <c r="R55" s="228"/>
      <c r="S55" s="228"/>
      <c r="T55" s="228"/>
      <c r="U55" s="228"/>
      <c r="W55" s="228"/>
      <c r="AF55" s="229"/>
    </row>
    <row r="56" spans="2:43" hidden="1">
      <c r="O56" s="228"/>
      <c r="P56" s="228"/>
      <c r="Q56" s="228"/>
      <c r="R56" s="228"/>
      <c r="S56" s="228"/>
      <c r="T56" s="228"/>
      <c r="U56" s="228"/>
      <c r="W56" s="228"/>
      <c r="AF56" s="229"/>
    </row>
    <row r="57" spans="2:43" hidden="1">
      <c r="O57" s="228"/>
      <c r="P57" s="228"/>
      <c r="Q57" s="228"/>
      <c r="R57" s="228"/>
      <c r="S57" s="228"/>
      <c r="T57" s="228"/>
      <c r="U57" s="228"/>
      <c r="W57" s="228"/>
      <c r="AF57" s="229"/>
    </row>
    <row r="58" spans="2:43" hidden="1">
      <c r="O58" s="228"/>
      <c r="P58" s="228"/>
      <c r="Q58" s="228"/>
      <c r="R58" s="228"/>
      <c r="S58" s="228"/>
      <c r="T58" s="228"/>
      <c r="U58" s="228"/>
      <c r="W58" s="228"/>
      <c r="AF58" s="229"/>
    </row>
    <row r="59" spans="2:43">
      <c r="O59" s="228"/>
      <c r="P59" s="228"/>
      <c r="Q59" s="228"/>
      <c r="R59" s="228"/>
      <c r="S59" s="228"/>
      <c r="T59" s="228"/>
      <c r="U59" s="228"/>
      <c r="W59" s="228"/>
      <c r="AF59" s="229"/>
    </row>
    <row r="60" spans="2:43" outlineLevel="1">
      <c r="B60" s="240" t="s">
        <v>26</v>
      </c>
      <c r="O60" s="228"/>
      <c r="P60" s="228"/>
      <c r="Q60" s="228"/>
      <c r="R60" s="228"/>
      <c r="S60" s="228"/>
      <c r="T60" s="228"/>
      <c r="U60" s="228"/>
      <c r="W60" s="228"/>
      <c r="AF60" s="229"/>
    </row>
    <row r="61" spans="2:43" outlineLevel="1">
      <c r="B61" s="228" t="s">
        <v>27</v>
      </c>
      <c r="O61" s="228"/>
      <c r="P61" s="228"/>
      <c r="Q61" s="228"/>
      <c r="R61" s="228"/>
      <c r="S61" s="228"/>
      <c r="T61" s="228"/>
      <c r="U61" s="228"/>
      <c r="W61" s="228"/>
      <c r="AF61" s="229"/>
    </row>
    <row r="62" spans="2:43" outlineLevel="1">
      <c r="O62" s="228"/>
      <c r="P62" s="228"/>
      <c r="Q62" s="228"/>
      <c r="R62" s="228"/>
      <c r="S62" s="228"/>
      <c r="T62" s="228"/>
      <c r="U62" s="228"/>
      <c r="W62" s="228"/>
      <c r="X62" s="236"/>
      <c r="Y62" s="236"/>
      <c r="Z62" s="236"/>
      <c r="AA62" s="236"/>
      <c r="AB62" s="236"/>
      <c r="AC62" s="236"/>
      <c r="AD62" s="236"/>
      <c r="AE62" s="237"/>
      <c r="AF62" s="236"/>
      <c r="AG62" s="237"/>
      <c r="AH62" s="237"/>
      <c r="AI62" s="237"/>
      <c r="AJ62" s="237"/>
      <c r="AK62" s="237"/>
      <c r="AL62" s="237"/>
      <c r="AM62" s="237"/>
    </row>
    <row r="63" spans="2:43" outlineLevel="1">
      <c r="B63" s="165" t="s">
        <v>802</v>
      </c>
      <c r="O63" s="228"/>
      <c r="P63" s="228"/>
      <c r="Q63" s="228"/>
      <c r="R63" s="228"/>
      <c r="S63" s="228"/>
      <c r="T63" s="228"/>
      <c r="U63" s="228"/>
      <c r="W63" s="228"/>
      <c r="X63" s="230">
        <v>2001</v>
      </c>
      <c r="Y63" s="230"/>
      <c r="Z63" s="230">
        <v>2003</v>
      </c>
      <c r="AA63" s="230"/>
      <c r="AB63" s="230">
        <v>2005</v>
      </c>
      <c r="AC63" s="230"/>
      <c r="AD63" s="230">
        <v>2007</v>
      </c>
      <c r="AE63" s="238"/>
      <c r="AF63" s="230">
        <v>2009</v>
      </c>
      <c r="AG63" s="238">
        <v>2010</v>
      </c>
      <c r="AH63" s="238">
        <v>2011</v>
      </c>
      <c r="AI63" s="238">
        <v>2012</v>
      </c>
      <c r="AJ63" s="238">
        <v>2013</v>
      </c>
      <c r="AK63" s="238">
        <v>2014</v>
      </c>
      <c r="AL63" s="238">
        <v>2015</v>
      </c>
      <c r="AM63" s="238">
        <v>2016</v>
      </c>
      <c r="AN63" s="238">
        <v>2017</v>
      </c>
      <c r="AO63" s="238">
        <v>2018</v>
      </c>
      <c r="AP63" s="238">
        <v>2019</v>
      </c>
      <c r="AQ63" s="238">
        <v>2020</v>
      </c>
    </row>
    <row r="64" spans="2:43" outlineLevel="1">
      <c r="B64" s="165" t="s">
        <v>1826</v>
      </c>
      <c r="O64" s="228"/>
      <c r="P64" s="228"/>
      <c r="Q64" s="228"/>
      <c r="R64" s="228"/>
      <c r="S64" s="228"/>
      <c r="T64" s="228"/>
      <c r="U64" s="228"/>
      <c r="W64" s="228"/>
      <c r="AF64" s="229"/>
    </row>
    <row r="65" spans="2:43" outlineLevel="1">
      <c r="B65" s="228" t="s">
        <v>28</v>
      </c>
      <c r="C65" s="228" t="s">
        <v>29</v>
      </c>
      <c r="O65" s="228"/>
      <c r="P65" s="228"/>
      <c r="Q65" s="228"/>
      <c r="R65" s="228"/>
      <c r="S65" s="228"/>
      <c r="T65" s="228"/>
      <c r="U65" s="228"/>
      <c r="W65" s="228"/>
      <c r="X65" s="231">
        <v>832486</v>
      </c>
      <c r="Y65" s="231">
        <v>857001</v>
      </c>
      <c r="Z65" s="231">
        <v>884545</v>
      </c>
      <c r="AA65" s="231">
        <v>921073</v>
      </c>
      <c r="AB65" s="231">
        <v>960562</v>
      </c>
      <c r="AC65" s="231">
        <v>1002371</v>
      </c>
      <c r="AD65" s="231">
        <v>1050592</v>
      </c>
      <c r="AE65" s="239">
        <v>1085168</v>
      </c>
      <c r="AF65" s="231">
        <v>1072341</v>
      </c>
      <c r="AG65" s="239">
        <v>1104506</v>
      </c>
      <c r="AH65" s="239">
        <v>1131742</v>
      </c>
      <c r="AI65" s="239">
        <v>1142970</v>
      </c>
      <c r="AJ65" s="239">
        <v>1156741</v>
      </c>
      <c r="AK65" s="239">
        <v>1167531</v>
      </c>
      <c r="AL65" s="239">
        <v>1188170</v>
      </c>
      <c r="AM65" s="239">
        <v>1212312</v>
      </c>
      <c r="AN65" s="239">
        <v>1240152</v>
      </c>
      <c r="AO65" s="239">
        <v>1273391</v>
      </c>
      <c r="AP65" s="239">
        <v>1306796</v>
      </c>
      <c r="AQ65" s="239">
        <v>1223704</v>
      </c>
    </row>
    <row r="66" spans="2:43" outlineLevel="1">
      <c r="O66" s="228"/>
      <c r="P66" s="228"/>
      <c r="Q66" s="228"/>
      <c r="R66" s="228"/>
      <c r="S66" s="228"/>
      <c r="T66" s="228"/>
      <c r="U66" s="228"/>
      <c r="W66" s="228"/>
      <c r="X66" s="231"/>
      <c r="Y66" s="231"/>
      <c r="Z66" s="231"/>
      <c r="AA66" s="231"/>
      <c r="AB66" s="231"/>
      <c r="AC66" s="231"/>
      <c r="AD66" s="231"/>
      <c r="AE66" s="239"/>
      <c r="AF66" s="231"/>
      <c r="AG66" s="239"/>
      <c r="AH66" s="239"/>
      <c r="AI66" s="239"/>
      <c r="AJ66" s="239"/>
      <c r="AK66" s="239"/>
      <c r="AL66" s="239"/>
      <c r="AM66" s="239"/>
      <c r="AN66" s="239"/>
      <c r="AO66" s="239"/>
      <c r="AP66" s="239"/>
      <c r="AQ66" s="239"/>
    </row>
    <row r="67" spans="2:43" outlineLevel="1">
      <c r="B67" s="228" t="s">
        <v>30</v>
      </c>
      <c r="C67" s="228" t="s">
        <v>31</v>
      </c>
      <c r="O67" s="228"/>
      <c r="P67" s="228"/>
      <c r="Q67" s="228"/>
      <c r="R67" s="228"/>
      <c r="S67" s="228"/>
      <c r="T67" s="228"/>
      <c r="U67" s="228"/>
      <c r="W67" s="228"/>
      <c r="X67" s="231">
        <v>975281</v>
      </c>
      <c r="Y67" s="231">
        <v>1010793</v>
      </c>
      <c r="Z67" s="231">
        <v>1047800</v>
      </c>
      <c r="AA67" s="231">
        <v>1094535</v>
      </c>
      <c r="AB67" s="231">
        <v>1141174</v>
      </c>
      <c r="AC67" s="231">
        <v>1190063</v>
      </c>
      <c r="AD67" s="231">
        <v>1245523</v>
      </c>
      <c r="AE67" s="239">
        <v>1288079</v>
      </c>
      <c r="AF67" s="231">
        <v>1284540</v>
      </c>
      <c r="AG67" s="239">
        <v>1323317</v>
      </c>
      <c r="AH67" s="239">
        <v>1356858</v>
      </c>
      <c r="AI67" s="239">
        <v>1374757</v>
      </c>
      <c r="AJ67" s="239">
        <v>1394118</v>
      </c>
      <c r="AK67" s="239">
        <v>1407679</v>
      </c>
      <c r="AL67" s="239">
        <v>1430269</v>
      </c>
      <c r="AM67" s="239">
        <v>1458540</v>
      </c>
      <c r="AN67" s="239">
        <v>1492438</v>
      </c>
      <c r="AO67" s="239">
        <v>1529423</v>
      </c>
      <c r="AP67" s="239">
        <v>1569731</v>
      </c>
      <c r="AQ67" s="239">
        <v>1496976</v>
      </c>
    </row>
    <row r="68" spans="2:43" outlineLevel="1">
      <c r="O68" s="228"/>
      <c r="P68" s="228"/>
      <c r="Q68" s="228"/>
      <c r="R68" s="228"/>
      <c r="S68" s="228"/>
      <c r="T68" s="228"/>
      <c r="U68" s="228"/>
      <c r="W68" s="228"/>
      <c r="X68" s="231"/>
      <c r="Y68" s="231"/>
      <c r="Z68" s="231"/>
      <c r="AA68" s="231"/>
      <c r="AB68" s="231"/>
      <c r="AC68" s="231"/>
      <c r="AD68" s="231"/>
      <c r="AE68" s="239"/>
      <c r="AF68" s="231"/>
      <c r="AG68" s="239"/>
      <c r="AH68" s="239"/>
      <c r="AI68" s="239"/>
      <c r="AJ68" s="239"/>
      <c r="AK68" s="239"/>
      <c r="AL68" s="239"/>
      <c r="AM68" s="239"/>
      <c r="AN68" s="239"/>
      <c r="AO68" s="239"/>
      <c r="AP68" s="239"/>
      <c r="AQ68" s="239"/>
    </row>
    <row r="69" spans="2:43" outlineLevel="1">
      <c r="B69" s="228" t="s">
        <v>32</v>
      </c>
      <c r="C69" s="228" t="s">
        <v>33</v>
      </c>
      <c r="O69" s="228"/>
      <c r="P69" s="228"/>
      <c r="Q69" s="228"/>
      <c r="R69" s="228"/>
      <c r="S69" s="228"/>
      <c r="T69" s="228"/>
      <c r="U69" s="228"/>
      <c r="W69" s="228"/>
      <c r="X69" s="231">
        <f>SUM(X71:X72)</f>
        <v>151228.43700000001</v>
      </c>
      <c r="Y69" s="231">
        <f t="shared" ref="Y69:AN69" si="14">SUM(Y71:Y72)</f>
        <v>156309.80100000001</v>
      </c>
      <c r="Z69" s="231">
        <f t="shared" si="14"/>
        <v>159177.372</v>
      </c>
      <c r="AA69" s="231">
        <f t="shared" si="14"/>
        <v>166962.98300000001</v>
      </c>
      <c r="AB69" s="231">
        <f t="shared" si="14"/>
        <v>173586.59399999998</v>
      </c>
      <c r="AC69" s="231">
        <f t="shared" si="14"/>
        <v>180045.57500000001</v>
      </c>
      <c r="AD69" s="231">
        <f t="shared" si="14"/>
        <v>184894.08499999999</v>
      </c>
      <c r="AE69" s="239">
        <f t="shared" si="14"/>
        <v>186627.97899999999</v>
      </c>
      <c r="AF69" s="231">
        <f t="shared" si="14"/>
        <v>179805.94800000003</v>
      </c>
      <c r="AG69" s="239">
        <f t="shared" si="14"/>
        <v>196133.88499999998</v>
      </c>
      <c r="AH69" s="239">
        <f t="shared" si="14"/>
        <v>205433.43699999998</v>
      </c>
      <c r="AI69" s="239">
        <f t="shared" si="14"/>
        <v>209672.337</v>
      </c>
      <c r="AJ69" s="239">
        <f t="shared" si="14"/>
        <v>214060.77499999999</v>
      </c>
      <c r="AK69" s="239">
        <f t="shared" si="14"/>
        <v>219229.04800000001</v>
      </c>
      <c r="AL69" s="239">
        <f t="shared" si="14"/>
        <v>225051.80600000001</v>
      </c>
      <c r="AM69" s="239">
        <f t="shared" si="14"/>
        <v>229926.12800000003</v>
      </c>
      <c r="AN69" s="239">
        <f t="shared" si="14"/>
        <v>240187.48799999998</v>
      </c>
      <c r="AO69" s="239">
        <f>SUM(AO71:AO72)</f>
        <v>249978.13700000002</v>
      </c>
      <c r="AP69" s="239">
        <f t="shared" ref="AP69:AQ69" si="15">SUM(AP71:AP72)</f>
        <v>258238.83499999999</v>
      </c>
      <c r="AQ69" s="239">
        <f t="shared" si="15"/>
        <v>241085.39799999999</v>
      </c>
    </row>
    <row r="70" spans="2:43" outlineLevel="1">
      <c r="O70" s="228"/>
      <c r="P70" s="228"/>
      <c r="Q70" s="228"/>
      <c r="R70" s="228"/>
      <c r="S70" s="228"/>
      <c r="T70" s="228"/>
      <c r="U70" s="228"/>
      <c r="W70" s="228"/>
      <c r="X70" s="231"/>
      <c r="Y70" s="231"/>
      <c r="Z70" s="231"/>
      <c r="AA70" s="231"/>
      <c r="AB70" s="231"/>
      <c r="AC70" s="231"/>
      <c r="AD70" s="231"/>
      <c r="AE70" s="239"/>
      <c r="AF70" s="231"/>
      <c r="AG70" s="239"/>
      <c r="AH70" s="239"/>
      <c r="AI70" s="239"/>
      <c r="AJ70" s="239"/>
      <c r="AK70" s="239"/>
      <c r="AL70" s="239"/>
      <c r="AM70" s="239"/>
      <c r="AN70" s="239"/>
      <c r="AO70" s="239"/>
      <c r="AP70" s="239"/>
      <c r="AQ70" s="239"/>
    </row>
    <row r="71" spans="2:43" outlineLevel="1">
      <c r="C71" s="228" t="s">
        <v>34</v>
      </c>
      <c r="O71" s="228"/>
      <c r="P71" s="228"/>
      <c r="Q71" s="228"/>
      <c r="R71" s="228"/>
      <c r="S71" s="228"/>
      <c r="T71" s="228"/>
      <c r="U71" s="228"/>
      <c r="W71" s="228"/>
      <c r="X71" s="231">
        <v>111659.90399999999</v>
      </c>
      <c r="Y71" s="231">
        <v>113693.54800000001</v>
      </c>
      <c r="Z71" s="231">
        <v>116941.014</v>
      </c>
      <c r="AA71" s="231">
        <v>123551.512</v>
      </c>
      <c r="AB71" s="231">
        <v>130738.552</v>
      </c>
      <c r="AC71" s="231">
        <v>135874.43600000002</v>
      </c>
      <c r="AD71" s="231">
        <v>141098.291</v>
      </c>
      <c r="AE71" s="239">
        <v>142618.283</v>
      </c>
      <c r="AF71" s="231">
        <v>135382.67500000002</v>
      </c>
      <c r="AG71" s="239">
        <v>150575.47899999999</v>
      </c>
      <c r="AH71" s="239">
        <v>157156.34299999999</v>
      </c>
      <c r="AI71" s="239">
        <v>160262.66500000001</v>
      </c>
      <c r="AJ71" s="239">
        <v>161984.783</v>
      </c>
      <c r="AK71" s="239">
        <v>166428.367</v>
      </c>
      <c r="AL71" s="239">
        <v>168692.361</v>
      </c>
      <c r="AM71" s="239">
        <v>171309.58300000001</v>
      </c>
      <c r="AN71" s="239">
        <v>178654.78899999999</v>
      </c>
      <c r="AO71" s="239">
        <v>185418.60700000002</v>
      </c>
      <c r="AP71" s="239">
        <v>193630.36</v>
      </c>
      <c r="AQ71" s="239">
        <v>180257.71</v>
      </c>
    </row>
    <row r="72" spans="2:43" outlineLevel="1">
      <c r="C72" s="228" t="s">
        <v>35</v>
      </c>
      <c r="O72" s="228"/>
      <c r="P72" s="228"/>
      <c r="Q72" s="228"/>
      <c r="R72" s="228"/>
      <c r="S72" s="228"/>
      <c r="T72" s="228"/>
      <c r="U72" s="228"/>
      <c r="W72" s="228"/>
      <c r="X72" s="231">
        <v>39568.533000000003</v>
      </c>
      <c r="Y72" s="231">
        <v>42616.252999999997</v>
      </c>
      <c r="Z72" s="231">
        <v>42236.358</v>
      </c>
      <c r="AA72" s="231">
        <v>43411.470999999998</v>
      </c>
      <c r="AB72" s="231">
        <v>42848.042000000001</v>
      </c>
      <c r="AC72" s="231">
        <v>44171.138999999996</v>
      </c>
      <c r="AD72" s="231">
        <v>43795.794000000002</v>
      </c>
      <c r="AE72" s="239">
        <v>44009.695999999996</v>
      </c>
      <c r="AF72" s="231">
        <v>44423.273000000001</v>
      </c>
      <c r="AG72" s="239">
        <v>45558.405999999995</v>
      </c>
      <c r="AH72" s="239">
        <v>48277.093999999997</v>
      </c>
      <c r="AI72" s="239">
        <v>49409.671999999999</v>
      </c>
      <c r="AJ72" s="239">
        <v>52075.991999999998</v>
      </c>
      <c r="AK72" s="239">
        <v>52800.680999999997</v>
      </c>
      <c r="AL72" s="239">
        <v>56359.445</v>
      </c>
      <c r="AM72" s="239">
        <v>58616.545000000006</v>
      </c>
      <c r="AN72" s="239">
        <v>61532.699000000001</v>
      </c>
      <c r="AO72" s="239">
        <v>64559.53</v>
      </c>
      <c r="AP72" s="239">
        <v>64608.474999999999</v>
      </c>
      <c r="AQ72" s="239">
        <v>60827.688000000002</v>
      </c>
    </row>
    <row r="73" spans="2:43" outlineLevel="1">
      <c r="O73" s="228"/>
      <c r="P73" s="228"/>
      <c r="Q73" s="228"/>
      <c r="R73" s="228"/>
      <c r="S73" s="228"/>
      <c r="T73" s="228"/>
      <c r="U73" s="228"/>
      <c r="W73" s="228"/>
      <c r="X73" s="231"/>
      <c r="Y73" s="231"/>
      <c r="Z73" s="231"/>
      <c r="AA73" s="231"/>
      <c r="AB73" s="231"/>
      <c r="AC73" s="231"/>
      <c r="AD73" s="231"/>
      <c r="AE73" s="239"/>
      <c r="AF73" s="231"/>
      <c r="AG73" s="239"/>
      <c r="AH73" s="239"/>
      <c r="AI73" s="239"/>
      <c r="AJ73" s="239"/>
      <c r="AK73" s="239"/>
      <c r="AL73" s="239"/>
      <c r="AM73" s="239"/>
      <c r="AN73" s="239"/>
      <c r="AO73" s="239"/>
      <c r="AP73" s="239"/>
      <c r="AQ73" s="239"/>
    </row>
    <row r="74" spans="2:43" outlineLevel="1">
      <c r="B74" s="228" t="s">
        <v>36</v>
      </c>
      <c r="C74" s="228" t="s">
        <v>37</v>
      </c>
      <c r="O74" s="228"/>
      <c r="P74" s="228"/>
      <c r="Q74" s="228"/>
      <c r="R74" s="228"/>
      <c r="S74" s="228"/>
      <c r="T74" s="228"/>
      <c r="U74" s="228"/>
      <c r="W74" s="228"/>
      <c r="X74" s="231">
        <v>164830.27799999999</v>
      </c>
      <c r="Y74" s="231">
        <v>170390.601</v>
      </c>
      <c r="Z74" s="231">
        <v>173254.86900000001</v>
      </c>
      <c r="AA74" s="231">
        <v>182170.758</v>
      </c>
      <c r="AB74" s="231">
        <v>189355.342</v>
      </c>
      <c r="AC74" s="231">
        <v>194927.38199999998</v>
      </c>
      <c r="AD74" s="231">
        <v>200883.28699999998</v>
      </c>
      <c r="AE74" s="239">
        <v>202907.17199999999</v>
      </c>
      <c r="AF74" s="231">
        <v>197242.23499999999</v>
      </c>
      <c r="AG74" s="239">
        <v>214562.92500000002</v>
      </c>
      <c r="AH74" s="239">
        <v>226946.59599999999</v>
      </c>
      <c r="AI74" s="239">
        <v>233192.95699999999</v>
      </c>
      <c r="AJ74" s="239">
        <v>237296.62899999999</v>
      </c>
      <c r="AK74" s="239">
        <v>242843.486</v>
      </c>
      <c r="AL74" s="239">
        <v>250170.16200000001</v>
      </c>
      <c r="AM74" s="239">
        <v>256968.56200000003</v>
      </c>
      <c r="AN74" s="239">
        <v>268849.071</v>
      </c>
      <c r="AO74" s="239">
        <v>280132.35700000002</v>
      </c>
      <c r="AP74" s="239">
        <v>289589.10800000001</v>
      </c>
      <c r="AQ74" s="239">
        <v>271896.728</v>
      </c>
    </row>
    <row r="75" spans="2:43" outlineLevel="1">
      <c r="O75" s="228"/>
      <c r="P75" s="228"/>
      <c r="Q75" s="228"/>
      <c r="R75" s="228"/>
      <c r="S75" s="228"/>
      <c r="T75" s="228"/>
      <c r="U75" s="228"/>
      <c r="W75" s="228"/>
      <c r="X75" s="231"/>
      <c r="Y75" s="231"/>
      <c r="Z75" s="231"/>
      <c r="AA75" s="231"/>
      <c r="AB75" s="231"/>
      <c r="AC75" s="231"/>
      <c r="AD75" s="231"/>
      <c r="AE75" s="239"/>
      <c r="AF75" s="231"/>
      <c r="AG75" s="239"/>
      <c r="AH75" s="239"/>
      <c r="AI75" s="239"/>
      <c r="AJ75" s="239"/>
      <c r="AK75" s="239"/>
      <c r="AL75" s="239"/>
      <c r="AM75" s="239"/>
      <c r="AN75" s="239"/>
      <c r="AO75" s="239"/>
      <c r="AP75" s="239"/>
      <c r="AQ75" s="239"/>
    </row>
    <row r="76" spans="2:43" outlineLevel="1">
      <c r="B76" s="228" t="s">
        <v>38</v>
      </c>
      <c r="C76" s="228" t="s">
        <v>39</v>
      </c>
      <c r="O76" s="228"/>
      <c r="P76" s="228"/>
      <c r="Q76" s="228"/>
      <c r="R76" s="228"/>
      <c r="S76" s="228"/>
      <c r="T76" s="228"/>
      <c r="U76" s="228"/>
      <c r="W76" s="228"/>
      <c r="X76" s="231">
        <v>171338.74800000002</v>
      </c>
      <c r="Y76" s="231">
        <v>176958.99299999999</v>
      </c>
      <c r="Z76" s="231">
        <v>179723.14600000001</v>
      </c>
      <c r="AA76" s="231">
        <v>188865.06099999999</v>
      </c>
      <c r="AB76" s="231">
        <v>196212.64800000002</v>
      </c>
      <c r="AC76" s="231">
        <v>202715.21100000001</v>
      </c>
      <c r="AD76" s="231">
        <v>208945.82199999999</v>
      </c>
      <c r="AE76" s="239">
        <v>211536.356</v>
      </c>
      <c r="AF76" s="231">
        <v>205838.12599999999</v>
      </c>
      <c r="AG76" s="239">
        <v>223320.36</v>
      </c>
      <c r="AH76" s="239">
        <v>236264.80300000001</v>
      </c>
      <c r="AI76" s="239">
        <v>243051.26799999998</v>
      </c>
      <c r="AJ76" s="239">
        <v>246816.886</v>
      </c>
      <c r="AK76" s="239">
        <v>252840.58099999998</v>
      </c>
      <c r="AL76" s="239">
        <v>260299.106</v>
      </c>
      <c r="AM76" s="239">
        <v>267679.22099999996</v>
      </c>
      <c r="AN76" s="239">
        <v>279795.09700000001</v>
      </c>
      <c r="AO76" s="239">
        <v>291799.48599999998</v>
      </c>
      <c r="AP76" s="239">
        <v>301528.38400000002</v>
      </c>
      <c r="AQ76" s="239">
        <v>282962.44699999999</v>
      </c>
    </row>
    <row r="77" spans="2:43" outlineLevel="1">
      <c r="O77" s="228"/>
      <c r="P77" s="228"/>
      <c r="Q77" s="228"/>
      <c r="R77" s="228"/>
      <c r="S77" s="228"/>
      <c r="T77" s="228"/>
      <c r="U77" s="228"/>
      <c r="W77" s="228"/>
      <c r="X77" s="231"/>
      <c r="Y77" s="231"/>
      <c r="Z77" s="231"/>
      <c r="AA77" s="231"/>
      <c r="AB77" s="231"/>
      <c r="AC77" s="231"/>
      <c r="AD77" s="231"/>
      <c r="AE77" s="239"/>
      <c r="AF77" s="231"/>
      <c r="AG77" s="239"/>
      <c r="AH77" s="239"/>
      <c r="AI77" s="239"/>
      <c r="AJ77" s="239"/>
      <c r="AK77" s="239"/>
      <c r="AL77" s="239"/>
      <c r="AM77" s="239"/>
      <c r="AN77" s="239"/>
      <c r="AO77" s="239"/>
      <c r="AP77" s="239"/>
      <c r="AQ77" s="239"/>
    </row>
    <row r="78" spans="2:43" outlineLevel="1">
      <c r="B78" s="228" t="s">
        <v>40</v>
      </c>
      <c r="O78" s="228"/>
      <c r="P78" s="228"/>
      <c r="Q78" s="228"/>
      <c r="R78" s="228"/>
      <c r="S78" s="228"/>
      <c r="T78" s="228"/>
      <c r="U78" s="228"/>
      <c r="W78" s="228"/>
      <c r="X78" s="231"/>
      <c r="Y78" s="231"/>
      <c r="Z78" s="231"/>
      <c r="AA78" s="231"/>
      <c r="AB78" s="231"/>
      <c r="AC78" s="231"/>
      <c r="AD78" s="231"/>
      <c r="AE78" s="239"/>
      <c r="AF78" s="231"/>
      <c r="AG78" s="239"/>
      <c r="AH78" s="239"/>
      <c r="AI78" s="239"/>
      <c r="AJ78" s="239"/>
      <c r="AK78" s="239"/>
      <c r="AL78" s="239"/>
      <c r="AM78" s="239"/>
      <c r="AN78" s="239"/>
      <c r="AO78" s="239"/>
      <c r="AP78" s="239"/>
      <c r="AQ78" s="239"/>
    </row>
    <row r="79" spans="2:43" outlineLevel="1">
      <c r="O79" s="228"/>
      <c r="P79" s="228"/>
      <c r="Q79" s="228"/>
      <c r="R79" s="228"/>
      <c r="S79" s="228"/>
      <c r="T79" s="228"/>
      <c r="U79" s="228"/>
      <c r="W79" s="228"/>
      <c r="X79" s="231"/>
      <c r="Y79" s="231"/>
      <c r="Z79" s="231"/>
      <c r="AA79" s="231"/>
      <c r="AB79" s="231"/>
      <c r="AC79" s="231"/>
      <c r="AD79" s="231"/>
      <c r="AE79" s="239"/>
      <c r="AF79" s="231"/>
      <c r="AG79" s="239"/>
      <c r="AH79" s="239"/>
      <c r="AI79" s="239"/>
      <c r="AJ79" s="239"/>
      <c r="AK79" s="239"/>
      <c r="AL79" s="239"/>
      <c r="AM79" s="239"/>
      <c r="AN79" s="239"/>
      <c r="AO79" s="239"/>
      <c r="AP79" s="239"/>
      <c r="AQ79" s="239"/>
    </row>
    <row r="80" spans="2:43" outlineLevel="1">
      <c r="B80" s="228" t="s">
        <v>41</v>
      </c>
      <c r="C80" s="228" t="s">
        <v>42</v>
      </c>
      <c r="O80" s="228"/>
      <c r="P80" s="228"/>
      <c r="Q80" s="228"/>
      <c r="R80" s="228"/>
      <c r="S80" s="228"/>
      <c r="T80" s="228"/>
      <c r="U80" s="228"/>
      <c r="W80" s="228"/>
      <c r="X80" s="1369">
        <f>X69/X67</f>
        <v>0.15506139974017746</v>
      </c>
      <c r="Y80" s="1369">
        <f t="shared" ref="Y80:AN80" si="16">Y69/Y67</f>
        <v>0.15464076324232559</v>
      </c>
      <c r="Z80" s="1369">
        <f t="shared" si="16"/>
        <v>0.15191579690780685</v>
      </c>
      <c r="AA80" s="1369">
        <f t="shared" si="16"/>
        <v>0.15254238832015424</v>
      </c>
      <c r="AB80" s="1369">
        <f t="shared" si="16"/>
        <v>0.15211229312970675</v>
      </c>
      <c r="AC80" s="1369">
        <f t="shared" si="16"/>
        <v>0.15129079300843737</v>
      </c>
      <c r="AD80" s="1369">
        <f t="shared" si="16"/>
        <v>0.14844694558029037</v>
      </c>
      <c r="AE80" s="1370">
        <f t="shared" si="16"/>
        <v>0.14488861242206416</v>
      </c>
      <c r="AF80" s="1369">
        <f t="shared" si="16"/>
        <v>0.13997691625017519</v>
      </c>
      <c r="AG80" s="1370">
        <f t="shared" si="16"/>
        <v>0.14821383311783948</v>
      </c>
      <c r="AH80" s="1370">
        <f t="shared" si="16"/>
        <v>0.15140378506815008</v>
      </c>
      <c r="AI80" s="1370">
        <f t="shared" si="16"/>
        <v>0.15251592608730125</v>
      </c>
      <c r="AJ80" s="1370">
        <f t="shared" si="16"/>
        <v>0.15354566471417772</v>
      </c>
      <c r="AK80" s="1370">
        <f t="shared" si="16"/>
        <v>0.15573795446262961</v>
      </c>
      <c r="AL80" s="1370">
        <f t="shared" si="16"/>
        <v>0.15734928604339465</v>
      </c>
      <c r="AM80" s="1370">
        <f t="shared" si="16"/>
        <v>0.15764129060567419</v>
      </c>
      <c r="AN80" s="1370">
        <f t="shared" si="16"/>
        <v>0.16093632566310961</v>
      </c>
      <c r="AO80" s="1370">
        <f>AO69/AO67</f>
        <v>0.16344604272330154</v>
      </c>
      <c r="AP80" s="1370">
        <f t="shared" ref="AP80:AQ80" si="17">AP69/AP67</f>
        <v>0.16451152140080053</v>
      </c>
      <c r="AQ80" s="1370">
        <f t="shared" si="17"/>
        <v>0.16104827198298435</v>
      </c>
    </row>
    <row r="81" spans="1:43" outlineLevel="1">
      <c r="O81" s="228"/>
      <c r="P81" s="228"/>
      <c r="Q81" s="228"/>
      <c r="R81" s="228"/>
      <c r="S81" s="228"/>
      <c r="T81" s="228"/>
      <c r="U81" s="228"/>
      <c r="W81" s="228"/>
      <c r="X81" s="1371"/>
      <c r="Y81" s="1371"/>
      <c r="Z81" s="1371"/>
      <c r="AA81" s="1371"/>
      <c r="AB81" s="1371"/>
      <c r="AC81" s="1371"/>
      <c r="AD81" s="1371"/>
      <c r="AE81" s="1372"/>
      <c r="AF81" s="1371"/>
      <c r="AG81" s="1372"/>
      <c r="AH81" s="1372"/>
      <c r="AI81" s="1372"/>
      <c r="AJ81" s="1372"/>
      <c r="AK81" s="1372"/>
      <c r="AL81" s="1372"/>
      <c r="AM81" s="1372"/>
      <c r="AN81" s="1372"/>
      <c r="AO81" s="1372"/>
      <c r="AP81" s="1372"/>
      <c r="AQ81" s="1372"/>
    </row>
    <row r="82" spans="1:43" outlineLevel="1">
      <c r="B82" s="228" t="s">
        <v>43</v>
      </c>
      <c r="C82" s="228" t="s">
        <v>44</v>
      </c>
      <c r="O82" s="228"/>
      <c r="P82" s="228"/>
      <c r="Q82" s="228"/>
      <c r="R82" s="228"/>
      <c r="S82" s="228"/>
      <c r="T82" s="228"/>
      <c r="U82" s="228"/>
      <c r="W82" s="228"/>
      <c r="X82" s="1371">
        <f>X76/X67</f>
        <v>0.17568141694547523</v>
      </c>
      <c r="Y82" s="1371">
        <f t="shared" ref="Y82:AN82" si="18">Y76/Y67</f>
        <v>0.17506946822940006</v>
      </c>
      <c r="Z82" s="1371">
        <f t="shared" si="18"/>
        <v>0.17152428516892537</v>
      </c>
      <c r="AA82" s="1371">
        <f t="shared" si="18"/>
        <v>0.17255278360216894</v>
      </c>
      <c r="AB82" s="1371">
        <f t="shared" si="18"/>
        <v>0.17193929059021676</v>
      </c>
      <c r="AC82" s="1371">
        <f t="shared" si="18"/>
        <v>0.1703398988120797</v>
      </c>
      <c r="AD82" s="1371">
        <f t="shared" si="18"/>
        <v>0.16775749785431501</v>
      </c>
      <c r="AE82" s="1372">
        <f t="shared" si="18"/>
        <v>0.16422622836021702</v>
      </c>
      <c r="AF82" s="1371">
        <f t="shared" si="18"/>
        <v>0.16024267519890387</v>
      </c>
      <c r="AG82" s="1372">
        <f t="shared" si="18"/>
        <v>0.16875802245418142</v>
      </c>
      <c r="AH82" s="1372">
        <f t="shared" si="18"/>
        <v>0.17412640305765231</v>
      </c>
      <c r="AI82" s="1372">
        <f t="shared" si="18"/>
        <v>0.17679580318558114</v>
      </c>
      <c r="AJ82" s="1372">
        <f t="shared" si="18"/>
        <v>0.17704160336499492</v>
      </c>
      <c r="AK82" s="1372">
        <f t="shared" si="18"/>
        <v>0.17961522548819722</v>
      </c>
      <c r="AL82" s="1372">
        <f t="shared" si="18"/>
        <v>0.18199311178526556</v>
      </c>
      <c r="AM82" s="1372">
        <f t="shared" si="18"/>
        <v>0.18352545764943023</v>
      </c>
      <c r="AN82" s="1372">
        <f t="shared" si="18"/>
        <v>0.18747518958911527</v>
      </c>
      <c r="AO82" s="1372">
        <f>AO76/AO67</f>
        <v>0.19079057003850469</v>
      </c>
      <c r="AP82" s="1372">
        <f t="shared" ref="AP82:AQ82" si="19">AP76/AP67</f>
        <v>0.19208920764130927</v>
      </c>
      <c r="AQ82" s="1372">
        <f t="shared" si="19"/>
        <v>0.18902270109874841</v>
      </c>
    </row>
    <row r="83" spans="1:43" outlineLevel="1">
      <c r="O83" s="228"/>
      <c r="P83" s="228"/>
      <c r="Q83" s="228"/>
      <c r="R83" s="228"/>
      <c r="S83" s="228"/>
      <c r="T83" s="228"/>
      <c r="U83" s="228"/>
      <c r="W83" s="228"/>
      <c r="X83" s="1371"/>
      <c r="Y83" s="1371"/>
      <c r="Z83" s="1371"/>
      <c r="AA83" s="1371"/>
      <c r="AB83" s="1371"/>
      <c r="AC83" s="1371"/>
      <c r="AD83" s="1371"/>
      <c r="AE83" s="1372"/>
      <c r="AF83" s="1371"/>
      <c r="AG83" s="1372"/>
      <c r="AH83" s="1372"/>
      <c r="AI83" s="1372"/>
      <c r="AJ83" s="1372"/>
      <c r="AK83" s="1372"/>
      <c r="AL83" s="1372"/>
      <c r="AM83" s="1372"/>
      <c r="AN83" s="1372"/>
      <c r="AO83" s="1372"/>
      <c r="AP83" s="1372"/>
      <c r="AQ83" s="1372"/>
    </row>
    <row r="84" spans="1:43" outlineLevel="1">
      <c r="B84" s="228" t="s">
        <v>45</v>
      </c>
      <c r="C84" s="228" t="s">
        <v>46</v>
      </c>
      <c r="O84" s="228"/>
      <c r="P84" s="228"/>
      <c r="Q84" s="228"/>
      <c r="R84" s="228"/>
      <c r="S84" s="228"/>
      <c r="T84" s="228"/>
      <c r="U84" s="228"/>
      <c r="W84" s="228"/>
      <c r="X84" s="1371">
        <f>X76/X65</f>
        <v>0.20581577107603014</v>
      </c>
      <c r="Y84" s="1371">
        <f t="shared" ref="Y84:AN84" si="20">Y76/Y65</f>
        <v>0.206486331987944</v>
      </c>
      <c r="Z84" s="1371">
        <f t="shared" si="20"/>
        <v>0.20318146165542739</v>
      </c>
      <c r="AA84" s="1371">
        <f t="shared" si="20"/>
        <v>0.20504896028870676</v>
      </c>
      <c r="AB84" s="1371">
        <f t="shared" si="20"/>
        <v>0.20426859276132101</v>
      </c>
      <c r="AC84" s="1371">
        <f t="shared" si="20"/>
        <v>0.20223571013127875</v>
      </c>
      <c r="AD84" s="1371">
        <f t="shared" si="20"/>
        <v>0.19888388832201273</v>
      </c>
      <c r="AE84" s="1372">
        <f t="shared" si="20"/>
        <v>0.19493420005013049</v>
      </c>
      <c r="AF84" s="1371">
        <f t="shared" si="20"/>
        <v>0.19195211784311147</v>
      </c>
      <c r="AG84" s="1372">
        <f t="shared" si="20"/>
        <v>0.2021902642448298</v>
      </c>
      <c r="AH84" s="1372">
        <f t="shared" si="20"/>
        <v>0.20876207033051705</v>
      </c>
      <c r="AI84" s="1372">
        <f t="shared" si="20"/>
        <v>0.212648860425033</v>
      </c>
      <c r="AJ84" s="1372">
        <f t="shared" si="20"/>
        <v>0.21337264435167422</v>
      </c>
      <c r="AK84" s="1372">
        <f t="shared" si="20"/>
        <v>0.21656005793422187</v>
      </c>
      <c r="AL84" s="1372">
        <f t="shared" si="20"/>
        <v>0.21907564237440771</v>
      </c>
      <c r="AM84" s="1372">
        <f t="shared" si="20"/>
        <v>0.22080060331003898</v>
      </c>
      <c r="AN84" s="1372">
        <f t="shared" si="20"/>
        <v>0.22561355140337636</v>
      </c>
      <c r="AO84" s="1372">
        <f>AO76/AO65</f>
        <v>0.22915152219546076</v>
      </c>
      <c r="AP84" s="1372">
        <f t="shared" ref="AP84:AQ84" si="21">AP76/AP65</f>
        <v>0.23073867994698485</v>
      </c>
      <c r="AQ84" s="1372">
        <f t="shared" si="21"/>
        <v>0.2312343891986951</v>
      </c>
    </row>
    <row r="85" spans="1:43" ht="15" outlineLevel="1">
      <c r="O85" s="228"/>
      <c r="P85" s="228"/>
      <c r="Q85" s="228"/>
      <c r="R85" s="228"/>
      <c r="S85" s="228"/>
      <c r="T85" s="228"/>
      <c r="U85" s="228"/>
      <c r="W85" s="228"/>
      <c r="AF85" s="229"/>
      <c r="AO85" s="545"/>
      <c r="AP85" s="545"/>
    </row>
    <row r="86" spans="1:43" ht="15" outlineLevel="1">
      <c r="O86" s="228"/>
      <c r="P86" s="228"/>
      <c r="Q86" s="228"/>
      <c r="R86" s="228"/>
      <c r="S86" s="228"/>
      <c r="T86" s="228"/>
      <c r="U86" s="228"/>
      <c r="W86" s="228"/>
      <c r="AF86" s="229"/>
      <c r="AP86" s="545"/>
    </row>
    <row r="87" spans="1:43" outlineLevel="1">
      <c r="B87" s="228" t="s">
        <v>47</v>
      </c>
      <c r="O87" s="228"/>
      <c r="P87" s="228"/>
      <c r="Q87" s="228"/>
      <c r="R87" s="228"/>
      <c r="S87" s="228"/>
      <c r="T87" s="228"/>
      <c r="U87" s="228"/>
      <c r="W87" s="228"/>
      <c r="AF87" s="229"/>
    </row>
    <row r="88" spans="1:43">
      <c r="O88" s="228"/>
      <c r="P88" s="228"/>
      <c r="Q88" s="228"/>
      <c r="R88" s="228"/>
      <c r="S88" s="228"/>
      <c r="T88" s="228"/>
      <c r="U88" s="228"/>
      <c r="W88" s="228"/>
      <c r="AF88" s="229"/>
    </row>
    <row r="89" spans="1:43">
      <c r="O89" s="228"/>
      <c r="P89" s="228"/>
      <c r="Q89" s="228"/>
      <c r="R89" s="228"/>
      <c r="S89" s="228"/>
      <c r="T89" s="228"/>
      <c r="U89" s="228"/>
      <c r="W89" s="228"/>
      <c r="AF89" s="229"/>
    </row>
    <row r="90" spans="1:43" ht="15.75" customHeight="1">
      <c r="A90" s="232" t="s">
        <v>48</v>
      </c>
      <c r="O90" s="228"/>
      <c r="P90" s="228"/>
      <c r="Q90" s="228"/>
      <c r="R90" s="228"/>
      <c r="S90" s="228"/>
      <c r="T90" s="228"/>
      <c r="U90" s="228"/>
      <c r="W90" s="228"/>
      <c r="AF90" s="229"/>
    </row>
    <row r="91" spans="1:43">
      <c r="B91" s="242"/>
      <c r="C91" s="242"/>
      <c r="D91" s="242"/>
      <c r="E91" s="242"/>
      <c r="F91" s="242"/>
      <c r="G91" s="242"/>
      <c r="H91" s="242"/>
      <c r="I91" s="242"/>
      <c r="J91" s="242"/>
      <c r="K91" s="242"/>
      <c r="L91" s="242"/>
      <c r="M91" s="242"/>
      <c r="N91" s="242"/>
      <c r="O91" s="228"/>
      <c r="P91" s="228"/>
      <c r="Q91" s="228"/>
      <c r="R91" s="228"/>
      <c r="S91" s="228"/>
      <c r="T91" s="228"/>
      <c r="U91" s="228"/>
      <c r="W91" s="228"/>
      <c r="X91" s="1098">
        <v>2001</v>
      </c>
      <c r="Y91" s="196"/>
      <c r="Z91" s="1098">
        <v>2003</v>
      </c>
      <c r="AA91" s="196"/>
      <c r="AB91" s="1098">
        <v>2005</v>
      </c>
      <c r="AC91" s="196"/>
      <c r="AD91" s="1098">
        <v>2007</v>
      </c>
      <c r="AE91" s="196"/>
      <c r="AF91" s="1098">
        <v>2009</v>
      </c>
      <c r="AG91" s="1098">
        <v>2010</v>
      </c>
      <c r="AH91" s="1098">
        <v>2011</v>
      </c>
      <c r="AI91" s="1098">
        <v>2012</v>
      </c>
      <c r="AJ91" s="361">
        <v>2013</v>
      </c>
      <c r="AK91" s="361">
        <v>2014</v>
      </c>
      <c r="AL91" s="361">
        <v>2015</v>
      </c>
      <c r="AM91" s="361">
        <v>2016</v>
      </c>
      <c r="AN91" s="361">
        <v>2017</v>
      </c>
      <c r="AO91" s="361">
        <v>2018</v>
      </c>
      <c r="AP91" s="361">
        <v>2019</v>
      </c>
      <c r="AQ91" s="361">
        <v>2020</v>
      </c>
    </row>
    <row r="92" spans="1:43">
      <c r="A92" s="240" t="s">
        <v>815</v>
      </c>
      <c r="N92" s="367"/>
      <c r="O92" s="228"/>
      <c r="P92" s="228"/>
      <c r="Q92" s="228"/>
      <c r="R92" s="228"/>
      <c r="S92" s="228"/>
      <c r="T92" s="228"/>
      <c r="U92" s="228"/>
      <c r="W92" s="228"/>
      <c r="X92" s="241"/>
      <c r="Y92" s="241"/>
      <c r="Z92" s="241"/>
      <c r="AA92" s="241"/>
      <c r="AB92" s="241"/>
      <c r="AC92" s="241"/>
      <c r="AD92" s="241"/>
      <c r="AE92" s="241"/>
      <c r="AF92" s="241"/>
      <c r="AG92" s="241"/>
      <c r="AH92" s="241"/>
      <c r="AI92" s="241"/>
      <c r="AJ92" s="241"/>
      <c r="AK92" s="241"/>
      <c r="AL92" s="241"/>
      <c r="AM92" s="241"/>
      <c r="AN92" s="229"/>
      <c r="AO92" s="229"/>
      <c r="AP92" s="229"/>
      <c r="AQ92" s="229"/>
    </row>
    <row r="93" spans="1:43">
      <c r="K93" s="239"/>
      <c r="L93" s="239"/>
      <c r="M93" s="239"/>
      <c r="N93" s="239"/>
      <c r="O93" s="228"/>
      <c r="P93" s="228"/>
      <c r="Q93" s="228"/>
      <c r="R93" s="228"/>
      <c r="S93" s="228"/>
      <c r="T93" s="228"/>
      <c r="U93" s="228"/>
      <c r="W93" s="228"/>
      <c r="X93" s="243">
        <f>SUM(X96:X142)</f>
        <v>16058</v>
      </c>
      <c r="Y93" s="243"/>
      <c r="Z93" s="243">
        <f t="shared" ref="Z93:AL93" si="22">SUM(Z96:Z142)</f>
        <v>16218</v>
      </c>
      <c r="AA93" s="243"/>
      <c r="AB93" s="243">
        <f t="shared" si="22"/>
        <v>18089</v>
      </c>
      <c r="AC93" s="243"/>
      <c r="AD93" s="243">
        <f t="shared" si="22"/>
        <v>21184.393298510215</v>
      </c>
      <c r="AE93" s="243"/>
      <c r="AF93" s="243">
        <f t="shared" si="22"/>
        <v>21483</v>
      </c>
      <c r="AG93" s="243">
        <f t="shared" si="22"/>
        <v>20356</v>
      </c>
      <c r="AH93" s="243">
        <f t="shared" si="22"/>
        <v>22140</v>
      </c>
      <c r="AI93" s="243">
        <f t="shared" si="22"/>
        <v>8097</v>
      </c>
      <c r="AJ93" s="243">
        <f t="shared" si="22"/>
        <v>20954</v>
      </c>
      <c r="AK93" s="243">
        <f t="shared" si="22"/>
        <v>20908</v>
      </c>
      <c r="AL93" s="243">
        <f t="shared" si="22"/>
        <v>21809.149272611518</v>
      </c>
      <c r="AM93" s="243">
        <f>SUM(AM96:AM142)</f>
        <v>18787.630162335387</v>
      </c>
      <c r="AN93" s="243">
        <f>SUM(AN96:AN142)</f>
        <v>19520.925681922672</v>
      </c>
      <c r="AO93" s="243">
        <f>SUM(AO96:AO142)</f>
        <v>20016</v>
      </c>
      <c r="AP93" s="243">
        <f>SUM(AP96:AP142)</f>
        <v>20459</v>
      </c>
      <c r="AQ93" s="243">
        <f>SUM(AQ96:AQ142)</f>
        <v>5926</v>
      </c>
    </row>
    <row r="94" spans="1:43">
      <c r="K94" s="239"/>
      <c r="L94" s="239"/>
      <c r="M94" s="239"/>
      <c r="N94" s="239"/>
      <c r="O94" s="228"/>
      <c r="P94" s="228"/>
      <c r="Q94" s="228"/>
      <c r="R94" s="228"/>
      <c r="S94" s="228"/>
      <c r="T94" s="228"/>
      <c r="U94" s="228"/>
      <c r="W94" s="228"/>
      <c r="AE94" s="229"/>
      <c r="AF94" s="229"/>
      <c r="AG94" s="229"/>
      <c r="AH94" s="229"/>
      <c r="AI94" s="229"/>
      <c r="AJ94" s="229"/>
      <c r="AK94" s="229"/>
      <c r="AL94" s="229"/>
      <c r="AM94" s="229"/>
      <c r="AN94" s="231"/>
      <c r="AO94" s="231"/>
      <c r="AP94" s="231"/>
      <c r="AQ94" s="231"/>
    </row>
    <row r="95" spans="1:43">
      <c r="B95" s="1373" t="s">
        <v>816</v>
      </c>
      <c r="K95" s="239"/>
      <c r="L95" s="239"/>
      <c r="M95" s="239"/>
      <c r="N95" s="239"/>
      <c r="O95" s="228"/>
      <c r="P95" s="228"/>
      <c r="Q95" s="228"/>
      <c r="R95" s="228"/>
      <c r="S95" s="228"/>
      <c r="T95" s="228"/>
      <c r="U95" s="228"/>
      <c r="W95" s="228"/>
      <c r="X95" s="231"/>
      <c r="Y95" s="231"/>
      <c r="Z95" s="231"/>
      <c r="AA95" s="231"/>
      <c r="AB95" s="231"/>
      <c r="AC95" s="231"/>
      <c r="AD95" s="231"/>
      <c r="AE95" s="231"/>
      <c r="AF95" s="231"/>
      <c r="AG95" s="231"/>
      <c r="AH95" s="231"/>
      <c r="AI95" s="231"/>
      <c r="AJ95" s="231"/>
      <c r="AK95" s="231"/>
      <c r="AL95" s="231"/>
      <c r="AM95" s="231"/>
      <c r="AN95" s="231"/>
      <c r="AO95" s="231"/>
      <c r="AP95" s="231"/>
      <c r="AQ95" s="231"/>
    </row>
    <row r="96" spans="1:43">
      <c r="A96" s="1374"/>
      <c r="B96" s="228" t="s">
        <v>817</v>
      </c>
      <c r="K96" s="239"/>
      <c r="L96" s="239"/>
      <c r="M96" s="239"/>
      <c r="N96" s="239"/>
      <c r="O96" s="228"/>
      <c r="P96" s="228"/>
      <c r="Q96" s="228"/>
      <c r="R96" s="228"/>
      <c r="S96" s="228"/>
      <c r="T96" s="228"/>
      <c r="U96" s="228"/>
      <c r="W96" s="228"/>
      <c r="X96" s="231">
        <v>50</v>
      </c>
      <c r="Y96" s="231"/>
      <c r="Z96" s="231">
        <v>138</v>
      </c>
      <c r="AA96" s="231"/>
      <c r="AB96" s="231">
        <v>55</v>
      </c>
      <c r="AC96" s="231"/>
      <c r="AD96" s="1375">
        <v>82.081218274111677</v>
      </c>
      <c r="AE96" s="231"/>
      <c r="AF96" s="1375">
        <v>10</v>
      </c>
      <c r="AG96" s="1375">
        <v>70</v>
      </c>
      <c r="AH96" s="1375">
        <v>70</v>
      </c>
      <c r="AI96" s="231">
        <v>70</v>
      </c>
      <c r="AJ96" s="1375">
        <v>70</v>
      </c>
      <c r="AK96" s="1375">
        <v>70</v>
      </c>
      <c r="AL96" s="1375">
        <v>53</v>
      </c>
      <c r="AM96" s="1375">
        <v>116</v>
      </c>
      <c r="AN96" s="231">
        <v>46</v>
      </c>
      <c r="AO96" s="231">
        <v>38</v>
      </c>
      <c r="AP96" s="231">
        <v>39</v>
      </c>
      <c r="AQ96" s="231">
        <v>41</v>
      </c>
    </row>
    <row r="97" spans="1:44">
      <c r="A97" s="1374"/>
      <c r="B97" s="1376" t="s">
        <v>818</v>
      </c>
      <c r="K97" s="239"/>
      <c r="L97" s="239"/>
      <c r="M97" s="239"/>
      <c r="N97" s="239"/>
      <c r="O97" s="228"/>
      <c r="P97" s="228"/>
      <c r="Q97" s="228"/>
      <c r="R97" s="228"/>
      <c r="S97" s="228"/>
      <c r="T97" s="228"/>
      <c r="U97" s="228"/>
      <c r="W97" s="228"/>
      <c r="X97" s="231">
        <v>290</v>
      </c>
      <c r="Y97" s="231"/>
      <c r="Z97" s="231">
        <v>300</v>
      </c>
      <c r="AA97" s="231"/>
      <c r="AB97" s="231">
        <v>339</v>
      </c>
      <c r="AC97" s="231"/>
      <c r="AD97" s="1375">
        <v>505.91878172588832</v>
      </c>
      <c r="AE97" s="231"/>
      <c r="AF97" s="1375">
        <v>255</v>
      </c>
      <c r="AG97" s="1375">
        <v>244</v>
      </c>
      <c r="AH97" s="1375">
        <v>240</v>
      </c>
      <c r="AI97" s="231">
        <v>203</v>
      </c>
      <c r="AJ97" s="1375">
        <v>174</v>
      </c>
      <c r="AK97" s="1375">
        <v>133</v>
      </c>
      <c r="AL97" s="1375">
        <v>152</v>
      </c>
      <c r="AM97" s="1375">
        <v>158</v>
      </c>
      <c r="AN97" s="231">
        <v>26</v>
      </c>
      <c r="AO97" s="231">
        <v>26</v>
      </c>
      <c r="AP97" s="231">
        <v>28</v>
      </c>
      <c r="AQ97" s="231">
        <v>28</v>
      </c>
    </row>
    <row r="98" spans="1:44">
      <c r="A98" s="1374"/>
      <c r="B98" s="228" t="s">
        <v>819</v>
      </c>
      <c r="O98" s="228"/>
      <c r="P98" s="228"/>
      <c r="Q98" s="228"/>
      <c r="R98" s="228"/>
      <c r="S98" s="228"/>
      <c r="T98" s="228"/>
      <c r="U98" s="228"/>
      <c r="W98" s="228"/>
      <c r="AE98" s="229"/>
      <c r="AF98" s="229">
        <v>3</v>
      </c>
      <c r="AG98" s="229">
        <v>1</v>
      </c>
      <c r="AH98" s="229">
        <v>1</v>
      </c>
      <c r="AI98" s="229">
        <v>1</v>
      </c>
      <c r="AJ98" s="229">
        <v>1</v>
      </c>
      <c r="AK98" s="229">
        <v>1</v>
      </c>
      <c r="AL98" s="229">
        <v>1</v>
      </c>
      <c r="AM98" s="229">
        <v>2</v>
      </c>
      <c r="AN98" s="231">
        <v>2</v>
      </c>
      <c r="AO98" s="229">
        <v>2</v>
      </c>
      <c r="AP98" s="229">
        <v>2</v>
      </c>
      <c r="AQ98" s="229">
        <v>2</v>
      </c>
    </row>
    <row r="99" spans="1:44">
      <c r="A99" s="1374"/>
      <c r="B99" s="228" t="s">
        <v>820</v>
      </c>
      <c r="K99" s="239"/>
      <c r="L99" s="239"/>
      <c r="M99" s="239"/>
      <c r="N99" s="239"/>
      <c r="O99" s="228"/>
      <c r="P99" s="228"/>
      <c r="Q99" s="228"/>
      <c r="R99" s="228"/>
      <c r="S99" s="228"/>
      <c r="T99" s="228"/>
      <c r="U99" s="228"/>
      <c r="W99" s="228"/>
      <c r="X99" s="231"/>
      <c r="Y99" s="231"/>
      <c r="Z99" s="231"/>
      <c r="AA99" s="231"/>
      <c r="AB99" s="231"/>
      <c r="AC99" s="231"/>
      <c r="AD99" s="1375"/>
      <c r="AE99" s="231"/>
      <c r="AF99" s="231">
        <v>360</v>
      </c>
      <c r="AG99" s="231">
        <v>260</v>
      </c>
      <c r="AH99" s="231">
        <v>350</v>
      </c>
      <c r="AI99" s="231">
        <v>520</v>
      </c>
      <c r="AJ99" s="231">
        <v>509</v>
      </c>
      <c r="AK99" s="231">
        <v>350</v>
      </c>
      <c r="AL99" s="231">
        <v>138</v>
      </c>
      <c r="AM99" s="231">
        <v>172</v>
      </c>
      <c r="AN99" s="231">
        <v>213</v>
      </c>
      <c r="AO99" s="231">
        <v>387</v>
      </c>
      <c r="AP99" s="231">
        <v>84</v>
      </c>
      <c r="AQ99" s="231">
        <v>64</v>
      </c>
    </row>
    <row r="100" spans="1:44">
      <c r="K100" s="239"/>
      <c r="L100" s="239"/>
      <c r="M100" s="239"/>
      <c r="N100" s="239"/>
      <c r="O100" s="228"/>
      <c r="P100" s="228"/>
      <c r="Q100" s="228"/>
      <c r="R100" s="228"/>
      <c r="S100" s="228"/>
      <c r="T100" s="228"/>
      <c r="U100" s="228"/>
      <c r="W100" s="228"/>
      <c r="X100" s="231"/>
      <c r="Y100" s="231"/>
      <c r="Z100" s="231"/>
      <c r="AA100" s="231"/>
      <c r="AB100" s="231"/>
      <c r="AC100" s="231"/>
      <c r="AD100" s="231"/>
      <c r="AE100" s="231"/>
      <c r="AF100" s="231"/>
      <c r="AG100" s="231"/>
      <c r="AH100" s="231"/>
      <c r="AI100" s="231"/>
      <c r="AJ100" s="231"/>
      <c r="AK100" s="231"/>
      <c r="AL100" s="231"/>
      <c r="AM100" s="231"/>
      <c r="AN100" s="231"/>
      <c r="AO100" s="231"/>
      <c r="AP100" s="231"/>
      <c r="AQ100" s="231"/>
    </row>
    <row r="101" spans="1:44">
      <c r="B101" s="1373" t="s">
        <v>821</v>
      </c>
      <c r="K101" s="239"/>
      <c r="L101" s="239"/>
      <c r="M101" s="239"/>
      <c r="N101" s="239"/>
      <c r="O101" s="228"/>
      <c r="P101" s="228"/>
      <c r="Q101" s="228"/>
      <c r="R101" s="228"/>
      <c r="S101" s="228"/>
      <c r="T101" s="228"/>
      <c r="U101" s="228"/>
      <c r="W101" s="228"/>
      <c r="X101" s="231"/>
      <c r="Y101" s="231"/>
      <c r="Z101" s="231"/>
      <c r="AA101" s="231"/>
      <c r="AB101" s="231"/>
      <c r="AC101" s="231"/>
      <c r="AD101" s="1375"/>
      <c r="AE101" s="231"/>
      <c r="AF101" s="1375"/>
      <c r="AG101" s="1375"/>
      <c r="AH101" s="1375"/>
      <c r="AI101" s="231"/>
      <c r="AJ101" s="1375"/>
      <c r="AK101" s="1375"/>
      <c r="AL101" s="1375"/>
      <c r="AM101" s="1375"/>
      <c r="AN101" s="231"/>
      <c r="AO101" s="231"/>
      <c r="AP101" s="231"/>
      <c r="AQ101" s="231"/>
    </row>
    <row r="102" spans="1:44">
      <c r="A102" s="1374"/>
      <c r="B102" s="228" t="s">
        <v>822</v>
      </c>
      <c r="O102" s="228"/>
      <c r="P102" s="228"/>
      <c r="Q102" s="228"/>
      <c r="R102" s="228"/>
      <c r="S102" s="228"/>
      <c r="T102" s="228"/>
      <c r="U102" s="228"/>
      <c r="W102" s="228"/>
      <c r="AE102" s="229"/>
      <c r="AF102" s="229">
        <v>161</v>
      </c>
      <c r="AG102" s="229">
        <v>175</v>
      </c>
      <c r="AH102" s="229">
        <v>185</v>
      </c>
      <c r="AI102" s="229">
        <v>220</v>
      </c>
      <c r="AJ102" s="229">
        <v>263</v>
      </c>
      <c r="AK102" s="229">
        <v>310</v>
      </c>
      <c r="AL102" s="229">
        <v>308</v>
      </c>
      <c r="AM102" s="229">
        <v>295</v>
      </c>
      <c r="AN102" s="231">
        <v>295</v>
      </c>
      <c r="AO102" s="229">
        <v>325</v>
      </c>
      <c r="AP102" s="229">
        <v>305</v>
      </c>
      <c r="AQ102" s="229">
        <v>303</v>
      </c>
    </row>
    <row r="103" spans="1:44">
      <c r="A103" s="1374"/>
      <c r="B103" s="228" t="s">
        <v>823</v>
      </c>
      <c r="K103" s="239"/>
      <c r="L103" s="239"/>
      <c r="M103" s="239"/>
      <c r="N103" s="239"/>
      <c r="O103" s="228"/>
      <c r="P103" s="228"/>
      <c r="Q103" s="228"/>
      <c r="R103" s="228"/>
      <c r="S103" s="228"/>
      <c r="T103" s="228"/>
      <c r="U103" s="228"/>
      <c r="W103" s="228"/>
      <c r="X103" s="231"/>
      <c r="Y103" s="231"/>
      <c r="Z103" s="231"/>
      <c r="AA103" s="231"/>
      <c r="AB103" s="231"/>
      <c r="AC103" s="231"/>
      <c r="AD103" s="1375"/>
      <c r="AE103" s="231"/>
      <c r="AF103" s="1375">
        <v>15</v>
      </c>
      <c r="AG103" s="1375">
        <v>15</v>
      </c>
      <c r="AH103" s="1375">
        <v>15</v>
      </c>
      <c r="AI103" s="231">
        <v>25</v>
      </c>
      <c r="AJ103" s="1375">
        <v>20</v>
      </c>
      <c r="AK103" s="1375">
        <v>15</v>
      </c>
      <c r="AL103" s="1375">
        <v>10</v>
      </c>
      <c r="AM103" s="1375">
        <v>10</v>
      </c>
      <c r="AN103" s="231">
        <v>10</v>
      </c>
      <c r="AO103" s="231">
        <v>10</v>
      </c>
      <c r="AP103" s="231">
        <v>10</v>
      </c>
      <c r="AQ103" s="231">
        <v>10</v>
      </c>
    </row>
    <row r="104" spans="1:44">
      <c r="A104" s="1374"/>
      <c r="B104" s="228" t="s">
        <v>824</v>
      </c>
      <c r="O104" s="228"/>
      <c r="P104" s="228"/>
      <c r="Q104" s="228"/>
      <c r="R104" s="228"/>
      <c r="S104" s="228"/>
      <c r="T104" s="228"/>
      <c r="U104" s="228"/>
      <c r="W104" s="228"/>
      <c r="AB104" s="229">
        <v>30</v>
      </c>
      <c r="AC104" s="229">
        <v>30</v>
      </c>
      <c r="AD104" s="229">
        <v>25</v>
      </c>
      <c r="AE104" s="229">
        <v>30</v>
      </c>
      <c r="AF104" s="229">
        <v>32</v>
      </c>
      <c r="AG104" s="229">
        <v>35</v>
      </c>
      <c r="AH104" s="229">
        <v>32</v>
      </c>
      <c r="AI104" s="229">
        <v>36</v>
      </c>
      <c r="AJ104" s="229">
        <v>26</v>
      </c>
      <c r="AK104" s="229">
        <v>34</v>
      </c>
      <c r="AL104" s="229">
        <v>41</v>
      </c>
      <c r="AM104" s="229">
        <v>47</v>
      </c>
      <c r="AN104" s="229">
        <v>62</v>
      </c>
      <c r="AO104" s="229">
        <v>64</v>
      </c>
      <c r="AP104" s="229">
        <v>48</v>
      </c>
      <c r="AQ104" s="229">
        <v>51</v>
      </c>
      <c r="AR104" s="228" t="s">
        <v>1825</v>
      </c>
    </row>
    <row r="105" spans="1:44">
      <c r="A105" s="1374"/>
      <c r="B105" s="228" t="s">
        <v>825</v>
      </c>
      <c r="O105" s="228"/>
      <c r="P105" s="228"/>
      <c r="Q105" s="228"/>
      <c r="R105" s="228"/>
      <c r="S105" s="228"/>
      <c r="T105" s="228"/>
      <c r="U105" s="228"/>
      <c r="W105" s="228"/>
      <c r="AE105" s="229"/>
      <c r="AF105" s="229">
        <v>10</v>
      </c>
      <c r="AG105" s="229">
        <v>10</v>
      </c>
      <c r="AH105" s="229">
        <v>10</v>
      </c>
      <c r="AI105" s="229">
        <v>14</v>
      </c>
      <c r="AJ105" s="229">
        <v>16</v>
      </c>
      <c r="AK105" s="229">
        <v>15</v>
      </c>
      <c r="AL105" s="229">
        <v>15</v>
      </c>
      <c r="AM105" s="229">
        <v>15</v>
      </c>
      <c r="AN105" s="231">
        <v>15</v>
      </c>
      <c r="AO105" s="229">
        <v>20</v>
      </c>
      <c r="AP105" s="229">
        <v>17</v>
      </c>
      <c r="AQ105" s="229">
        <v>18</v>
      </c>
      <c r="AR105" s="1377"/>
    </row>
    <row r="106" spans="1:44">
      <c r="K106" s="239"/>
      <c r="L106" s="239"/>
      <c r="M106" s="239"/>
      <c r="N106" s="239"/>
      <c r="O106" s="228"/>
      <c r="P106" s="228"/>
      <c r="Q106" s="228"/>
      <c r="R106" s="228"/>
      <c r="S106" s="228"/>
      <c r="T106" s="228"/>
      <c r="U106" s="228"/>
      <c r="W106" s="228"/>
      <c r="X106" s="231"/>
      <c r="Y106" s="231"/>
      <c r="Z106" s="231"/>
      <c r="AA106" s="231"/>
      <c r="AB106" s="231"/>
      <c r="AC106" s="231"/>
      <c r="AD106" s="231"/>
      <c r="AE106" s="231"/>
      <c r="AF106" s="231"/>
      <c r="AG106" s="231"/>
      <c r="AH106" s="231"/>
      <c r="AI106" s="231"/>
      <c r="AJ106" s="231"/>
      <c r="AK106" s="231"/>
      <c r="AL106" s="231"/>
      <c r="AM106" s="231"/>
      <c r="AN106" s="231"/>
      <c r="AO106" s="231"/>
      <c r="AP106" s="231"/>
      <c r="AQ106" s="231"/>
    </row>
    <row r="107" spans="1:44">
      <c r="B107" s="1373" t="s">
        <v>826</v>
      </c>
      <c r="K107" s="239"/>
      <c r="L107" s="239"/>
      <c r="M107" s="239"/>
      <c r="N107" s="239"/>
      <c r="O107" s="228"/>
      <c r="P107" s="228"/>
      <c r="Q107" s="228"/>
      <c r="R107" s="228"/>
      <c r="S107" s="228"/>
      <c r="T107" s="228"/>
      <c r="U107" s="228"/>
      <c r="W107" s="228"/>
      <c r="X107" s="231"/>
      <c r="Y107" s="231"/>
      <c r="Z107" s="231"/>
      <c r="AA107" s="231"/>
      <c r="AB107" s="231"/>
      <c r="AC107" s="231"/>
      <c r="AD107" s="231"/>
      <c r="AE107" s="231"/>
      <c r="AF107" s="231"/>
      <c r="AG107" s="231"/>
      <c r="AH107" s="231"/>
      <c r="AI107" s="231"/>
      <c r="AJ107" s="231"/>
      <c r="AK107" s="231"/>
      <c r="AL107" s="231"/>
      <c r="AM107" s="231"/>
      <c r="AN107" s="231"/>
      <c r="AO107" s="231"/>
      <c r="AP107" s="231"/>
      <c r="AQ107" s="231"/>
    </row>
    <row r="108" spans="1:44">
      <c r="A108" s="1374"/>
      <c r="B108" s="228" t="s">
        <v>827</v>
      </c>
      <c r="K108" s="239"/>
      <c r="L108" s="239"/>
      <c r="M108" s="239"/>
      <c r="N108" s="239"/>
      <c r="O108" s="228"/>
      <c r="P108" s="228"/>
      <c r="Q108" s="228"/>
      <c r="R108" s="228"/>
      <c r="S108" s="228"/>
      <c r="T108" s="228"/>
      <c r="U108" s="228"/>
      <c r="W108" s="228"/>
      <c r="X108" s="231">
        <v>1220</v>
      </c>
      <c r="Y108" s="231"/>
      <c r="Z108" s="231">
        <v>1250</v>
      </c>
      <c r="AA108" s="231"/>
      <c r="AB108" s="231">
        <v>1345</v>
      </c>
      <c r="AC108" s="231"/>
      <c r="AD108" s="231">
        <v>1327.41830065359</v>
      </c>
      <c r="AE108" s="231"/>
      <c r="AF108" s="231">
        <v>1233</v>
      </c>
      <c r="AG108" s="231">
        <v>1319</v>
      </c>
      <c r="AH108" s="231">
        <v>1237</v>
      </c>
      <c r="AI108" s="231">
        <v>1281</v>
      </c>
      <c r="AJ108" s="231">
        <v>1255</v>
      </c>
      <c r="AK108" s="231">
        <v>1273</v>
      </c>
      <c r="AL108" s="231">
        <v>1595</v>
      </c>
      <c r="AM108" s="231">
        <v>1385</v>
      </c>
      <c r="AN108" s="231">
        <v>1646</v>
      </c>
      <c r="AO108" s="231">
        <v>1729</v>
      </c>
      <c r="AP108" s="231">
        <v>1838</v>
      </c>
      <c r="AQ108" s="231">
        <v>1944</v>
      </c>
    </row>
    <row r="109" spans="1:44">
      <c r="B109" s="228" t="s">
        <v>828</v>
      </c>
      <c r="K109" s="239"/>
      <c r="L109" s="239"/>
      <c r="M109" s="239"/>
      <c r="N109" s="239"/>
      <c r="O109" s="228"/>
      <c r="P109" s="228"/>
      <c r="Q109" s="228"/>
      <c r="R109" s="228"/>
      <c r="S109" s="228"/>
      <c r="T109" s="228"/>
      <c r="U109" s="228"/>
      <c r="W109" s="228"/>
      <c r="X109" s="231"/>
      <c r="Y109" s="231"/>
      <c r="Z109" s="231"/>
      <c r="AA109" s="231"/>
      <c r="AB109" s="231"/>
      <c r="AC109" s="231"/>
      <c r="AD109" s="231">
        <v>14.7566213221195</v>
      </c>
      <c r="AE109" s="231"/>
      <c r="AF109" s="231">
        <v>13</v>
      </c>
      <c r="AG109" s="231">
        <v>13</v>
      </c>
      <c r="AH109" s="231">
        <v>14</v>
      </c>
      <c r="AI109" s="231"/>
      <c r="AJ109" s="231">
        <v>19</v>
      </c>
      <c r="AK109" s="231">
        <v>19</v>
      </c>
      <c r="AL109" s="231">
        <v>13</v>
      </c>
      <c r="AM109" s="231">
        <v>16</v>
      </c>
      <c r="AN109" s="231">
        <v>18.666666666666664</v>
      </c>
      <c r="AO109" s="231">
        <v>18</v>
      </c>
      <c r="AP109" s="231">
        <v>21</v>
      </c>
      <c r="AQ109" s="231"/>
    </row>
    <row r="110" spans="1:44">
      <c r="B110" s="228" t="s">
        <v>829</v>
      </c>
      <c r="K110" s="239"/>
      <c r="L110" s="239"/>
      <c r="M110" s="239"/>
      <c r="N110" s="239"/>
      <c r="O110" s="228"/>
      <c r="P110" s="228"/>
      <c r="Q110" s="228"/>
      <c r="R110" s="228"/>
      <c r="S110" s="228"/>
      <c r="T110" s="228"/>
      <c r="U110" s="228"/>
      <c r="W110" s="228"/>
      <c r="X110" s="231"/>
      <c r="Y110" s="231"/>
      <c r="Z110" s="231"/>
      <c r="AA110" s="231"/>
      <c r="AB110" s="231"/>
      <c r="AC110" s="231"/>
      <c r="AD110" s="231"/>
      <c r="AE110" s="231"/>
      <c r="AF110" s="231">
        <v>23</v>
      </c>
      <c r="AG110" s="231">
        <v>24</v>
      </c>
      <c r="AH110" s="231">
        <v>22</v>
      </c>
      <c r="AI110" s="231"/>
      <c r="AJ110" s="231">
        <v>25</v>
      </c>
      <c r="AK110" s="231">
        <v>25</v>
      </c>
      <c r="AL110" s="231">
        <v>21.388888888888857</v>
      </c>
      <c r="AM110" s="231">
        <v>21</v>
      </c>
      <c r="AN110" s="231">
        <v>25.277777777777771</v>
      </c>
      <c r="AO110" s="231">
        <v>24</v>
      </c>
      <c r="AP110" s="231">
        <v>25</v>
      </c>
      <c r="AQ110" s="231"/>
    </row>
    <row r="111" spans="1:44">
      <c r="K111" s="239"/>
      <c r="L111" s="239"/>
      <c r="M111" s="239"/>
      <c r="N111" s="239"/>
      <c r="O111" s="228"/>
      <c r="P111" s="228"/>
      <c r="Q111" s="228"/>
      <c r="R111" s="228"/>
      <c r="S111" s="228"/>
      <c r="T111" s="228"/>
      <c r="U111" s="228"/>
      <c r="W111" s="228"/>
      <c r="X111" s="231"/>
      <c r="Y111" s="231"/>
      <c r="Z111" s="231"/>
      <c r="AA111" s="231"/>
      <c r="AB111" s="231"/>
      <c r="AC111" s="231"/>
      <c r="AD111" s="231"/>
      <c r="AE111" s="231"/>
      <c r="AF111" s="231"/>
      <c r="AG111" s="231"/>
      <c r="AH111" s="231"/>
      <c r="AI111" s="231"/>
      <c r="AJ111" s="231"/>
      <c r="AK111" s="231"/>
      <c r="AL111" s="231"/>
      <c r="AM111" s="231"/>
      <c r="AN111" s="231"/>
      <c r="AO111" s="231"/>
      <c r="AP111" s="231"/>
      <c r="AQ111" s="231"/>
    </row>
    <row r="112" spans="1:44">
      <c r="B112" s="1373" t="s">
        <v>830</v>
      </c>
      <c r="K112" s="239"/>
      <c r="L112" s="239"/>
      <c r="M112" s="239"/>
      <c r="N112" s="239"/>
      <c r="O112" s="228"/>
      <c r="P112" s="228"/>
      <c r="Q112" s="228"/>
      <c r="R112" s="228"/>
      <c r="S112" s="228"/>
      <c r="T112" s="228"/>
      <c r="U112" s="228"/>
      <c r="W112" s="228"/>
      <c r="X112" s="231"/>
      <c r="Y112" s="231"/>
      <c r="Z112" s="231"/>
      <c r="AA112" s="231"/>
      <c r="AB112" s="231"/>
      <c r="AC112" s="231"/>
      <c r="AD112" s="231"/>
      <c r="AE112" s="231"/>
      <c r="AF112" s="231"/>
      <c r="AG112" s="231"/>
      <c r="AH112" s="231"/>
      <c r="AI112" s="231"/>
      <c r="AJ112" s="231"/>
      <c r="AK112" s="231"/>
      <c r="AL112" s="231"/>
      <c r="AM112" s="231"/>
      <c r="AN112" s="231"/>
      <c r="AO112" s="231"/>
      <c r="AP112" s="231"/>
      <c r="AQ112" s="231"/>
    </row>
    <row r="113" spans="1:44">
      <c r="A113" s="1374"/>
      <c r="B113" s="228" t="s">
        <v>831</v>
      </c>
      <c r="K113" s="239"/>
      <c r="L113" s="239"/>
      <c r="M113" s="239"/>
      <c r="N113" s="239"/>
      <c r="O113" s="228"/>
      <c r="P113" s="228"/>
      <c r="Q113" s="228"/>
      <c r="R113" s="228"/>
      <c r="S113" s="228"/>
      <c r="T113" s="228"/>
      <c r="U113" s="228"/>
      <c r="W113" s="228"/>
      <c r="X113" s="231"/>
      <c r="Y113" s="231"/>
      <c r="Z113" s="231"/>
      <c r="AA113" s="231"/>
      <c r="AB113" s="231"/>
      <c r="AC113" s="231"/>
      <c r="AD113" s="231"/>
      <c r="AE113" s="231"/>
      <c r="AF113" s="231">
        <v>85</v>
      </c>
      <c r="AG113" s="231">
        <v>70</v>
      </c>
      <c r="AH113" s="231">
        <v>80</v>
      </c>
      <c r="AI113" s="231">
        <v>60</v>
      </c>
      <c r="AJ113" s="231">
        <v>60</v>
      </c>
      <c r="AK113" s="231">
        <v>60</v>
      </c>
      <c r="AL113" s="231">
        <v>70</v>
      </c>
      <c r="AM113" s="231">
        <v>70</v>
      </c>
      <c r="AN113" s="231">
        <v>70</v>
      </c>
      <c r="AO113" s="231">
        <v>100</v>
      </c>
      <c r="AP113" s="231">
        <v>100</v>
      </c>
      <c r="AQ113" s="231">
        <v>100</v>
      </c>
    </row>
    <row r="114" spans="1:44">
      <c r="O114" s="228"/>
      <c r="P114" s="228"/>
      <c r="Q114" s="228"/>
      <c r="R114" s="228"/>
      <c r="S114" s="228"/>
      <c r="T114" s="228"/>
      <c r="U114" s="228"/>
      <c r="W114" s="228"/>
      <c r="AE114" s="229"/>
      <c r="AF114" s="229"/>
      <c r="AG114" s="229"/>
      <c r="AH114" s="229"/>
      <c r="AI114" s="229"/>
      <c r="AJ114" s="229"/>
      <c r="AK114" s="229"/>
      <c r="AL114" s="229"/>
      <c r="AM114" s="229"/>
      <c r="AN114" s="231"/>
      <c r="AO114" s="229"/>
      <c r="AP114" s="229"/>
      <c r="AQ114" s="229"/>
    </row>
    <row r="115" spans="1:44">
      <c r="B115" s="1373" t="s">
        <v>832</v>
      </c>
      <c r="K115" s="239"/>
      <c r="L115" s="239"/>
      <c r="M115" s="239"/>
      <c r="N115" s="239"/>
      <c r="O115" s="228"/>
      <c r="P115" s="228"/>
      <c r="Q115" s="228"/>
      <c r="R115" s="228"/>
      <c r="S115" s="228"/>
      <c r="T115" s="228"/>
      <c r="U115" s="228"/>
      <c r="W115" s="228"/>
      <c r="X115" s="231"/>
      <c r="Y115" s="231"/>
      <c r="Z115" s="231"/>
      <c r="AA115" s="231"/>
      <c r="AB115" s="231"/>
      <c r="AC115" s="231"/>
      <c r="AD115" s="231"/>
      <c r="AE115" s="231"/>
      <c r="AF115" s="231"/>
      <c r="AG115" s="231"/>
      <c r="AH115" s="231"/>
      <c r="AI115" s="231"/>
      <c r="AJ115" s="231"/>
      <c r="AK115" s="231"/>
      <c r="AL115" s="231"/>
      <c r="AM115" s="231"/>
      <c r="AN115" s="231"/>
      <c r="AO115" s="231"/>
      <c r="AP115" s="231"/>
      <c r="AQ115" s="231"/>
    </row>
    <row r="116" spans="1:44">
      <c r="A116" s="1374"/>
      <c r="B116" s="228" t="s">
        <v>833</v>
      </c>
      <c r="K116" s="239"/>
      <c r="L116" s="239"/>
      <c r="M116" s="239"/>
      <c r="N116" s="239"/>
      <c r="O116" s="228"/>
      <c r="P116" s="228"/>
      <c r="Q116" s="228"/>
      <c r="R116" s="228"/>
      <c r="S116" s="228"/>
      <c r="T116" s="228"/>
      <c r="U116" s="228"/>
      <c r="W116" s="228"/>
      <c r="X116" s="231"/>
      <c r="Y116" s="231"/>
      <c r="Z116" s="231"/>
      <c r="AA116" s="231"/>
      <c r="AB116" s="231"/>
      <c r="AC116" s="231"/>
      <c r="AD116" s="231"/>
      <c r="AE116" s="231"/>
      <c r="AF116" s="231">
        <v>80</v>
      </c>
      <c r="AG116" s="231">
        <v>85</v>
      </c>
      <c r="AH116" s="231">
        <v>80</v>
      </c>
      <c r="AI116" s="231">
        <v>100</v>
      </c>
      <c r="AJ116" s="231">
        <v>110</v>
      </c>
      <c r="AK116" s="231">
        <v>80</v>
      </c>
      <c r="AL116" s="231">
        <v>120</v>
      </c>
      <c r="AM116" s="231">
        <v>120</v>
      </c>
      <c r="AN116" s="231">
        <v>114</v>
      </c>
      <c r="AO116" s="231">
        <v>115</v>
      </c>
      <c r="AP116" s="231">
        <v>111</v>
      </c>
      <c r="AQ116" s="231">
        <v>112</v>
      </c>
    </row>
    <row r="117" spans="1:44">
      <c r="K117" s="239"/>
      <c r="L117" s="239"/>
      <c r="M117" s="239"/>
      <c r="N117" s="239"/>
      <c r="O117" s="228"/>
      <c r="P117" s="228"/>
      <c r="Q117" s="228"/>
      <c r="R117" s="228"/>
      <c r="S117" s="228"/>
      <c r="T117" s="228"/>
      <c r="U117" s="228"/>
      <c r="W117" s="228"/>
      <c r="X117" s="231"/>
      <c r="Y117" s="231"/>
      <c r="Z117" s="231"/>
      <c r="AA117" s="231"/>
      <c r="AB117" s="231"/>
      <c r="AC117" s="231"/>
      <c r="AD117" s="231"/>
      <c r="AE117" s="231"/>
      <c r="AF117" s="231"/>
      <c r="AG117" s="231"/>
      <c r="AH117" s="231"/>
      <c r="AI117" s="231"/>
      <c r="AJ117" s="231"/>
      <c r="AK117" s="231"/>
      <c r="AL117" s="231"/>
      <c r="AM117" s="231"/>
      <c r="AN117" s="231"/>
      <c r="AO117" s="231"/>
      <c r="AP117" s="231"/>
      <c r="AQ117" s="231"/>
    </row>
    <row r="118" spans="1:44">
      <c r="B118" s="1373" t="s">
        <v>834</v>
      </c>
      <c r="K118" s="239"/>
      <c r="L118" s="239"/>
      <c r="M118" s="239"/>
      <c r="N118" s="239"/>
      <c r="O118" s="228"/>
      <c r="P118" s="228"/>
      <c r="Q118" s="228"/>
      <c r="R118" s="228"/>
      <c r="S118" s="228"/>
      <c r="T118" s="228"/>
      <c r="U118" s="228"/>
      <c r="W118" s="228"/>
      <c r="X118" s="231"/>
      <c r="Y118" s="231"/>
      <c r="Z118" s="231"/>
      <c r="AA118" s="231"/>
      <c r="AB118" s="231"/>
      <c r="AC118" s="231"/>
      <c r="AD118" s="231"/>
      <c r="AE118" s="231"/>
      <c r="AF118" s="231"/>
      <c r="AG118" s="231"/>
      <c r="AH118" s="231"/>
      <c r="AI118" s="231"/>
      <c r="AJ118" s="231"/>
      <c r="AK118" s="231"/>
      <c r="AL118" s="231"/>
      <c r="AM118" s="231"/>
      <c r="AN118" s="231"/>
      <c r="AO118" s="231"/>
      <c r="AP118" s="231"/>
      <c r="AQ118" s="231"/>
    </row>
    <row r="119" spans="1:44">
      <c r="B119" s="228" t="s">
        <v>835</v>
      </c>
      <c r="K119" s="239"/>
      <c r="L119" s="239"/>
      <c r="M119" s="239"/>
      <c r="N119" s="239"/>
      <c r="O119" s="228"/>
      <c r="P119" s="228"/>
      <c r="Q119" s="228"/>
      <c r="R119" s="228"/>
      <c r="S119" s="228"/>
      <c r="T119" s="228"/>
      <c r="U119" s="228"/>
      <c r="W119" s="228"/>
      <c r="X119" s="231">
        <v>9700</v>
      </c>
      <c r="Y119" s="231"/>
      <c r="Z119" s="231">
        <v>9866</v>
      </c>
      <c r="AA119" s="231"/>
      <c r="AB119" s="231">
        <v>10987</v>
      </c>
      <c r="AC119" s="231"/>
      <c r="AD119" s="231">
        <v>11528.1604538804</v>
      </c>
      <c r="AE119" s="231"/>
      <c r="AF119" s="231">
        <v>10098</v>
      </c>
      <c r="AG119" s="231">
        <v>10249</v>
      </c>
      <c r="AH119" s="231">
        <v>12428</v>
      </c>
      <c r="AI119" s="231"/>
      <c r="AJ119" s="231">
        <v>11300</v>
      </c>
      <c r="AK119" s="231">
        <v>11600</v>
      </c>
      <c r="AL119" s="231">
        <v>12400</v>
      </c>
      <c r="AM119" s="231">
        <v>11600</v>
      </c>
      <c r="AN119" s="231">
        <v>12200</v>
      </c>
      <c r="AO119" s="231">
        <v>12500</v>
      </c>
      <c r="AP119" s="231">
        <v>12700</v>
      </c>
      <c r="AQ119" s="231"/>
    </row>
    <row r="120" spans="1:44">
      <c r="B120" s="228" t="s">
        <v>836</v>
      </c>
      <c r="K120" s="239"/>
      <c r="L120" s="239"/>
      <c r="M120" s="239"/>
      <c r="N120" s="239"/>
      <c r="O120" s="228"/>
      <c r="P120" s="228"/>
      <c r="Q120" s="228"/>
      <c r="R120" s="228"/>
      <c r="S120" s="228"/>
      <c r="T120" s="228"/>
      <c r="U120" s="228"/>
      <c r="W120" s="228"/>
      <c r="X120" s="231">
        <v>1070</v>
      </c>
      <c r="Y120" s="231"/>
      <c r="Z120" s="231">
        <v>1130</v>
      </c>
      <c r="AA120" s="231"/>
      <c r="AB120" s="231">
        <v>1300</v>
      </c>
      <c r="AC120" s="231"/>
      <c r="AD120" s="231">
        <v>1283.0065359477101</v>
      </c>
      <c r="AE120" s="231"/>
      <c r="AF120" s="231">
        <v>1283</v>
      </c>
      <c r="AG120" s="231">
        <v>1283</v>
      </c>
      <c r="AH120" s="231">
        <v>1283</v>
      </c>
      <c r="AI120" s="231">
        <v>1283</v>
      </c>
      <c r="AJ120" s="231">
        <v>1283</v>
      </c>
      <c r="AK120" s="231">
        <v>1283</v>
      </c>
      <c r="AL120" s="231">
        <v>1283</v>
      </c>
      <c r="AM120" s="231">
        <v>1283</v>
      </c>
      <c r="AN120" s="231">
        <v>1283</v>
      </c>
      <c r="AO120" s="231">
        <v>1283</v>
      </c>
      <c r="AP120" s="231">
        <v>1283</v>
      </c>
      <c r="AQ120" s="231">
        <v>1283</v>
      </c>
    </row>
    <row r="121" spans="1:44">
      <c r="B121" s="228" t="s">
        <v>837</v>
      </c>
      <c r="K121" s="239"/>
      <c r="L121" s="239"/>
      <c r="M121" s="239"/>
      <c r="N121" s="239"/>
      <c r="O121" s="228"/>
      <c r="P121" s="228"/>
      <c r="Q121" s="228"/>
      <c r="R121" s="228"/>
      <c r="S121" s="228"/>
      <c r="T121" s="228"/>
      <c r="U121" s="228"/>
      <c r="W121" s="228"/>
      <c r="X121" s="231">
        <v>100</v>
      </c>
      <c r="Y121" s="231"/>
      <c r="Z121" s="231">
        <v>100</v>
      </c>
      <c r="AA121" s="231"/>
      <c r="AB121" s="231">
        <v>120</v>
      </c>
      <c r="AC121" s="231"/>
      <c r="AD121" s="231">
        <v>118.43137254902</v>
      </c>
      <c r="AE121" s="231"/>
      <c r="AF121" s="231">
        <v>118</v>
      </c>
      <c r="AG121" s="231">
        <v>118</v>
      </c>
      <c r="AH121" s="231">
        <v>118</v>
      </c>
      <c r="AI121" s="231">
        <v>118</v>
      </c>
      <c r="AJ121" s="231">
        <v>118</v>
      </c>
      <c r="AK121" s="231">
        <v>118</v>
      </c>
      <c r="AL121" s="231">
        <v>118</v>
      </c>
      <c r="AM121" s="231">
        <v>118</v>
      </c>
      <c r="AN121" s="231">
        <v>118</v>
      </c>
      <c r="AO121" s="231">
        <v>118</v>
      </c>
      <c r="AP121" s="231">
        <v>118</v>
      </c>
      <c r="AQ121" s="231">
        <v>118</v>
      </c>
    </row>
    <row r="122" spans="1:44">
      <c r="K122" s="239"/>
      <c r="L122" s="239"/>
      <c r="M122" s="239"/>
      <c r="N122" s="239"/>
      <c r="O122" s="228"/>
      <c r="P122" s="228"/>
      <c r="Q122" s="228"/>
      <c r="R122" s="228"/>
      <c r="S122" s="228"/>
      <c r="T122" s="228"/>
      <c r="U122" s="228"/>
      <c r="W122" s="228"/>
      <c r="X122" s="231"/>
      <c r="Y122" s="231"/>
      <c r="Z122" s="231"/>
      <c r="AA122" s="231"/>
      <c r="AB122" s="231"/>
      <c r="AC122" s="231"/>
      <c r="AD122" s="231"/>
      <c r="AE122" s="231"/>
      <c r="AF122" s="231"/>
      <c r="AG122" s="231"/>
      <c r="AH122" s="231"/>
      <c r="AI122" s="231"/>
      <c r="AJ122" s="231"/>
      <c r="AK122" s="231"/>
      <c r="AL122" s="231"/>
      <c r="AM122" s="231"/>
      <c r="AN122" s="231"/>
      <c r="AO122" s="231"/>
      <c r="AP122" s="231"/>
      <c r="AQ122" s="231"/>
    </row>
    <row r="123" spans="1:44">
      <c r="B123" s="1373" t="s">
        <v>838</v>
      </c>
      <c r="K123" s="239"/>
      <c r="L123" s="239"/>
      <c r="M123" s="239"/>
      <c r="N123" s="239"/>
      <c r="O123" s="228"/>
      <c r="P123" s="228"/>
      <c r="Q123" s="228"/>
      <c r="R123" s="228"/>
      <c r="S123" s="228"/>
      <c r="T123" s="228"/>
      <c r="U123" s="228"/>
      <c r="W123" s="228"/>
      <c r="X123" s="231"/>
      <c r="Y123" s="231"/>
      <c r="Z123" s="231"/>
      <c r="AA123" s="231"/>
      <c r="AB123" s="231"/>
      <c r="AC123" s="231"/>
      <c r="AD123" s="231"/>
      <c r="AE123" s="231"/>
      <c r="AF123" s="231"/>
      <c r="AG123" s="231"/>
      <c r="AH123" s="231"/>
      <c r="AI123" s="231"/>
      <c r="AJ123" s="231"/>
      <c r="AK123" s="231"/>
      <c r="AL123" s="231"/>
      <c r="AM123" s="231"/>
      <c r="AN123" s="231"/>
      <c r="AO123" s="231"/>
      <c r="AP123" s="231"/>
      <c r="AQ123" s="231"/>
    </row>
    <row r="124" spans="1:44">
      <c r="B124" s="228" t="s">
        <v>839</v>
      </c>
      <c r="K124" s="239"/>
      <c r="L124" s="239"/>
      <c r="M124" s="239"/>
      <c r="N124" s="239"/>
      <c r="O124" s="228"/>
      <c r="P124" s="228"/>
      <c r="Q124" s="228"/>
      <c r="R124" s="228"/>
      <c r="S124" s="228"/>
      <c r="T124" s="228"/>
      <c r="U124" s="228"/>
      <c r="W124" s="228"/>
      <c r="X124" s="231">
        <v>280</v>
      </c>
      <c r="Y124" s="231"/>
      <c r="Z124" s="231">
        <v>290</v>
      </c>
      <c r="AA124" s="231"/>
      <c r="AB124" s="231">
        <v>333</v>
      </c>
      <c r="AC124" s="231"/>
      <c r="AD124" s="231">
        <v>265.18871307042798</v>
      </c>
      <c r="AE124" s="231"/>
      <c r="AF124" s="231">
        <f>360+750</f>
        <v>1110</v>
      </c>
      <c r="AG124" s="231">
        <f>366+760</f>
        <v>1126</v>
      </c>
      <c r="AH124" s="231">
        <v>1201</v>
      </c>
      <c r="AI124" s="231"/>
      <c r="AJ124" s="231">
        <v>1344</v>
      </c>
      <c r="AK124" s="231">
        <v>1349</v>
      </c>
      <c r="AL124" s="231">
        <v>1405.0425671250819</v>
      </c>
      <c r="AM124" s="231">
        <v>1332.7832351015063</v>
      </c>
      <c r="AN124" s="231">
        <v>1405.0425671250819</v>
      </c>
      <c r="AO124" s="231">
        <v>1234</v>
      </c>
      <c r="AP124" s="231">
        <v>1511</v>
      </c>
      <c r="AQ124" s="231"/>
    </row>
    <row r="125" spans="1:44">
      <c r="B125" s="228" t="s">
        <v>840</v>
      </c>
      <c r="K125" s="239"/>
      <c r="L125" s="239"/>
      <c r="M125" s="239"/>
      <c r="N125" s="239"/>
      <c r="O125" s="228"/>
      <c r="P125" s="228"/>
      <c r="Q125" s="228"/>
      <c r="R125" s="228"/>
      <c r="S125" s="228"/>
      <c r="T125" s="228"/>
      <c r="U125" s="228"/>
      <c r="W125" s="228"/>
      <c r="X125" s="231">
        <v>400</v>
      </c>
      <c r="Y125" s="231"/>
      <c r="Z125" s="231">
        <v>399</v>
      </c>
      <c r="AA125" s="231"/>
      <c r="AB125" s="231">
        <v>372</v>
      </c>
      <c r="AC125" s="231"/>
      <c r="AD125" s="231">
        <v>216.10124791736101</v>
      </c>
      <c r="AE125" s="231"/>
      <c r="AF125" s="231">
        <v>366</v>
      </c>
      <c r="AG125" s="231">
        <v>372</v>
      </c>
      <c r="AH125" s="231">
        <v>360</v>
      </c>
      <c r="AI125" s="231"/>
      <c r="AJ125" s="231">
        <v>377</v>
      </c>
      <c r="AK125" s="231">
        <v>393</v>
      </c>
      <c r="AL125" s="231">
        <v>303.51598173515981</v>
      </c>
      <c r="AM125" s="231">
        <v>321.36986301369865</v>
      </c>
      <c r="AN125" s="231">
        <v>321.36986301369865</v>
      </c>
      <c r="AO125" s="231">
        <v>302</v>
      </c>
      <c r="AP125" s="231">
        <v>295</v>
      </c>
      <c r="AQ125" s="231"/>
    </row>
    <row r="126" spans="1:44">
      <c r="A126" s="1374"/>
      <c r="B126" s="228" t="s">
        <v>841</v>
      </c>
      <c r="K126" s="239"/>
      <c r="L126" s="239"/>
      <c r="M126" s="239"/>
      <c r="N126" s="239"/>
      <c r="O126" s="228"/>
      <c r="P126" s="228"/>
      <c r="Q126" s="228"/>
      <c r="R126" s="228"/>
      <c r="S126" s="228"/>
      <c r="T126" s="228"/>
      <c r="U126" s="228"/>
      <c r="W126" s="228"/>
      <c r="X126" s="231">
        <v>190</v>
      </c>
      <c r="Y126" s="231"/>
      <c r="Z126" s="231">
        <v>200</v>
      </c>
      <c r="AA126" s="231"/>
      <c r="AB126" s="231">
        <v>131</v>
      </c>
      <c r="AC126" s="231">
        <v>350</v>
      </c>
      <c r="AD126" s="231">
        <v>780</v>
      </c>
      <c r="AE126" s="231">
        <v>840</v>
      </c>
      <c r="AF126" s="231">
        <v>878</v>
      </c>
      <c r="AG126" s="231">
        <v>920</v>
      </c>
      <c r="AH126" s="231">
        <v>985</v>
      </c>
      <c r="AI126" s="231">
        <v>1025</v>
      </c>
      <c r="AJ126" s="231">
        <v>1125</v>
      </c>
      <c r="AK126" s="231">
        <v>1144</v>
      </c>
      <c r="AL126" s="231">
        <v>1175</v>
      </c>
      <c r="AM126" s="231">
        <v>1200</v>
      </c>
      <c r="AN126" s="231">
        <v>1200</v>
      </c>
      <c r="AO126" s="231">
        <v>1184</v>
      </c>
      <c r="AP126" s="231">
        <v>1229</v>
      </c>
      <c r="AQ126" s="231">
        <v>1163</v>
      </c>
      <c r="AR126" s="228" t="s">
        <v>1825</v>
      </c>
    </row>
    <row r="127" spans="1:44">
      <c r="A127" s="1374"/>
      <c r="B127" s="228" t="s">
        <v>842</v>
      </c>
      <c r="K127" s="239"/>
      <c r="L127" s="239"/>
      <c r="M127" s="239"/>
      <c r="N127" s="239"/>
      <c r="O127" s="228"/>
      <c r="P127" s="228"/>
      <c r="Q127" s="228"/>
      <c r="R127" s="228"/>
      <c r="S127" s="228"/>
      <c r="T127" s="228"/>
      <c r="U127" s="228"/>
      <c r="W127" s="228"/>
      <c r="X127" s="231"/>
      <c r="Y127" s="231"/>
      <c r="Z127" s="231"/>
      <c r="AA127" s="231"/>
      <c r="AB127" s="231"/>
      <c r="AC127" s="231"/>
      <c r="AD127" s="231"/>
      <c r="AE127" s="231"/>
      <c r="AF127" s="231">
        <v>10</v>
      </c>
      <c r="AG127" s="231">
        <v>6</v>
      </c>
      <c r="AH127" s="231">
        <v>6</v>
      </c>
      <c r="AI127" s="231">
        <v>6</v>
      </c>
      <c r="AJ127" s="231">
        <v>6</v>
      </c>
      <c r="AK127" s="231">
        <v>7</v>
      </c>
      <c r="AL127" s="231">
        <v>6</v>
      </c>
      <c r="AM127" s="231">
        <v>7</v>
      </c>
      <c r="AN127" s="231">
        <v>7</v>
      </c>
      <c r="AO127" s="231">
        <v>5</v>
      </c>
      <c r="AP127" s="231">
        <v>3</v>
      </c>
      <c r="AQ127" s="231">
        <v>4</v>
      </c>
    </row>
    <row r="128" spans="1:44">
      <c r="A128" s="1374"/>
      <c r="B128" s="228" t="s">
        <v>843</v>
      </c>
      <c r="O128" s="228"/>
      <c r="P128" s="228"/>
      <c r="Q128" s="228"/>
      <c r="R128" s="228"/>
      <c r="S128" s="228"/>
      <c r="T128" s="228"/>
      <c r="U128" s="228"/>
      <c r="W128" s="228"/>
      <c r="AE128" s="229"/>
      <c r="AF128" s="229">
        <v>140</v>
      </c>
      <c r="AG128" s="229">
        <v>140</v>
      </c>
      <c r="AH128" s="229">
        <v>140</v>
      </c>
      <c r="AI128" s="229">
        <v>140</v>
      </c>
      <c r="AJ128" s="229">
        <v>200</v>
      </c>
      <c r="AK128" s="229">
        <v>200</v>
      </c>
      <c r="AL128" s="229">
        <v>260</v>
      </c>
      <c r="AM128" s="229">
        <v>250</v>
      </c>
      <c r="AN128" s="231">
        <v>250</v>
      </c>
      <c r="AO128" s="229">
        <v>300</v>
      </c>
      <c r="AP128" s="229">
        <v>475</v>
      </c>
      <c r="AQ128" s="229">
        <v>650</v>
      </c>
    </row>
    <row r="129" spans="1:44">
      <c r="A129" s="1374"/>
      <c r="B129" s="228" t="s">
        <v>844</v>
      </c>
      <c r="K129" s="239"/>
      <c r="L129" s="239"/>
      <c r="M129" s="239"/>
      <c r="N129" s="239"/>
      <c r="O129" s="228"/>
      <c r="P129" s="228"/>
      <c r="Q129" s="228"/>
      <c r="R129" s="228"/>
      <c r="S129" s="228"/>
      <c r="T129" s="228"/>
      <c r="U129" s="228"/>
      <c r="W129" s="228"/>
      <c r="X129" s="231"/>
      <c r="Y129" s="231"/>
      <c r="Z129" s="231"/>
      <c r="AA129" s="231"/>
      <c r="AB129" s="231"/>
      <c r="AC129" s="231"/>
      <c r="AD129" s="231"/>
      <c r="AE129" s="231"/>
      <c r="AF129" s="231">
        <v>22</v>
      </c>
      <c r="AG129" s="231">
        <v>24</v>
      </c>
      <c r="AH129" s="231">
        <v>12</v>
      </c>
      <c r="AI129" s="231">
        <v>36</v>
      </c>
      <c r="AJ129" s="231" t="s">
        <v>269</v>
      </c>
      <c r="AK129" s="231" t="s">
        <v>269</v>
      </c>
      <c r="AL129" s="231" t="s">
        <v>269</v>
      </c>
      <c r="AM129" s="231" t="s">
        <v>269</v>
      </c>
      <c r="AN129" s="231" t="s">
        <v>269</v>
      </c>
      <c r="AO129" s="231" t="s">
        <v>269</v>
      </c>
      <c r="AP129" s="231"/>
      <c r="AQ129" s="231"/>
    </row>
    <row r="130" spans="1:44">
      <c r="K130" s="239"/>
      <c r="L130" s="239"/>
      <c r="M130" s="239"/>
      <c r="N130" s="239"/>
      <c r="O130" s="228"/>
      <c r="P130" s="228"/>
      <c r="Q130" s="228"/>
      <c r="R130" s="228"/>
      <c r="S130" s="228"/>
      <c r="T130" s="228"/>
      <c r="U130" s="228"/>
      <c r="W130" s="228"/>
      <c r="X130" s="231"/>
      <c r="Y130" s="231"/>
      <c r="Z130" s="231"/>
      <c r="AA130" s="231"/>
      <c r="AB130" s="231"/>
      <c r="AC130" s="231"/>
      <c r="AD130" s="231"/>
      <c r="AE130" s="231"/>
      <c r="AF130" s="231"/>
      <c r="AG130" s="231"/>
      <c r="AH130" s="231"/>
      <c r="AI130" s="231"/>
      <c r="AJ130" s="231"/>
      <c r="AK130" s="231"/>
      <c r="AL130" s="231"/>
      <c r="AM130" s="231"/>
      <c r="AN130" s="1374"/>
      <c r="AO130" s="231"/>
      <c r="AP130" s="231"/>
      <c r="AQ130" s="231"/>
    </row>
    <row r="131" spans="1:44">
      <c r="B131" s="1373" t="s">
        <v>845</v>
      </c>
      <c r="K131" s="239"/>
      <c r="L131" s="239"/>
      <c r="M131" s="239"/>
      <c r="N131" s="239"/>
      <c r="O131" s="228"/>
      <c r="P131" s="228"/>
      <c r="Q131" s="228"/>
      <c r="R131" s="228"/>
      <c r="S131" s="228"/>
      <c r="T131" s="228"/>
      <c r="U131" s="228"/>
      <c r="W131" s="228"/>
      <c r="X131" s="231"/>
      <c r="Y131" s="231"/>
      <c r="Z131" s="231"/>
      <c r="AA131" s="231"/>
      <c r="AB131" s="231"/>
      <c r="AC131" s="231"/>
      <c r="AD131" s="231"/>
      <c r="AE131" s="231"/>
      <c r="AF131" s="231"/>
      <c r="AG131" s="231"/>
      <c r="AH131" s="231"/>
      <c r="AI131" s="231"/>
      <c r="AJ131" s="231"/>
      <c r="AK131" s="231"/>
      <c r="AL131" s="231"/>
      <c r="AM131" s="231"/>
      <c r="AN131" s="1374"/>
      <c r="AO131" s="231"/>
      <c r="AP131" s="231"/>
      <c r="AQ131" s="231"/>
    </row>
    <row r="132" spans="1:44">
      <c r="B132" s="228" t="s">
        <v>846</v>
      </c>
      <c r="K132" s="239"/>
      <c r="L132" s="239"/>
      <c r="M132" s="239"/>
      <c r="N132" s="239"/>
      <c r="O132" s="228"/>
      <c r="P132" s="228"/>
      <c r="Q132" s="228"/>
      <c r="R132" s="228"/>
      <c r="S132" s="228"/>
      <c r="T132" s="228"/>
      <c r="U132" s="228"/>
      <c r="W132" s="228"/>
      <c r="X132" s="231">
        <v>2518</v>
      </c>
      <c r="Y132" s="231">
        <v>2145</v>
      </c>
      <c r="Z132" s="231">
        <v>2210</v>
      </c>
      <c r="AA132" s="231">
        <v>2450</v>
      </c>
      <c r="AB132" s="231">
        <v>2700</v>
      </c>
      <c r="AC132" s="231">
        <v>3240</v>
      </c>
      <c r="AD132" s="231">
        <v>4520</v>
      </c>
      <c r="AE132" s="231">
        <v>4480</v>
      </c>
      <c r="AF132" s="231">
        <v>3917</v>
      </c>
      <c r="AG132" s="231">
        <v>3610</v>
      </c>
      <c r="AH132" s="231">
        <v>3105</v>
      </c>
      <c r="AI132" s="231">
        <v>2900</v>
      </c>
      <c r="AJ132" s="231">
        <v>2460</v>
      </c>
      <c r="AK132" s="231">
        <v>2234</v>
      </c>
      <c r="AL132" s="231">
        <v>2129</v>
      </c>
      <c r="AM132" s="231">
        <v>37</v>
      </c>
      <c r="AN132" s="231" t="s">
        <v>269</v>
      </c>
      <c r="AO132" s="231" t="s">
        <v>269</v>
      </c>
      <c r="AP132" s="231" t="s">
        <v>269</v>
      </c>
      <c r="AQ132" s="231" t="s">
        <v>269</v>
      </c>
      <c r="AR132" s="228" t="s">
        <v>1825</v>
      </c>
    </row>
    <row r="133" spans="1:44">
      <c r="A133" s="1374"/>
      <c r="B133" s="228" t="s">
        <v>847</v>
      </c>
      <c r="K133" s="239"/>
      <c r="L133" s="239"/>
      <c r="M133" s="239"/>
      <c r="N133" s="239"/>
      <c r="O133" s="228"/>
      <c r="P133" s="228"/>
      <c r="Q133" s="228"/>
      <c r="R133" s="228"/>
      <c r="S133" s="228"/>
      <c r="T133" s="228"/>
      <c r="U133" s="228"/>
      <c r="W133" s="228"/>
      <c r="X133" s="231"/>
      <c r="Y133" s="231"/>
      <c r="Z133" s="231"/>
      <c r="AA133" s="231"/>
      <c r="AB133" s="231"/>
      <c r="AC133" s="231"/>
      <c r="AD133" s="231"/>
      <c r="AE133" s="231"/>
      <c r="AF133" s="231">
        <v>1004</v>
      </c>
      <c r="AG133" s="1378"/>
      <c r="AH133" s="1378"/>
      <c r="AI133" s="231"/>
      <c r="AJ133" s="1378"/>
      <c r="AK133" s="1378"/>
      <c r="AL133" s="1378"/>
      <c r="AM133" s="1378"/>
      <c r="AN133" s="229"/>
      <c r="AO133" s="231"/>
      <c r="AP133" s="231"/>
      <c r="AQ133" s="231"/>
      <c r="AR133" s="228" t="s">
        <v>1825</v>
      </c>
    </row>
    <row r="134" spans="1:44">
      <c r="A134" s="1374"/>
      <c r="B134" s="228" t="s">
        <v>848</v>
      </c>
      <c r="K134" s="239"/>
      <c r="L134" s="239"/>
      <c r="M134" s="239"/>
      <c r="N134" s="239"/>
      <c r="O134" s="228"/>
      <c r="P134" s="228"/>
      <c r="Q134" s="228"/>
      <c r="R134" s="228"/>
      <c r="S134" s="228"/>
      <c r="T134" s="228"/>
      <c r="U134" s="228"/>
      <c r="W134" s="228"/>
      <c r="X134" s="231">
        <v>200</v>
      </c>
      <c r="Y134" s="231"/>
      <c r="Z134" s="231">
        <v>285</v>
      </c>
      <c r="AA134" s="231"/>
      <c r="AB134" s="231">
        <v>295</v>
      </c>
      <c r="AC134" s="231"/>
      <c r="AD134" s="231">
        <v>291.143790849673</v>
      </c>
      <c r="AE134" s="231"/>
      <c r="AF134" s="231">
        <v>96</v>
      </c>
      <c r="AG134" s="231">
        <v>26</v>
      </c>
      <c r="AH134" s="231">
        <v>3</v>
      </c>
      <c r="AI134" s="231" t="s">
        <v>269</v>
      </c>
      <c r="AJ134" s="231" t="s">
        <v>269</v>
      </c>
      <c r="AK134" s="231" t="s">
        <v>269</v>
      </c>
      <c r="AL134" s="231" t="s">
        <v>269</v>
      </c>
      <c r="AM134" s="231" t="s">
        <v>269</v>
      </c>
      <c r="AN134" s="231" t="s">
        <v>269</v>
      </c>
      <c r="AO134" s="231" t="s">
        <v>269</v>
      </c>
      <c r="AP134" s="231" t="s">
        <v>269</v>
      </c>
      <c r="AQ134" s="231" t="s">
        <v>269</v>
      </c>
    </row>
    <row r="135" spans="1:44">
      <c r="B135" s="228" t="s">
        <v>849</v>
      </c>
      <c r="O135" s="228"/>
      <c r="P135" s="228"/>
      <c r="Q135" s="228"/>
      <c r="R135" s="228"/>
      <c r="S135" s="228"/>
      <c r="T135" s="228"/>
      <c r="U135" s="228"/>
      <c r="W135" s="228"/>
      <c r="X135" s="229">
        <v>40</v>
      </c>
      <c r="Z135" s="229">
        <v>50</v>
      </c>
      <c r="AB135" s="229">
        <v>82</v>
      </c>
      <c r="AD135" s="231">
        <v>133.18626231991126</v>
      </c>
      <c r="AE135" s="229"/>
      <c r="AF135" s="231">
        <v>127</v>
      </c>
      <c r="AG135" s="231">
        <v>128</v>
      </c>
      <c r="AH135" s="231">
        <v>118</v>
      </c>
      <c r="AI135" s="229" t="s">
        <v>269</v>
      </c>
      <c r="AJ135" s="231">
        <v>124</v>
      </c>
      <c r="AK135" s="231">
        <v>122</v>
      </c>
      <c r="AL135" s="231">
        <v>122.20183486238533</v>
      </c>
      <c r="AM135" s="231">
        <v>137.47706422018348</v>
      </c>
      <c r="AN135" s="1379">
        <v>142.56880733944953</v>
      </c>
      <c r="AO135" s="229">
        <v>178</v>
      </c>
      <c r="AP135" s="229">
        <v>171</v>
      </c>
      <c r="AQ135" s="229"/>
    </row>
    <row r="136" spans="1:44">
      <c r="K136" s="239"/>
      <c r="L136" s="239"/>
      <c r="M136" s="239"/>
      <c r="N136" s="239"/>
      <c r="O136" s="228"/>
      <c r="P136" s="228"/>
      <c r="Q136" s="228"/>
      <c r="R136" s="228"/>
      <c r="S136" s="228"/>
      <c r="T136" s="228"/>
      <c r="U136" s="228"/>
      <c r="W136" s="228"/>
      <c r="X136" s="231"/>
      <c r="Y136" s="231"/>
      <c r="Z136" s="231"/>
      <c r="AA136" s="231"/>
      <c r="AB136" s="231"/>
      <c r="AC136" s="231"/>
      <c r="AD136" s="231"/>
      <c r="AE136" s="231"/>
      <c r="AF136" s="231"/>
      <c r="AG136" s="231"/>
      <c r="AH136" s="231"/>
      <c r="AI136" s="231"/>
      <c r="AJ136" s="231"/>
      <c r="AK136" s="231"/>
      <c r="AL136" s="231"/>
      <c r="AM136" s="231"/>
      <c r="AN136" s="229"/>
      <c r="AO136" s="231"/>
      <c r="AP136" s="231"/>
      <c r="AQ136" s="231"/>
    </row>
    <row r="137" spans="1:44">
      <c r="B137" s="1373" t="s">
        <v>850</v>
      </c>
      <c r="K137" s="239"/>
      <c r="L137" s="239"/>
      <c r="M137" s="239"/>
      <c r="N137" s="239"/>
      <c r="O137" s="228"/>
      <c r="P137" s="228"/>
      <c r="Q137" s="228"/>
      <c r="R137" s="228"/>
      <c r="S137" s="228"/>
      <c r="T137" s="228"/>
      <c r="U137" s="228"/>
      <c r="W137" s="228"/>
      <c r="X137" s="231"/>
      <c r="Y137" s="231"/>
      <c r="Z137" s="231"/>
      <c r="AA137" s="231"/>
      <c r="AB137" s="231"/>
      <c r="AC137" s="231"/>
      <c r="AD137" s="231"/>
      <c r="AE137" s="231"/>
      <c r="AF137" s="231"/>
      <c r="AG137" s="231"/>
      <c r="AH137" s="231"/>
      <c r="AI137" s="231"/>
      <c r="AJ137" s="231"/>
      <c r="AK137" s="231"/>
      <c r="AL137" s="231"/>
      <c r="AM137" s="231"/>
      <c r="AN137" s="229"/>
      <c r="AO137" s="231"/>
      <c r="AP137" s="231"/>
      <c r="AQ137" s="231"/>
    </row>
    <row r="138" spans="1:44">
      <c r="B138" s="228" t="s">
        <v>851</v>
      </c>
      <c r="K138" s="239"/>
      <c r="L138" s="239"/>
      <c r="M138" s="239"/>
      <c r="N138" s="239"/>
      <c r="O138" s="228"/>
      <c r="P138" s="228"/>
      <c r="Q138" s="228"/>
      <c r="R138" s="228"/>
      <c r="S138" s="228"/>
      <c r="T138" s="228"/>
      <c r="U138" s="228"/>
      <c r="W138" s="228"/>
      <c r="X138" s="231"/>
      <c r="Y138" s="231"/>
      <c r="Z138" s="231"/>
      <c r="AA138" s="231"/>
      <c r="AB138" s="231"/>
      <c r="AC138" s="231">
        <v>60</v>
      </c>
      <c r="AD138" s="231">
        <v>72</v>
      </c>
      <c r="AE138" s="231">
        <v>15</v>
      </c>
      <c r="AF138" s="231">
        <v>4</v>
      </c>
      <c r="AG138" s="1378"/>
      <c r="AH138" s="1378"/>
      <c r="AI138" s="231"/>
      <c r="AJ138" s="1378"/>
      <c r="AK138" s="1378"/>
      <c r="AL138" s="1378"/>
      <c r="AM138" s="1378"/>
      <c r="AN138" s="229"/>
      <c r="AO138" s="231"/>
      <c r="AP138" s="231"/>
      <c r="AQ138" s="231"/>
      <c r="AR138" s="228" t="s">
        <v>1825</v>
      </c>
    </row>
    <row r="139" spans="1:44">
      <c r="B139" s="228" t="s">
        <v>852</v>
      </c>
      <c r="K139" s="239"/>
      <c r="L139" s="239"/>
      <c r="M139" s="239"/>
      <c r="N139" s="239"/>
      <c r="O139" s="228"/>
      <c r="P139" s="228"/>
      <c r="Q139" s="228"/>
      <c r="R139" s="228"/>
      <c r="S139" s="228"/>
      <c r="T139" s="228"/>
      <c r="U139" s="228"/>
      <c r="W139" s="228"/>
      <c r="X139" s="231"/>
      <c r="Y139" s="231"/>
      <c r="Z139" s="231"/>
      <c r="AA139" s="231"/>
      <c r="AB139" s="231"/>
      <c r="AC139" s="231">
        <v>15</v>
      </c>
      <c r="AD139" s="231">
        <v>22</v>
      </c>
      <c r="AE139" s="231">
        <v>40</v>
      </c>
      <c r="AF139" s="231">
        <v>26</v>
      </c>
      <c r="AG139" s="231"/>
      <c r="AH139" s="231"/>
      <c r="AI139" s="231"/>
      <c r="AJ139" s="231"/>
      <c r="AK139" s="231"/>
      <c r="AL139" s="231"/>
      <c r="AM139" s="231"/>
      <c r="AN139" s="229"/>
      <c r="AO139" s="231"/>
      <c r="AP139" s="231"/>
      <c r="AQ139" s="231"/>
    </row>
    <row r="140" spans="1:44">
      <c r="B140" s="1373" t="s">
        <v>853</v>
      </c>
      <c r="K140" s="239"/>
      <c r="L140" s="239"/>
      <c r="M140" s="239"/>
      <c r="N140" s="239"/>
      <c r="O140" s="228"/>
      <c r="P140" s="228"/>
      <c r="Q140" s="228"/>
      <c r="R140" s="228"/>
      <c r="S140" s="228"/>
      <c r="T140" s="228"/>
      <c r="U140" s="228"/>
      <c r="W140" s="228"/>
      <c r="X140" s="231"/>
      <c r="Y140" s="231"/>
      <c r="Z140" s="231"/>
      <c r="AA140" s="231"/>
      <c r="AB140" s="231"/>
      <c r="AC140" s="231"/>
      <c r="AD140" s="231"/>
      <c r="AE140" s="231"/>
      <c r="AF140" s="231"/>
      <c r="AG140" s="231"/>
      <c r="AH140" s="231"/>
      <c r="AI140" s="231"/>
      <c r="AJ140" s="231"/>
      <c r="AK140" s="231"/>
      <c r="AL140" s="231"/>
      <c r="AM140" s="231"/>
      <c r="AN140" s="229"/>
      <c r="AO140" s="231"/>
      <c r="AP140" s="231"/>
      <c r="AQ140" s="231"/>
    </row>
    <row r="141" spans="1:44">
      <c r="A141" s="1374"/>
      <c r="B141" s="228" t="s">
        <v>854</v>
      </c>
      <c r="O141" s="228"/>
      <c r="P141" s="228"/>
      <c r="Q141" s="228"/>
      <c r="R141" s="228"/>
      <c r="S141" s="228"/>
      <c r="T141" s="228"/>
      <c r="U141" s="228"/>
      <c r="W141" s="228"/>
      <c r="AE141" s="229"/>
      <c r="AF141" s="231">
        <v>4</v>
      </c>
      <c r="AG141" s="231">
        <v>8</v>
      </c>
      <c r="AH141" s="231">
        <v>18</v>
      </c>
      <c r="AI141" s="229">
        <v>30</v>
      </c>
      <c r="AJ141" s="231">
        <v>37</v>
      </c>
      <c r="AK141" s="231">
        <v>40</v>
      </c>
      <c r="AL141" s="231">
        <v>34</v>
      </c>
      <c r="AM141" s="231">
        <v>37</v>
      </c>
      <c r="AN141" s="229">
        <v>14</v>
      </c>
      <c r="AO141" s="229">
        <v>16</v>
      </c>
      <c r="AP141" s="229">
        <v>18</v>
      </c>
      <c r="AQ141" s="229">
        <v>21</v>
      </c>
    </row>
    <row r="142" spans="1:44">
      <c r="A142" s="1374"/>
      <c r="B142" s="228" t="s">
        <v>855</v>
      </c>
      <c r="O142" s="228"/>
      <c r="P142" s="228"/>
      <c r="Q142" s="228"/>
      <c r="R142" s="228"/>
      <c r="S142" s="228"/>
      <c r="T142" s="228"/>
      <c r="U142" s="228"/>
      <c r="W142" s="228"/>
      <c r="AD142" s="231"/>
      <c r="AE142" s="229"/>
      <c r="AF142" s="231">
        <v>0</v>
      </c>
      <c r="AG142" s="231">
        <v>25</v>
      </c>
      <c r="AH142" s="231">
        <v>27</v>
      </c>
      <c r="AI142" s="229">
        <v>29</v>
      </c>
      <c r="AJ142" s="231">
        <v>32</v>
      </c>
      <c r="AK142" s="231">
        <v>33</v>
      </c>
      <c r="AL142" s="231">
        <v>36</v>
      </c>
      <c r="AM142" s="231">
        <v>37</v>
      </c>
      <c r="AN142" s="229">
        <v>37</v>
      </c>
      <c r="AO142" s="229">
        <v>38</v>
      </c>
      <c r="AP142" s="229">
        <v>28</v>
      </c>
      <c r="AQ142" s="229">
        <v>14</v>
      </c>
    </row>
    <row r="143" spans="1:44">
      <c r="K143" s="239"/>
      <c r="L143" s="239"/>
      <c r="M143" s="239"/>
      <c r="N143" s="239"/>
      <c r="O143" s="228"/>
      <c r="P143" s="228"/>
      <c r="Q143" s="228"/>
      <c r="R143" s="228"/>
      <c r="S143" s="228"/>
      <c r="T143" s="228"/>
      <c r="U143" s="228"/>
      <c r="W143" s="228"/>
      <c r="X143" s="231"/>
      <c r="Y143" s="231"/>
      <c r="Z143" s="231"/>
      <c r="AA143" s="231"/>
      <c r="AB143" s="231"/>
      <c r="AC143" s="231"/>
      <c r="AD143" s="231"/>
      <c r="AE143" s="231"/>
      <c r="AF143" s="231"/>
      <c r="AG143" s="231"/>
      <c r="AH143" s="231"/>
      <c r="AI143" s="231"/>
      <c r="AJ143" s="231"/>
      <c r="AK143" s="231"/>
      <c r="AL143" s="231"/>
      <c r="AM143" s="231"/>
      <c r="AN143" s="229"/>
      <c r="AO143" s="231"/>
      <c r="AP143" s="231"/>
      <c r="AQ143" s="231"/>
    </row>
    <row r="144" spans="1:44">
      <c r="K144" s="239"/>
      <c r="L144" s="239"/>
      <c r="M144" s="239"/>
      <c r="N144" s="239"/>
      <c r="O144" s="228"/>
      <c r="P144" s="228"/>
      <c r="Q144" s="228"/>
      <c r="R144" s="228"/>
      <c r="S144" s="228"/>
      <c r="T144" s="228"/>
      <c r="U144" s="228"/>
      <c r="W144" s="228"/>
      <c r="X144" s="231"/>
      <c r="Y144" s="231"/>
      <c r="Z144" s="231"/>
      <c r="AA144" s="231"/>
      <c r="AB144" s="231"/>
      <c r="AC144" s="231"/>
      <c r="AD144" s="231"/>
      <c r="AE144" s="231"/>
      <c r="AF144" s="231"/>
      <c r="AG144" s="231"/>
      <c r="AH144" s="231"/>
      <c r="AI144" s="231"/>
      <c r="AJ144" s="231"/>
      <c r="AK144" s="231"/>
      <c r="AL144" s="231"/>
      <c r="AM144" s="231"/>
      <c r="AN144" s="229"/>
      <c r="AO144" s="231"/>
      <c r="AP144" s="231"/>
      <c r="AQ144" s="231"/>
    </row>
    <row r="145" spans="1:43" ht="15">
      <c r="A145" s="240" t="s">
        <v>78</v>
      </c>
      <c r="B145" s="1380"/>
      <c r="O145" s="228"/>
      <c r="P145" s="228"/>
      <c r="Q145" s="228"/>
      <c r="R145" s="228"/>
      <c r="S145" s="228"/>
      <c r="T145" s="228"/>
      <c r="U145" s="228"/>
      <c r="W145" s="228"/>
      <c r="X145" s="243">
        <v>0</v>
      </c>
      <c r="Y145" s="243"/>
      <c r="Z145" s="243">
        <v>0</v>
      </c>
      <c r="AA145" s="243"/>
      <c r="AB145" s="243">
        <v>0</v>
      </c>
      <c r="AC145" s="243"/>
      <c r="AD145" s="242">
        <v>8</v>
      </c>
      <c r="AE145" s="242"/>
      <c r="AF145" s="242">
        <v>2105</v>
      </c>
      <c r="AG145" s="242">
        <f>AG148+AG151</f>
        <v>2159</v>
      </c>
      <c r="AH145" s="243">
        <f t="shared" ref="AH145:AQ145" si="23">AH148</f>
        <v>10</v>
      </c>
      <c r="AI145" s="242">
        <f t="shared" si="23"/>
        <v>10</v>
      </c>
      <c r="AJ145" s="242">
        <f t="shared" si="23"/>
        <v>10</v>
      </c>
      <c r="AK145" s="242">
        <f t="shared" si="23"/>
        <v>9</v>
      </c>
      <c r="AL145" s="242">
        <f t="shared" si="23"/>
        <v>9</v>
      </c>
      <c r="AM145" s="242">
        <f t="shared" si="23"/>
        <v>8</v>
      </c>
      <c r="AN145" s="242">
        <f t="shared" si="23"/>
        <v>8</v>
      </c>
      <c r="AO145" s="242">
        <f t="shared" si="23"/>
        <v>8</v>
      </c>
      <c r="AP145" s="242">
        <f t="shared" si="23"/>
        <v>7</v>
      </c>
      <c r="AQ145" s="242">
        <f t="shared" si="23"/>
        <v>8</v>
      </c>
    </row>
    <row r="146" spans="1:43">
      <c r="O146" s="228"/>
      <c r="P146" s="228"/>
      <c r="Q146" s="228"/>
      <c r="R146" s="228"/>
      <c r="S146" s="228"/>
      <c r="T146" s="228"/>
      <c r="U146" s="228"/>
      <c r="W146" s="228"/>
      <c r="AF146" s="229"/>
      <c r="AN146" s="229"/>
      <c r="AO146" s="229"/>
      <c r="AP146" s="229"/>
      <c r="AQ146" s="229"/>
    </row>
    <row r="147" spans="1:43">
      <c r="B147" s="1373" t="s">
        <v>830</v>
      </c>
      <c r="O147" s="228"/>
      <c r="P147" s="228"/>
      <c r="Q147" s="228"/>
      <c r="R147" s="228"/>
      <c r="S147" s="228"/>
      <c r="T147" s="228"/>
      <c r="U147" s="228"/>
      <c r="W147" s="228"/>
      <c r="AE147" s="229"/>
      <c r="AF147" s="229"/>
      <c r="AG147" s="229"/>
      <c r="AH147" s="229"/>
      <c r="AI147" s="229"/>
      <c r="AJ147" s="229"/>
      <c r="AK147" s="229"/>
      <c r="AL147" s="229"/>
      <c r="AM147" s="229"/>
      <c r="AN147" s="229"/>
      <c r="AO147" s="229"/>
      <c r="AP147" s="229"/>
      <c r="AQ147" s="229"/>
    </row>
    <row r="148" spans="1:43">
      <c r="B148" s="228" t="s">
        <v>856</v>
      </c>
      <c r="K148" s="239"/>
      <c r="L148" s="239"/>
      <c r="M148" s="239"/>
      <c r="N148" s="239"/>
      <c r="O148" s="228"/>
      <c r="P148" s="228"/>
      <c r="Q148" s="228"/>
      <c r="R148" s="228"/>
      <c r="S148" s="228"/>
      <c r="T148" s="228"/>
      <c r="U148" s="228"/>
      <c r="W148" s="228"/>
      <c r="X148" s="231"/>
      <c r="Y148" s="231"/>
      <c r="Z148" s="231"/>
      <c r="AA148" s="231"/>
      <c r="AB148" s="231"/>
      <c r="AC148" s="231"/>
      <c r="AD148" s="231">
        <v>7.5168777798258297</v>
      </c>
      <c r="AE148" s="231"/>
      <c r="AF148" s="231">
        <v>5</v>
      </c>
      <c r="AG148" s="231">
        <v>9</v>
      </c>
      <c r="AH148" s="231">
        <v>10</v>
      </c>
      <c r="AI148" s="231">
        <v>10</v>
      </c>
      <c r="AJ148" s="231">
        <v>10</v>
      </c>
      <c r="AK148" s="229">
        <v>9</v>
      </c>
      <c r="AL148" s="229">
        <v>9</v>
      </c>
      <c r="AM148" s="229">
        <v>8</v>
      </c>
      <c r="AN148" s="229">
        <v>8</v>
      </c>
      <c r="AO148" s="229">
        <v>8</v>
      </c>
      <c r="AP148" s="229">
        <v>7</v>
      </c>
      <c r="AQ148" s="229">
        <v>8</v>
      </c>
    </row>
    <row r="149" spans="1:43">
      <c r="K149" s="239"/>
      <c r="L149" s="239"/>
      <c r="M149" s="239"/>
      <c r="N149" s="239"/>
      <c r="O149" s="228"/>
      <c r="P149" s="228"/>
      <c r="Q149" s="228"/>
      <c r="R149" s="228"/>
      <c r="S149" s="228"/>
      <c r="T149" s="228"/>
      <c r="U149" s="228"/>
      <c r="W149" s="228"/>
      <c r="X149" s="231"/>
      <c r="Y149" s="231"/>
      <c r="Z149" s="231"/>
      <c r="AA149" s="231"/>
      <c r="AB149" s="231"/>
      <c r="AC149" s="231"/>
      <c r="AD149" s="231"/>
      <c r="AE149" s="231"/>
      <c r="AF149" s="231"/>
      <c r="AG149" s="231"/>
      <c r="AH149" s="231"/>
      <c r="AI149" s="231"/>
      <c r="AJ149" s="231"/>
      <c r="AK149" s="231"/>
      <c r="AL149" s="231"/>
      <c r="AM149" s="231"/>
      <c r="AN149" s="229"/>
      <c r="AO149" s="229"/>
      <c r="AP149" s="229"/>
      <c r="AQ149" s="229"/>
    </row>
    <row r="150" spans="1:43">
      <c r="B150" s="1373" t="s">
        <v>857</v>
      </c>
      <c r="O150" s="228"/>
      <c r="P150" s="228"/>
      <c r="Q150" s="228"/>
      <c r="R150" s="228"/>
      <c r="S150" s="228"/>
      <c r="T150" s="228"/>
      <c r="U150" s="228"/>
      <c r="W150" s="228"/>
      <c r="AE150" s="229"/>
      <c r="AF150" s="229"/>
      <c r="AG150" s="229"/>
      <c r="AH150" s="229"/>
      <c r="AI150" s="229"/>
      <c r="AJ150" s="229"/>
      <c r="AK150" s="229"/>
      <c r="AL150" s="229"/>
      <c r="AM150" s="229"/>
      <c r="AN150" s="229"/>
      <c r="AO150" s="229"/>
      <c r="AP150" s="229"/>
      <c r="AQ150" s="229"/>
    </row>
    <row r="151" spans="1:43">
      <c r="B151" s="228" t="s">
        <v>858</v>
      </c>
      <c r="O151" s="228"/>
      <c r="P151" s="228"/>
      <c r="Q151" s="228"/>
      <c r="R151" s="228"/>
      <c r="S151" s="228"/>
      <c r="T151" s="228"/>
      <c r="U151" s="228"/>
      <c r="W151" s="228"/>
      <c r="AE151" s="229"/>
      <c r="AF151" s="229">
        <v>2100</v>
      </c>
      <c r="AG151" s="229">
        <v>2150</v>
      </c>
      <c r="AH151" s="372" t="s">
        <v>269</v>
      </c>
      <c r="AI151" s="372" t="s">
        <v>269</v>
      </c>
      <c r="AJ151" s="372" t="s">
        <v>269</v>
      </c>
      <c r="AK151" s="372" t="s">
        <v>269</v>
      </c>
      <c r="AL151" s="372" t="s">
        <v>269</v>
      </c>
      <c r="AM151" s="372" t="s">
        <v>269</v>
      </c>
      <c r="AN151" s="372" t="s">
        <v>269</v>
      </c>
      <c r="AO151" s="372" t="s">
        <v>269</v>
      </c>
      <c r="AP151" s="372" t="s">
        <v>269</v>
      </c>
      <c r="AQ151" s="372" t="s">
        <v>269</v>
      </c>
    </row>
    <row r="152" spans="1:43">
      <c r="O152" s="228"/>
      <c r="P152" s="228"/>
      <c r="Q152" s="228"/>
      <c r="R152" s="228"/>
      <c r="S152" s="228"/>
      <c r="T152" s="228"/>
      <c r="U152" s="228"/>
      <c r="W152" s="228"/>
      <c r="AD152" s="231"/>
      <c r="AE152" s="229"/>
      <c r="AF152" s="231"/>
      <c r="AG152" s="231"/>
      <c r="AH152" s="231"/>
      <c r="AI152" s="229"/>
      <c r="AJ152" s="231"/>
      <c r="AK152" s="231"/>
      <c r="AL152" s="231"/>
      <c r="AM152" s="231"/>
      <c r="AN152" s="229"/>
      <c r="AO152" s="229"/>
      <c r="AP152" s="229"/>
      <c r="AQ152" s="229"/>
    </row>
    <row r="153" spans="1:43">
      <c r="A153" s="240" t="s">
        <v>859</v>
      </c>
      <c r="O153" s="228"/>
      <c r="P153" s="228"/>
      <c r="Q153" s="228"/>
      <c r="R153" s="228"/>
      <c r="S153" s="228"/>
      <c r="T153" s="228"/>
      <c r="U153" s="228"/>
      <c r="W153" s="228"/>
      <c r="AD153" s="231"/>
      <c r="AE153" s="229"/>
      <c r="AF153" s="231"/>
      <c r="AG153" s="231"/>
      <c r="AH153" s="231"/>
      <c r="AI153" s="229"/>
      <c r="AJ153" s="231"/>
      <c r="AK153" s="231"/>
      <c r="AL153" s="231"/>
      <c r="AM153" s="231"/>
      <c r="AN153" s="229"/>
      <c r="AO153" s="242"/>
      <c r="AP153" s="242"/>
      <c r="AQ153" s="242"/>
    </row>
    <row r="154" spans="1:43">
      <c r="O154" s="228"/>
      <c r="P154" s="228"/>
      <c r="Q154" s="228"/>
      <c r="R154" s="228"/>
      <c r="S154" s="228"/>
      <c r="T154" s="228"/>
      <c r="U154" s="228"/>
      <c r="W154" s="228"/>
      <c r="X154" s="243">
        <v>0</v>
      </c>
      <c r="Y154" s="243"/>
      <c r="Z154" s="243">
        <v>0</v>
      </c>
      <c r="AA154" s="243"/>
      <c r="AB154" s="243">
        <v>0</v>
      </c>
      <c r="AC154" s="243"/>
      <c r="AD154" s="243">
        <v>429.93790620182</v>
      </c>
      <c r="AE154" s="242"/>
      <c r="AF154" s="243">
        <v>1074</v>
      </c>
      <c r="AG154" s="243">
        <f t="shared" ref="AG154:AQ154" si="24">AG156+AG157+AG159</f>
        <v>1213</v>
      </c>
      <c r="AH154" s="243">
        <f t="shared" si="24"/>
        <v>1462</v>
      </c>
      <c r="AI154" s="243">
        <f t="shared" si="24"/>
        <v>1510</v>
      </c>
      <c r="AJ154" s="243">
        <f t="shared" si="24"/>
        <v>1712</v>
      </c>
      <c r="AK154" s="243">
        <f t="shared" si="24"/>
        <v>1947</v>
      </c>
      <c r="AL154" s="243">
        <f t="shared" si="24"/>
        <v>1968</v>
      </c>
      <c r="AM154" s="243">
        <f t="shared" si="24"/>
        <v>2079</v>
      </c>
      <c r="AN154" s="243">
        <f t="shared" si="24"/>
        <v>2138</v>
      </c>
      <c r="AO154" s="243">
        <f t="shared" si="24"/>
        <v>2197</v>
      </c>
      <c r="AP154" s="243">
        <f t="shared" si="24"/>
        <v>2154</v>
      </c>
      <c r="AQ154" s="243">
        <f t="shared" si="24"/>
        <v>31</v>
      </c>
    </row>
    <row r="155" spans="1:43">
      <c r="B155" s="1373" t="s">
        <v>816</v>
      </c>
      <c r="O155" s="228"/>
      <c r="P155" s="228"/>
      <c r="Q155" s="228"/>
      <c r="R155" s="228"/>
      <c r="S155" s="228"/>
      <c r="T155" s="228"/>
      <c r="U155" s="228"/>
      <c r="W155" s="228"/>
      <c r="AF155" s="229"/>
      <c r="AN155" s="229"/>
      <c r="AO155" s="229"/>
      <c r="AP155" s="229"/>
      <c r="AQ155" s="229"/>
    </row>
    <row r="156" spans="1:43">
      <c r="B156" s="228" t="s">
        <v>860</v>
      </c>
      <c r="K156" s="239"/>
      <c r="L156" s="239"/>
      <c r="M156" s="239"/>
      <c r="N156" s="239"/>
      <c r="O156" s="228"/>
      <c r="P156" s="228"/>
      <c r="Q156" s="228"/>
      <c r="R156" s="228"/>
      <c r="S156" s="228"/>
      <c r="T156" s="228"/>
      <c r="U156" s="228"/>
      <c r="W156" s="228"/>
      <c r="X156" s="231"/>
      <c r="Y156" s="231"/>
      <c r="Z156" s="231"/>
      <c r="AA156" s="231"/>
      <c r="AB156" s="231"/>
      <c r="AC156" s="231"/>
      <c r="AD156" s="231">
        <v>359.93790620182</v>
      </c>
      <c r="AE156" s="231"/>
      <c r="AF156" s="231">
        <v>339</v>
      </c>
      <c r="AG156" s="231">
        <v>375</v>
      </c>
      <c r="AH156" s="231">
        <v>375</v>
      </c>
      <c r="AI156" s="231">
        <v>405</v>
      </c>
      <c r="AJ156" s="231">
        <v>470</v>
      </c>
      <c r="AK156" s="231">
        <v>550</v>
      </c>
      <c r="AL156" s="231">
        <v>650</v>
      </c>
      <c r="AM156" s="231">
        <v>690</v>
      </c>
      <c r="AN156" s="229">
        <v>732</v>
      </c>
      <c r="AO156" s="229">
        <v>773</v>
      </c>
      <c r="AP156" s="229">
        <v>750</v>
      </c>
      <c r="AQ156" s="229"/>
    </row>
    <row r="157" spans="1:43">
      <c r="B157" s="228" t="s">
        <v>861</v>
      </c>
      <c r="O157" s="228"/>
      <c r="P157" s="228"/>
      <c r="Q157" s="228"/>
      <c r="R157" s="228"/>
      <c r="S157" s="228"/>
      <c r="T157" s="228"/>
      <c r="U157" s="228"/>
      <c r="W157" s="228"/>
      <c r="AE157" s="229"/>
      <c r="AF157" s="229">
        <v>700</v>
      </c>
      <c r="AG157" s="229">
        <v>800</v>
      </c>
      <c r="AH157" s="229">
        <v>1050</v>
      </c>
      <c r="AI157" s="229">
        <v>1065</v>
      </c>
      <c r="AJ157" s="229">
        <v>1200</v>
      </c>
      <c r="AK157" s="229">
        <v>1350</v>
      </c>
      <c r="AL157" s="229">
        <v>1280</v>
      </c>
      <c r="AM157" s="229">
        <v>1350</v>
      </c>
      <c r="AN157" s="229">
        <v>1370</v>
      </c>
      <c r="AO157" s="229">
        <v>1380</v>
      </c>
      <c r="AP157" s="229">
        <v>1380</v>
      </c>
      <c r="AQ157" s="229"/>
    </row>
    <row r="158" spans="1:43">
      <c r="B158" s="228" t="s">
        <v>862</v>
      </c>
      <c r="O158" s="228"/>
      <c r="P158" s="228"/>
      <c r="Q158" s="228"/>
      <c r="R158" s="228"/>
      <c r="S158" s="228"/>
      <c r="T158" s="228"/>
      <c r="U158" s="228"/>
      <c r="W158" s="228"/>
      <c r="AE158" s="229"/>
      <c r="AF158" s="229"/>
      <c r="AG158" s="229"/>
      <c r="AH158" s="229"/>
      <c r="AI158" s="229"/>
      <c r="AJ158" s="229"/>
      <c r="AK158" s="229"/>
      <c r="AL158" s="229"/>
      <c r="AM158" s="229"/>
      <c r="AN158" s="229"/>
      <c r="AO158" s="229"/>
      <c r="AP158" s="229"/>
      <c r="AQ158" s="229"/>
    </row>
    <row r="159" spans="1:43">
      <c r="B159" s="228" t="s">
        <v>863</v>
      </c>
      <c r="O159" s="228"/>
      <c r="P159" s="228"/>
      <c r="Q159" s="228"/>
      <c r="R159" s="228"/>
      <c r="S159" s="228"/>
      <c r="T159" s="228"/>
      <c r="U159" s="228"/>
      <c r="W159" s="228"/>
      <c r="AD159" s="231">
        <v>70</v>
      </c>
      <c r="AE159" s="229"/>
      <c r="AF159" s="231">
        <v>35</v>
      </c>
      <c r="AG159" s="231">
        <v>38</v>
      </c>
      <c r="AH159" s="231">
        <v>37</v>
      </c>
      <c r="AI159" s="229">
        <v>40</v>
      </c>
      <c r="AJ159" s="231">
        <v>42</v>
      </c>
      <c r="AK159" s="231">
        <v>47</v>
      </c>
      <c r="AL159" s="231">
        <v>38</v>
      </c>
      <c r="AM159" s="231">
        <v>39</v>
      </c>
      <c r="AN159" s="229">
        <v>36</v>
      </c>
      <c r="AO159" s="1381">
        <v>44</v>
      </c>
      <c r="AP159" s="1381">
        <v>24</v>
      </c>
      <c r="AQ159" s="1381">
        <v>31</v>
      </c>
    </row>
    <row r="160" spans="1:43">
      <c r="O160" s="228"/>
      <c r="P160" s="228"/>
      <c r="Q160" s="228"/>
      <c r="R160" s="228"/>
      <c r="S160" s="228"/>
      <c r="T160" s="228"/>
      <c r="U160" s="228"/>
      <c r="W160" s="228"/>
      <c r="AE160" s="229"/>
      <c r="AF160" s="229"/>
      <c r="AG160" s="229"/>
      <c r="AH160" s="229"/>
      <c r="AI160" s="229"/>
      <c r="AJ160" s="229"/>
      <c r="AK160" s="229"/>
      <c r="AL160" s="229"/>
      <c r="AM160" s="229"/>
      <c r="AN160" s="229"/>
      <c r="AO160" s="1374"/>
      <c r="AP160" s="1374"/>
      <c r="AQ160" s="1374"/>
    </row>
    <row r="161" spans="1:43">
      <c r="A161" s="238"/>
      <c r="B161" s="238"/>
      <c r="C161" s="238"/>
      <c r="D161" s="238"/>
      <c r="E161" s="238"/>
      <c r="F161" s="238"/>
      <c r="G161" s="238"/>
      <c r="H161" s="238"/>
      <c r="I161" s="238"/>
      <c r="J161" s="238"/>
      <c r="K161" s="238"/>
      <c r="L161" s="238"/>
      <c r="M161" s="238"/>
      <c r="N161" s="238"/>
      <c r="O161" s="228"/>
      <c r="P161" s="228"/>
      <c r="Q161" s="228"/>
      <c r="R161" s="228"/>
      <c r="S161" s="228"/>
      <c r="T161" s="228"/>
      <c r="U161" s="228"/>
      <c r="W161" s="228"/>
      <c r="X161" s="230"/>
      <c r="Y161" s="230"/>
      <c r="Z161" s="230"/>
      <c r="AA161" s="230"/>
      <c r="AB161" s="230"/>
      <c r="AC161" s="230"/>
      <c r="AD161" s="230"/>
      <c r="AE161" s="238"/>
      <c r="AF161" s="230"/>
      <c r="AG161" s="230"/>
      <c r="AH161" s="230"/>
      <c r="AI161" s="238"/>
      <c r="AJ161" s="230"/>
      <c r="AK161" s="230"/>
      <c r="AL161" s="230"/>
      <c r="AM161" s="230"/>
      <c r="AN161" s="230"/>
      <c r="AO161" s="230"/>
      <c r="AP161" s="230"/>
      <c r="AQ161" s="230"/>
    </row>
    <row r="162" spans="1:43">
      <c r="A162" s="228" t="s">
        <v>864</v>
      </c>
    </row>
    <row r="163" spans="1:43">
      <c r="A163" s="1382" t="s">
        <v>1548</v>
      </c>
      <c r="AN163" s="1374"/>
    </row>
    <row r="164" spans="1:43" ht="12.75" customHeight="1">
      <c r="A164" s="1364" t="s">
        <v>865</v>
      </c>
      <c r="B164" s="1382"/>
      <c r="C164" s="1382"/>
      <c r="D164" s="1382"/>
      <c r="E164" s="1382"/>
      <c r="F164" s="1382"/>
      <c r="G164" s="1382"/>
      <c r="H164" s="1382"/>
      <c r="I164" s="1382"/>
      <c r="J164" s="1382"/>
      <c r="K164" s="1382"/>
      <c r="L164" s="1382"/>
      <c r="M164" s="1382"/>
      <c r="N164" s="1382"/>
      <c r="O164" s="1382"/>
      <c r="P164" s="1382"/>
      <c r="Q164" s="1382"/>
      <c r="R164" s="1382"/>
      <c r="S164" s="1382"/>
      <c r="T164" s="1382"/>
      <c r="U164" s="1382"/>
      <c r="V164" s="1382"/>
      <c r="W164" s="1382"/>
      <c r="Z164" s="1383"/>
      <c r="AN164" s="1374"/>
    </row>
    <row r="165" spans="1:43" ht="12.75" customHeight="1">
      <c r="O165" s="228"/>
      <c r="P165" s="228"/>
      <c r="Q165" s="228"/>
      <c r="R165" s="228"/>
      <c r="S165" s="228"/>
      <c r="T165" s="228"/>
      <c r="U165" s="228"/>
      <c r="W165" s="228"/>
      <c r="AN165" s="1384"/>
    </row>
    <row r="166" spans="1:43">
      <c r="B166" s="1364"/>
      <c r="C166" s="1364"/>
      <c r="D166" s="1364"/>
      <c r="E166" s="1364"/>
      <c r="F166" s="1364"/>
      <c r="G166" s="1364"/>
      <c r="H166" s="1364"/>
      <c r="I166" s="1364"/>
      <c r="J166" s="1364"/>
      <c r="K166" s="1364"/>
      <c r="L166" s="1364"/>
      <c r="M166" s="1364"/>
      <c r="N166" s="1364"/>
      <c r="O166" s="1364"/>
      <c r="P166" s="1364"/>
      <c r="Q166" s="1364"/>
      <c r="R166" s="1364"/>
      <c r="S166" s="1364"/>
      <c r="T166" s="1364"/>
      <c r="U166" s="1364"/>
      <c r="V166" s="1364"/>
      <c r="W166" s="1364"/>
      <c r="AN166" s="1374"/>
    </row>
    <row r="167" spans="1:43">
      <c r="AN167" s="1374"/>
    </row>
    <row r="168" spans="1:43">
      <c r="AN168" s="1374"/>
    </row>
    <row r="169" spans="1:43">
      <c r="AN169" s="1374"/>
    </row>
    <row r="170" spans="1:43">
      <c r="O170" s="243"/>
      <c r="P170" s="243"/>
      <c r="Q170" s="243"/>
      <c r="R170" s="243"/>
      <c r="S170" s="243"/>
      <c r="T170" s="243"/>
      <c r="U170" s="243"/>
      <c r="V170" s="243"/>
      <c r="W170" s="243"/>
      <c r="X170" s="243"/>
      <c r="Y170" s="243"/>
      <c r="Z170" s="243"/>
      <c r="AA170" s="243"/>
      <c r="AN170" s="1374"/>
    </row>
  </sheetData>
  <mergeCells count="1">
    <mergeCell ref="A15:AQ15"/>
  </mergeCells>
  <pageMargins left="0.70866141732283472" right="0.70866141732283472" top="0.74803149606299213" bottom="0.74803149606299213" header="0.31496062992125984" footer="0.31496062992125984"/>
  <pageSetup paperSize="9" scale="35"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204"/>
  <sheetViews>
    <sheetView zoomScale="80" zoomScaleNormal="80" workbookViewId="0">
      <pane xSplit="25" ySplit="5" topLeftCell="Z6" activePane="bottomRight" state="frozen"/>
      <selection activeCell="X66" sqref="X66"/>
      <selection pane="topRight" activeCell="X66" sqref="X66"/>
      <selection pane="bottomLeft" activeCell="X66" sqref="X66"/>
      <selection pane="bottomRight" activeCell="B15" sqref="B15:AQ143"/>
    </sheetView>
  </sheetViews>
  <sheetFormatPr defaultColWidth="7.109375" defaultRowHeight="12.75" outlineLevelRow="1"/>
  <cols>
    <col min="1" max="1" width="2.21875" style="1385" hidden="1" customWidth="1"/>
    <col min="2" max="2" width="8.44140625" style="1385" customWidth="1"/>
    <col min="3" max="3" width="60.6640625" style="1385" customWidth="1"/>
    <col min="4" max="13" width="1" style="1385" hidden="1" customWidth="1"/>
    <col min="14" max="14" width="1" style="1385" customWidth="1"/>
    <col min="15" max="22" width="0.77734375" style="1385" customWidth="1"/>
    <col min="23" max="23" width="7.33203125" style="1385" customWidth="1"/>
    <col min="24" max="24" width="7.33203125" style="1386" customWidth="1"/>
    <col min="25" max="25" width="1.88671875" style="1386" customWidth="1"/>
    <col min="26" max="26" width="7.109375" style="1386" customWidth="1"/>
    <col min="27" max="27" width="3.77734375" style="1386" customWidth="1"/>
    <col min="28" max="28" width="7.21875" style="1386" bestFit="1" customWidth="1"/>
    <col min="29" max="29" width="3.77734375" style="1386" customWidth="1"/>
    <col min="30" max="30" width="8.109375" style="1386" customWidth="1"/>
    <col min="31" max="31" width="4.109375" style="1386" hidden="1" customWidth="1"/>
    <col min="32" max="40" width="7.77734375" style="1386" customWidth="1"/>
    <col min="41" max="41" width="7.77734375" style="1387" customWidth="1"/>
    <col min="42" max="43" width="7.77734375" style="1385" customWidth="1"/>
    <col min="44" max="44" width="6.44140625" style="1385" hidden="1" customWidth="1"/>
    <col min="45" max="46" width="0" style="1385" hidden="1" customWidth="1"/>
    <col min="47" max="16384" width="7.109375" style="1385"/>
  </cols>
  <sheetData>
    <row r="1" spans="1:44" hidden="1" outlineLevel="1">
      <c r="B1" s="1385" t="s">
        <v>1007</v>
      </c>
    </row>
    <row r="2" spans="1:44" hidden="1" outlineLevel="1"/>
    <row r="3" spans="1:44" hidden="1" outlineLevel="1">
      <c r="B3" s="1385" t="s">
        <v>1008</v>
      </c>
      <c r="P3" s="1385">
        <v>1993</v>
      </c>
      <c r="R3" s="1385">
        <v>1995</v>
      </c>
      <c r="T3" s="1385">
        <v>1997</v>
      </c>
      <c r="V3" s="1385" t="s">
        <v>1009</v>
      </c>
      <c r="W3" s="1385">
        <v>2000</v>
      </c>
      <c r="X3" s="1386" t="s">
        <v>1010</v>
      </c>
    </row>
    <row r="4" spans="1:44" hidden="1" outlineLevel="1">
      <c r="V4" s="1386">
        <v>1999</v>
      </c>
      <c r="W4" s="1386"/>
      <c r="Z4" s="1386">
        <v>2003</v>
      </c>
      <c r="AB4" s="1386">
        <v>2005</v>
      </c>
      <c r="AD4" s="1386">
        <v>2007</v>
      </c>
      <c r="AF4" s="1386">
        <v>2009</v>
      </c>
      <c r="AG4" s="1386">
        <v>2010</v>
      </c>
      <c r="AH4" s="1386">
        <v>2011</v>
      </c>
      <c r="AI4" s="1386">
        <v>2012</v>
      </c>
      <c r="AJ4" s="1386">
        <v>2013</v>
      </c>
      <c r="AK4" s="1386">
        <v>2014</v>
      </c>
      <c r="AL4" s="1386">
        <v>2015</v>
      </c>
      <c r="AM4" s="1386">
        <v>2016</v>
      </c>
      <c r="AN4" s="1386">
        <v>2017</v>
      </c>
      <c r="AO4" s="1386">
        <v>2018</v>
      </c>
      <c r="AP4" s="1386">
        <v>2019</v>
      </c>
      <c r="AQ4" s="1386">
        <v>2020</v>
      </c>
      <c r="AR4" s="1386"/>
    </row>
    <row r="5" spans="1:44" hidden="1" outlineLevel="1">
      <c r="V5" s="1386"/>
      <c r="W5" s="1386"/>
      <c r="AO5" s="1386"/>
      <c r="AP5" s="1386"/>
      <c r="AQ5" s="1386"/>
      <c r="AR5" s="1386"/>
    </row>
    <row r="6" spans="1:44" hidden="1" outlineLevel="1">
      <c r="A6" s="311" t="s">
        <v>2</v>
      </c>
      <c r="B6" s="311" t="s">
        <v>3</v>
      </c>
      <c r="P6" s="1388"/>
      <c r="Q6" s="1388"/>
      <c r="R6" s="1388"/>
      <c r="S6" s="1388"/>
      <c r="T6" s="1388">
        <v>2410</v>
      </c>
      <c r="U6" s="1388"/>
      <c r="V6" s="1389">
        <f>V115+V112+V97</f>
        <v>1370.0125738842976</v>
      </c>
      <c r="W6" s="1388"/>
      <c r="X6" s="1390">
        <f>X94</f>
        <v>793</v>
      </c>
      <c r="Y6" s="1390"/>
      <c r="Z6" s="1390">
        <f>Z94</f>
        <v>4010</v>
      </c>
      <c r="AA6" s="1390">
        <f t="shared" ref="AA6:AO6" si="0">AA94</f>
        <v>0</v>
      </c>
      <c r="AB6" s="1390">
        <f t="shared" si="0"/>
        <v>4400</v>
      </c>
      <c r="AC6" s="1390">
        <f t="shared" si="0"/>
        <v>0</v>
      </c>
      <c r="AD6" s="1390">
        <f t="shared" si="0"/>
        <v>4700</v>
      </c>
      <c r="AE6" s="1390">
        <f t="shared" si="0"/>
        <v>0</v>
      </c>
      <c r="AF6" s="1390">
        <f t="shared" si="0"/>
        <v>0</v>
      </c>
      <c r="AG6" s="1390">
        <f t="shared" si="0"/>
        <v>5400</v>
      </c>
      <c r="AH6" s="1390">
        <f t="shared" si="0"/>
        <v>4500</v>
      </c>
      <c r="AI6" s="1390">
        <f t="shared" si="0"/>
        <v>2800</v>
      </c>
      <c r="AJ6" s="1390">
        <f t="shared" si="0"/>
        <v>2600</v>
      </c>
      <c r="AK6" s="1390">
        <f t="shared" si="0"/>
        <v>2550</v>
      </c>
      <c r="AL6" s="1390">
        <f t="shared" si="0"/>
        <v>2500</v>
      </c>
      <c r="AM6" s="1391">
        <f t="shared" si="0"/>
        <v>2565.5225409836066</v>
      </c>
      <c r="AN6" s="1391">
        <f t="shared" si="0"/>
        <v>2498.5143442622953</v>
      </c>
      <c r="AO6" s="1391">
        <f t="shared" si="0"/>
        <v>2109.9897540983607</v>
      </c>
      <c r="AP6" s="1391">
        <f t="shared" ref="AP6:AQ6" si="1">AP94</f>
        <v>1740.2151639344263</v>
      </c>
      <c r="AQ6" s="1390" t="str">
        <f t="shared" si="1"/>
        <v>..</v>
      </c>
      <c r="AR6" s="1390"/>
    </row>
    <row r="7" spans="1:44" hidden="1" outlineLevel="1">
      <c r="A7" s="311" t="s">
        <v>4</v>
      </c>
      <c r="B7" s="311" t="s">
        <v>5</v>
      </c>
      <c r="P7" s="1388"/>
      <c r="Q7" s="1388"/>
      <c r="R7" s="1388"/>
      <c r="S7" s="1388"/>
      <c r="T7" s="1388">
        <f>T120</f>
        <v>1190</v>
      </c>
      <c r="U7" s="1388"/>
      <c r="V7" s="1388">
        <f>V120</f>
        <v>1240</v>
      </c>
      <c r="W7" s="1388"/>
      <c r="X7" s="1392">
        <f>X120</f>
        <v>1170</v>
      </c>
      <c r="Y7" s="1392"/>
      <c r="Z7" s="1392">
        <f>Z120</f>
        <v>1050</v>
      </c>
      <c r="AA7" s="1392">
        <f t="shared" ref="AA7:AO7" si="2">AA120</f>
        <v>0</v>
      </c>
      <c r="AB7" s="1392">
        <f t="shared" si="2"/>
        <v>1320</v>
      </c>
      <c r="AC7" s="1392">
        <f t="shared" si="2"/>
        <v>0</v>
      </c>
      <c r="AD7" s="1392">
        <f t="shared" si="2"/>
        <v>1460</v>
      </c>
      <c r="AE7" s="1392">
        <f t="shared" si="2"/>
        <v>0</v>
      </c>
      <c r="AF7" s="1392">
        <f t="shared" si="2"/>
        <v>1540</v>
      </c>
      <c r="AG7" s="1392">
        <f t="shared" si="2"/>
        <v>1640</v>
      </c>
      <c r="AH7" s="1392">
        <f t="shared" si="2"/>
        <v>1680</v>
      </c>
      <c r="AI7" s="1392">
        <f t="shared" si="2"/>
        <v>1880</v>
      </c>
      <c r="AJ7" s="1392">
        <f t="shared" si="2"/>
        <v>1935</v>
      </c>
      <c r="AK7" s="1392">
        <f t="shared" si="2"/>
        <v>2145</v>
      </c>
      <c r="AL7" s="1392">
        <f t="shared" si="2"/>
        <v>2485</v>
      </c>
      <c r="AM7" s="1392">
        <f t="shared" si="2"/>
        <v>2065</v>
      </c>
      <c r="AN7" s="1392">
        <f t="shared" si="2"/>
        <v>2500</v>
      </c>
      <c r="AO7" s="1392">
        <f t="shared" si="2"/>
        <v>2560</v>
      </c>
      <c r="AP7" s="1392">
        <f t="shared" ref="AP7:AQ7" si="3">AP120</f>
        <v>2730</v>
      </c>
      <c r="AQ7" s="1392">
        <f t="shared" si="3"/>
        <v>2630</v>
      </c>
      <c r="AR7" s="1392"/>
    </row>
    <row r="8" spans="1:44" hidden="1" outlineLevel="1">
      <c r="A8" s="311" t="s">
        <v>6</v>
      </c>
      <c r="B8" s="311"/>
      <c r="P8" s="1388"/>
      <c r="Q8" s="1388"/>
      <c r="R8" s="1388"/>
      <c r="S8" s="1388"/>
      <c r="T8" s="1389">
        <f>T7+T6</f>
        <v>3600</v>
      </c>
      <c r="U8" s="1388"/>
      <c r="V8" s="1389">
        <f>V7+V6</f>
        <v>2610.0125738842976</v>
      </c>
      <c r="W8" s="1388"/>
      <c r="X8" s="1390">
        <f>X7+X6</f>
        <v>1963</v>
      </c>
      <c r="Y8" s="1390"/>
      <c r="Z8" s="1390">
        <f>Z7+Z6</f>
        <v>5060</v>
      </c>
      <c r="AA8" s="1390">
        <f t="shared" ref="AA8:AO8" si="4">AA7+AA6</f>
        <v>0</v>
      </c>
      <c r="AB8" s="1390">
        <f t="shared" si="4"/>
        <v>5720</v>
      </c>
      <c r="AC8" s="1390">
        <f t="shared" si="4"/>
        <v>0</v>
      </c>
      <c r="AD8" s="1390">
        <f t="shared" si="4"/>
        <v>6160</v>
      </c>
      <c r="AE8" s="1390">
        <f t="shared" si="4"/>
        <v>0</v>
      </c>
      <c r="AF8" s="1390">
        <f t="shared" si="4"/>
        <v>1540</v>
      </c>
      <c r="AG8" s="1390">
        <f t="shared" si="4"/>
        <v>7040</v>
      </c>
      <c r="AH8" s="1390">
        <f t="shared" si="4"/>
        <v>6180</v>
      </c>
      <c r="AI8" s="1390">
        <f t="shared" si="4"/>
        <v>4680</v>
      </c>
      <c r="AJ8" s="1390">
        <f t="shared" si="4"/>
        <v>4535</v>
      </c>
      <c r="AK8" s="1390">
        <f t="shared" si="4"/>
        <v>4695</v>
      </c>
      <c r="AL8" s="1390">
        <f t="shared" si="4"/>
        <v>4985</v>
      </c>
      <c r="AM8" s="1390">
        <f>AM7+AM6</f>
        <v>4630.5225409836066</v>
      </c>
      <c r="AN8" s="1390">
        <f t="shared" si="4"/>
        <v>4998.5143442622957</v>
      </c>
      <c r="AO8" s="1390">
        <f t="shared" si="4"/>
        <v>4669.9897540983602</v>
      </c>
      <c r="AP8" s="1390">
        <f t="shared" ref="AP8" si="5">AP7+AP6</f>
        <v>4470.2151639344265</v>
      </c>
      <c r="AQ8" s="1390"/>
      <c r="AR8" s="1390"/>
    </row>
    <row r="9" spans="1:44" hidden="1" outlineLevel="1">
      <c r="P9" s="1388"/>
      <c r="Q9" s="1388"/>
      <c r="R9" s="1388"/>
      <c r="S9" s="1388"/>
      <c r="T9" s="1388"/>
      <c r="U9" s="1388"/>
      <c r="V9" s="1389"/>
      <c r="W9" s="1389"/>
      <c r="X9" s="1392"/>
      <c r="Y9" s="1392"/>
      <c r="Z9" s="1392"/>
      <c r="AA9" s="1392"/>
      <c r="AB9" s="1392"/>
      <c r="AC9" s="1392"/>
      <c r="AD9" s="1392"/>
      <c r="AE9" s="1392"/>
      <c r="AF9" s="1392"/>
      <c r="AG9" s="1392"/>
      <c r="AH9" s="1392"/>
      <c r="AI9" s="1392"/>
      <c r="AJ9" s="1392"/>
      <c r="AK9" s="1392"/>
      <c r="AL9" s="1392"/>
      <c r="AM9" s="1392"/>
      <c r="AN9" s="1392"/>
      <c r="AO9" s="1392"/>
      <c r="AP9" s="1392"/>
      <c r="AQ9" s="1392"/>
      <c r="AR9" s="1392"/>
    </row>
    <row r="10" spans="1:44" hidden="1" outlineLevel="1">
      <c r="B10" s="1385" t="s">
        <v>110</v>
      </c>
      <c r="P10" s="1393">
        <f>P133</f>
        <v>17410</v>
      </c>
      <c r="Q10" s="1388"/>
      <c r="R10" s="1393">
        <f>R133</f>
        <v>17125</v>
      </c>
      <c r="S10" s="1388"/>
      <c r="T10" s="1393">
        <f>T133</f>
        <v>19170</v>
      </c>
      <c r="U10" s="1388"/>
      <c r="V10" s="1394">
        <f>V133</f>
        <v>21480</v>
      </c>
      <c r="W10" s="1389"/>
      <c r="X10" s="1392">
        <f>X133</f>
        <v>9400</v>
      </c>
      <c r="Y10" s="1392"/>
      <c r="Z10" s="1392">
        <f>Z133</f>
        <v>11700</v>
      </c>
      <c r="AA10" s="1392">
        <f t="shared" ref="AA10:AO10" si="6">AA133</f>
        <v>0</v>
      </c>
      <c r="AB10" s="1392">
        <f t="shared" si="6"/>
        <v>15400</v>
      </c>
      <c r="AC10" s="1392">
        <f t="shared" si="6"/>
        <v>0</v>
      </c>
      <c r="AD10" s="1392">
        <f t="shared" si="6"/>
        <v>19400</v>
      </c>
      <c r="AE10" s="1392">
        <f t="shared" si="6"/>
        <v>0</v>
      </c>
      <c r="AF10" s="1392">
        <f t="shared" si="6"/>
        <v>20100</v>
      </c>
      <c r="AG10" s="1392">
        <f t="shared" si="6"/>
        <v>24000</v>
      </c>
      <c r="AH10" s="1392">
        <f t="shared" si="6"/>
        <v>22800</v>
      </c>
      <c r="AI10" s="1392">
        <f t="shared" si="6"/>
        <v>22300</v>
      </c>
      <c r="AJ10" s="1392">
        <f t="shared" si="6"/>
        <v>19200</v>
      </c>
      <c r="AK10" s="1392">
        <f t="shared" si="6"/>
        <v>18200</v>
      </c>
      <c r="AL10" s="1392">
        <f t="shared" si="6"/>
        <v>17900</v>
      </c>
      <c r="AM10" s="1392">
        <f t="shared" si="6"/>
        <v>20700</v>
      </c>
      <c r="AN10" s="1392">
        <f t="shared" si="6"/>
        <v>16700</v>
      </c>
      <c r="AO10" s="1392">
        <f t="shared" si="6"/>
        <v>18700</v>
      </c>
      <c r="AP10" s="1392">
        <f t="shared" ref="AP10:AQ10" si="7">AP133</f>
        <v>19500</v>
      </c>
      <c r="AQ10" s="1392">
        <f t="shared" si="7"/>
        <v>22100</v>
      </c>
      <c r="AR10" s="1392"/>
    </row>
    <row r="11" spans="1:44" hidden="1" outlineLevel="1">
      <c r="P11" s="1388"/>
      <c r="Q11" s="1388"/>
      <c r="R11" s="1388"/>
      <c r="S11" s="1388"/>
      <c r="T11" s="1388"/>
      <c r="U11" s="1388"/>
      <c r="V11" s="1389"/>
      <c r="W11" s="1389"/>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row>
    <row r="12" spans="1:44" hidden="1" outlineLevel="1">
      <c r="B12" s="165" t="s">
        <v>8</v>
      </c>
      <c r="P12" s="1388"/>
      <c r="Q12" s="1388"/>
      <c r="R12" s="1388"/>
      <c r="S12" s="1388"/>
      <c r="T12" s="1388" t="s">
        <v>237</v>
      </c>
      <c r="U12" s="1388"/>
      <c r="V12" s="1388">
        <f>V97</f>
        <v>120.01257388429751</v>
      </c>
      <c r="W12" s="1389"/>
      <c r="X12" s="1392">
        <f>X97</f>
        <v>758</v>
      </c>
      <c r="Y12" s="1392"/>
      <c r="Z12" s="1392">
        <f>Z102+Z107</f>
        <v>4000</v>
      </c>
      <c r="AA12" s="1392">
        <f t="shared" ref="AA12:AO12" si="8">AA102+AA107</f>
        <v>0</v>
      </c>
      <c r="AB12" s="1392">
        <f t="shared" si="8"/>
        <v>4400</v>
      </c>
      <c r="AC12" s="1392">
        <f t="shared" si="8"/>
        <v>0</v>
      </c>
      <c r="AD12" s="1392">
        <f t="shared" si="8"/>
        <v>4200</v>
      </c>
      <c r="AE12" s="1392">
        <f t="shared" si="8"/>
        <v>0</v>
      </c>
      <c r="AF12" s="1392">
        <f t="shared" si="8"/>
        <v>0</v>
      </c>
      <c r="AG12" s="1392">
        <f t="shared" si="8"/>
        <v>5400</v>
      </c>
      <c r="AH12" s="1392">
        <f t="shared" si="8"/>
        <v>4500</v>
      </c>
      <c r="AI12" s="1392">
        <f t="shared" si="8"/>
        <v>2800</v>
      </c>
      <c r="AJ12" s="1392">
        <f t="shared" si="8"/>
        <v>2550</v>
      </c>
      <c r="AK12" s="1392">
        <f t="shared" si="8"/>
        <v>2700</v>
      </c>
      <c r="AL12" s="1392">
        <f t="shared" si="8"/>
        <v>2700</v>
      </c>
      <c r="AM12" s="1395">
        <f>AM102+AM107</f>
        <v>2565.5225409836066</v>
      </c>
      <c r="AN12" s="1395">
        <f t="shared" si="8"/>
        <v>2498.5143442622953</v>
      </c>
      <c r="AO12" s="1395">
        <f t="shared" si="8"/>
        <v>2109.9897540983607</v>
      </c>
      <c r="AP12" s="1395">
        <f t="shared" ref="AP12" si="9">AP102+AP107</f>
        <v>1740.2151639344263</v>
      </c>
      <c r="AQ12" s="1392"/>
      <c r="AR12" s="1392"/>
    </row>
    <row r="13" spans="1:44" hidden="1" outlineLevel="1">
      <c r="B13" s="165"/>
      <c r="C13" s="1385" t="s">
        <v>256</v>
      </c>
      <c r="P13" s="1388"/>
      <c r="Q13" s="1388"/>
      <c r="R13" s="1388"/>
      <c r="S13" s="1388"/>
      <c r="T13" s="1388"/>
      <c r="U13" s="1388"/>
      <c r="V13" s="1388"/>
      <c r="W13" s="1389"/>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row>
    <row r="14" spans="1:44" hidden="1" outlineLevel="1">
      <c r="B14" s="165"/>
      <c r="C14" s="1385" t="s">
        <v>257</v>
      </c>
      <c r="P14" s="1388"/>
      <c r="Q14" s="1388"/>
      <c r="R14" s="1388"/>
      <c r="S14" s="1388"/>
      <c r="T14" s="1388"/>
      <c r="U14" s="1388"/>
      <c r="V14" s="1388"/>
      <c r="W14" s="1389"/>
      <c r="X14" s="1392">
        <f>X97</f>
        <v>758</v>
      </c>
      <c r="Y14" s="1392"/>
      <c r="Z14" s="1392">
        <f>Z102</f>
        <v>1200</v>
      </c>
      <c r="AA14" s="1392">
        <f t="shared" ref="AA14:AO14" si="10">AA102</f>
        <v>0</v>
      </c>
      <c r="AB14" s="1392">
        <f t="shared" si="10"/>
        <v>1000</v>
      </c>
      <c r="AC14" s="1392">
        <f t="shared" si="10"/>
        <v>0</v>
      </c>
      <c r="AD14" s="1392">
        <f t="shared" si="10"/>
        <v>1200</v>
      </c>
      <c r="AE14" s="1392">
        <f t="shared" si="10"/>
        <v>0</v>
      </c>
      <c r="AF14" s="1392">
        <f t="shared" si="10"/>
        <v>0</v>
      </c>
      <c r="AG14" s="1392">
        <f t="shared" si="10"/>
        <v>1500</v>
      </c>
      <c r="AH14" s="1392">
        <f t="shared" si="10"/>
        <v>1100</v>
      </c>
      <c r="AI14" s="1392">
        <f t="shared" si="10"/>
        <v>600</v>
      </c>
      <c r="AJ14" s="1392">
        <f t="shared" si="10"/>
        <v>550</v>
      </c>
      <c r="AK14" s="1392">
        <f t="shared" si="10"/>
        <v>600</v>
      </c>
      <c r="AL14" s="1392">
        <f t="shared" si="10"/>
        <v>600</v>
      </c>
      <c r="AM14" s="1392">
        <f t="shared" si="10"/>
        <v>531.14754098360652</v>
      </c>
      <c r="AN14" s="1392">
        <f t="shared" si="10"/>
        <v>501.63934426229508</v>
      </c>
      <c r="AO14" s="1392">
        <f t="shared" si="10"/>
        <v>413.11475409836072</v>
      </c>
      <c r="AP14" s="1392">
        <f t="shared" ref="AP14:AQ14" si="11">AP102</f>
        <v>324.59016393442624</v>
      </c>
      <c r="AQ14" s="1392" t="str">
        <f t="shared" si="11"/>
        <v>..</v>
      </c>
      <c r="AR14" s="1392"/>
    </row>
    <row r="15" spans="1:44" ht="35.25" customHeight="1" collapsed="1">
      <c r="B15" s="1968" t="s">
        <v>9</v>
      </c>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c r="AL15" s="1969"/>
      <c r="AM15" s="1969"/>
      <c r="AN15" s="1969"/>
      <c r="AO15" s="1969"/>
      <c r="AP15" s="1969"/>
      <c r="AQ15" s="1969"/>
    </row>
    <row r="16" spans="1:44">
      <c r="B16" s="165"/>
      <c r="C16" s="165"/>
      <c r="D16" s="165"/>
      <c r="E16" s="165"/>
      <c r="F16" s="165"/>
      <c r="G16" s="165"/>
      <c r="H16" s="165"/>
      <c r="I16" s="165"/>
      <c r="J16" s="165"/>
      <c r="K16" s="165"/>
      <c r="L16" s="165"/>
      <c r="M16" s="165"/>
      <c r="N16" s="165"/>
      <c r="O16" s="168"/>
      <c r="P16" s="168"/>
      <c r="Q16" s="168"/>
      <c r="R16" s="168"/>
      <c r="S16" s="168"/>
      <c r="T16" s="168"/>
      <c r="U16" s="168"/>
      <c r="V16" s="168"/>
      <c r="W16" s="168"/>
      <c r="X16" s="169"/>
      <c r="Y16" s="166"/>
      <c r="Z16" s="166"/>
      <c r="AA16" s="166"/>
      <c r="AB16" s="166"/>
      <c r="AC16" s="166"/>
      <c r="AD16" s="166"/>
      <c r="AE16" s="166"/>
      <c r="AF16" s="166"/>
      <c r="AG16" s="1393"/>
    </row>
    <row r="17" spans="2:46">
      <c r="B17" s="170" t="s">
        <v>1007</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393"/>
    </row>
    <row r="18" spans="2:46">
      <c r="B18" s="165"/>
      <c r="C18" s="165"/>
      <c r="D18" s="165"/>
      <c r="E18" s="165"/>
      <c r="F18" s="165"/>
      <c r="G18" s="165"/>
      <c r="H18" s="165"/>
      <c r="I18" s="165"/>
      <c r="J18" s="165"/>
      <c r="K18" s="165"/>
      <c r="L18" s="165"/>
      <c r="M18" s="165"/>
      <c r="N18" s="165"/>
      <c r="O18" s="168"/>
      <c r="P18" s="168"/>
      <c r="Q18" s="168"/>
      <c r="R18" s="168"/>
      <c r="S18" s="168"/>
      <c r="T18" s="168"/>
      <c r="U18" s="168"/>
      <c r="V18" s="168"/>
      <c r="W18" s="168"/>
      <c r="X18" s="169"/>
      <c r="Y18" s="166"/>
      <c r="Z18" s="166"/>
      <c r="AA18" s="166"/>
      <c r="AB18" s="166"/>
      <c r="AC18" s="166"/>
      <c r="AD18" s="166"/>
      <c r="AE18" s="166"/>
      <c r="AF18" s="166"/>
      <c r="AG18" s="1393"/>
    </row>
    <row r="19" spans="2:46">
      <c r="B19" s="170" t="s">
        <v>243</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393"/>
    </row>
    <row r="20" spans="2:46">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169"/>
      <c r="AG20" s="1393"/>
    </row>
    <row r="21" spans="2:46">
      <c r="B21" s="165"/>
      <c r="C21" s="165"/>
      <c r="D21" s="165"/>
      <c r="E21" s="165"/>
      <c r="F21" s="165"/>
      <c r="G21" s="165"/>
      <c r="H21" s="165"/>
      <c r="I21" s="165"/>
      <c r="J21" s="165"/>
      <c r="K21" s="165"/>
      <c r="L21" s="165"/>
      <c r="M21" s="165"/>
      <c r="N21" s="165"/>
      <c r="O21" s="168"/>
      <c r="P21" s="168"/>
      <c r="Q21" s="168"/>
      <c r="R21" s="168"/>
      <c r="S21" s="168"/>
      <c r="T21" s="168"/>
      <c r="U21" s="168"/>
      <c r="V21" s="168"/>
      <c r="W21" s="168"/>
      <c r="X21" s="257">
        <v>2001</v>
      </c>
      <c r="Y21" s="258"/>
      <c r="Z21" s="257">
        <v>2003</v>
      </c>
      <c r="AA21" s="258"/>
      <c r="AB21" s="257">
        <v>2005</v>
      </c>
      <c r="AC21" s="257"/>
      <c r="AD21" s="257">
        <v>2007</v>
      </c>
      <c r="AE21" s="257"/>
      <c r="AF21" s="259">
        <v>2009</v>
      </c>
      <c r="AG21" s="259">
        <v>2010</v>
      </c>
      <c r="AH21" s="259">
        <v>2011</v>
      </c>
      <c r="AI21" s="259">
        <v>2012</v>
      </c>
      <c r="AJ21" s="259">
        <v>2013</v>
      </c>
      <c r="AK21" s="259">
        <v>2014</v>
      </c>
      <c r="AL21" s="259">
        <v>2015</v>
      </c>
      <c r="AM21" s="259">
        <v>2016</v>
      </c>
      <c r="AN21" s="259">
        <v>2017</v>
      </c>
      <c r="AO21" s="259">
        <v>2018</v>
      </c>
      <c r="AP21" s="259">
        <v>2019</v>
      </c>
      <c r="AQ21" s="259">
        <v>2020</v>
      </c>
      <c r="AS21" s="1965"/>
      <c r="AT21" s="1965"/>
    </row>
    <row r="22" spans="2:46">
      <c r="B22" s="75">
        <v>1</v>
      </c>
      <c r="C22" s="1385" t="s">
        <v>410</v>
      </c>
      <c r="P22" s="1388"/>
      <c r="Q22" s="1388"/>
      <c r="R22" s="1388"/>
      <c r="S22" s="1388"/>
      <c r="T22" s="1388"/>
      <c r="U22" s="1388"/>
      <c r="V22" s="1388"/>
      <c r="W22" s="1389"/>
      <c r="X22" s="1393"/>
      <c r="Y22" s="1393"/>
      <c r="Z22" s="1393"/>
      <c r="AA22" s="1393"/>
      <c r="AB22" s="1393"/>
      <c r="AC22" s="1393"/>
      <c r="AD22" s="1393"/>
      <c r="AE22" s="1393"/>
      <c r="AF22" s="1393"/>
      <c r="AG22" s="1393"/>
      <c r="AH22" s="1393"/>
      <c r="AI22" s="1393"/>
      <c r="AJ22" s="1393"/>
      <c r="AK22" s="1393"/>
      <c r="AL22" s="1393"/>
      <c r="AM22" s="1393"/>
      <c r="AN22" s="1393"/>
      <c r="AO22" s="1393"/>
      <c r="AP22" s="1393"/>
      <c r="AQ22" s="1393"/>
    </row>
    <row r="23" spans="2:46">
      <c r="B23" s="75" t="s">
        <v>289</v>
      </c>
      <c r="C23" s="1385" t="s">
        <v>12</v>
      </c>
      <c r="P23" s="1388"/>
      <c r="Q23" s="1388"/>
      <c r="R23" s="1388"/>
      <c r="S23" s="1388"/>
      <c r="T23" s="1388"/>
      <c r="U23" s="1388"/>
      <c r="V23" s="1388"/>
      <c r="W23" s="1389"/>
      <c r="X23" s="622">
        <v>3</v>
      </c>
      <c r="Y23" s="1396"/>
      <c r="Z23" s="1397">
        <v>3.26</v>
      </c>
      <c r="AA23" s="1398"/>
      <c r="AB23" s="1397">
        <v>4.1500000000000004</v>
      </c>
      <c r="AC23" s="1397"/>
      <c r="AD23" s="1397">
        <v>4.45</v>
      </c>
      <c r="AE23" s="1397"/>
      <c r="AF23" s="1397">
        <v>4.3425326340598902</v>
      </c>
      <c r="AG23" s="1397">
        <v>4.2770513486049095</v>
      </c>
      <c r="AH23" s="1397">
        <v>4.290201542182225</v>
      </c>
      <c r="AI23" s="1397">
        <v>4.4215251076624611</v>
      </c>
      <c r="AJ23" s="1397">
        <v>4.4839265276899249</v>
      </c>
      <c r="AK23" s="1397">
        <v>4.8715725252161928</v>
      </c>
      <c r="AL23" s="1397">
        <v>4.780386292196078</v>
      </c>
      <c r="AM23" s="1397">
        <v>4.4569584220812049</v>
      </c>
      <c r="AN23" s="1397">
        <v>4.1603795277342819</v>
      </c>
      <c r="AO23" s="1398">
        <v>4.6354212922213431</v>
      </c>
      <c r="AP23" s="1398">
        <v>4.0447467642299824</v>
      </c>
      <c r="AQ23" s="1397" t="s">
        <v>1011</v>
      </c>
    </row>
    <row r="24" spans="2:46">
      <c r="B24" s="75" t="s">
        <v>411</v>
      </c>
      <c r="C24" s="1385" t="s">
        <v>412</v>
      </c>
      <c r="P24" s="1388"/>
      <c r="Q24" s="1388"/>
      <c r="R24" s="1388"/>
      <c r="S24" s="1388"/>
      <c r="T24" s="1388"/>
      <c r="U24" s="1388"/>
      <c r="V24" s="1388"/>
      <c r="W24" s="1389"/>
      <c r="X24" s="622">
        <v>7</v>
      </c>
      <c r="Y24" s="1396"/>
      <c r="Z24" s="1397">
        <v>6.97</v>
      </c>
      <c r="AA24" s="1398"/>
      <c r="AB24" s="1397">
        <v>14.08</v>
      </c>
      <c r="AC24" s="1397"/>
      <c r="AD24" s="1397">
        <v>13.48</v>
      </c>
      <c r="AE24" s="1397"/>
      <c r="AF24" s="1397">
        <v>12.305855358530673</v>
      </c>
      <c r="AG24" s="1397">
        <v>12.344469888525106</v>
      </c>
      <c r="AH24" s="1397">
        <v>12.539685836289756</v>
      </c>
      <c r="AI24" s="1397">
        <v>12.458835085214789</v>
      </c>
      <c r="AJ24" s="1397">
        <v>12.259352081437967</v>
      </c>
      <c r="AK24" s="1397">
        <v>12.886554894304336</v>
      </c>
      <c r="AL24" s="1397">
        <v>12.187502286947034</v>
      </c>
      <c r="AM24" s="1397">
        <v>11.952239188799785</v>
      </c>
      <c r="AN24" s="1397">
        <v>11.250813417245245</v>
      </c>
      <c r="AO24" s="1398">
        <v>12.102534592758721</v>
      </c>
      <c r="AP24" s="1398">
        <v>10.853754545697722</v>
      </c>
      <c r="AQ24" s="1397" t="s">
        <v>1011</v>
      </c>
    </row>
    <row r="25" spans="2:46">
      <c r="B25" s="75">
        <v>2</v>
      </c>
      <c r="C25" s="1385" t="s">
        <v>413</v>
      </c>
      <c r="P25" s="1388"/>
      <c r="Q25" s="1388"/>
      <c r="R25" s="1388"/>
      <c r="S25" s="1388"/>
      <c r="T25" s="1388"/>
      <c r="U25" s="1388"/>
      <c r="V25" s="1388"/>
      <c r="W25" s="1389"/>
      <c r="X25" s="622"/>
      <c r="Y25" s="1396"/>
      <c r="Z25" s="1397"/>
      <c r="AA25" s="1398"/>
      <c r="AB25" s="1397"/>
      <c r="AC25" s="1397"/>
      <c r="AD25" s="1397"/>
      <c r="AE25" s="1397"/>
      <c r="AF25" s="1397"/>
      <c r="AG25" s="1397"/>
      <c r="AH25" s="1397"/>
      <c r="AI25" s="1397"/>
      <c r="AJ25" s="1397"/>
      <c r="AK25" s="1397"/>
      <c r="AL25" s="1397"/>
      <c r="AM25" s="1397"/>
      <c r="AN25" s="1397"/>
      <c r="AO25" s="1398"/>
      <c r="AP25" s="1397"/>
      <c r="AQ25" s="1397"/>
    </row>
    <row r="26" spans="2:46">
      <c r="B26" s="75" t="s">
        <v>414</v>
      </c>
      <c r="C26" s="1385" t="s">
        <v>12</v>
      </c>
      <c r="P26" s="1388"/>
      <c r="Q26" s="1388"/>
      <c r="R26" s="1388"/>
      <c r="S26" s="1388"/>
      <c r="T26" s="1388"/>
      <c r="U26" s="1388"/>
      <c r="V26" s="1388"/>
      <c r="W26" s="1389"/>
      <c r="X26" s="622">
        <v>8</v>
      </c>
      <c r="Y26" s="1396"/>
      <c r="Z26" s="1397">
        <v>9.69</v>
      </c>
      <c r="AA26" s="1398"/>
      <c r="AB26" s="1397">
        <v>10.23</v>
      </c>
      <c r="AC26" s="1397"/>
      <c r="AD26" s="1397">
        <v>10.039999999999999</v>
      </c>
      <c r="AE26" s="1397"/>
      <c r="AF26" s="1397">
        <v>10.594683774708601</v>
      </c>
      <c r="AG26" s="1397">
        <v>8.958130672203465</v>
      </c>
      <c r="AH26" s="1397">
        <v>11.109006279237061</v>
      </c>
      <c r="AI26" s="1397">
        <v>6.56016188120058</v>
      </c>
      <c r="AJ26" s="1397">
        <v>6.6584071418600503</v>
      </c>
      <c r="AK26" s="1397">
        <v>8.2267329294730782</v>
      </c>
      <c r="AL26" s="1397">
        <v>7.6984391542048272</v>
      </c>
      <c r="AM26" s="1397">
        <v>7.1153975362454194</v>
      </c>
      <c r="AN26" s="1397">
        <v>6.3522681604405529</v>
      </c>
      <c r="AO26" s="1398">
        <v>7.5044466691039133</v>
      </c>
      <c r="AP26" s="1398">
        <v>5.8423370888046522</v>
      </c>
      <c r="AQ26" s="1397" t="s">
        <v>1011</v>
      </c>
    </row>
    <row r="27" spans="2:46">
      <c r="B27" s="75"/>
      <c r="C27" s="1385" t="s">
        <v>1012</v>
      </c>
      <c r="P27" s="1388"/>
      <c r="Q27" s="1388"/>
      <c r="R27" s="1388"/>
      <c r="S27" s="1388"/>
      <c r="T27" s="1388"/>
      <c r="U27" s="1388"/>
      <c r="V27" s="1388"/>
      <c r="W27" s="1389"/>
      <c r="X27" s="622">
        <v>9</v>
      </c>
      <c r="Y27" s="1396"/>
      <c r="Z27" s="1397">
        <v>9.69</v>
      </c>
      <c r="AA27" s="1398"/>
      <c r="AB27" s="1397">
        <v>10.23</v>
      </c>
      <c r="AC27" s="1397"/>
      <c r="AD27" s="1397">
        <v>10.039999999999999</v>
      </c>
      <c r="AE27" s="1397"/>
      <c r="AF27" s="1397">
        <v>10.594683774708601</v>
      </c>
      <c r="AG27" s="1397">
        <v>8.958130672203465</v>
      </c>
      <c r="AH27" s="1397">
        <v>11.109006279237061</v>
      </c>
      <c r="AI27" s="1397">
        <v>6.56016188120058</v>
      </c>
      <c r="AJ27" s="1397">
        <v>6.6584071418600503</v>
      </c>
      <c r="AK27" s="1397">
        <v>8.2267329294730782</v>
      </c>
      <c r="AL27" s="1397">
        <v>7.6984391542048272</v>
      </c>
      <c r="AM27" s="1397">
        <v>7.1153975362454194</v>
      </c>
      <c r="AN27" s="1397">
        <v>6.3522681604405529</v>
      </c>
      <c r="AO27" s="1398">
        <v>7.5044466691039133</v>
      </c>
      <c r="AP27" s="1398">
        <v>5.8423370888046522</v>
      </c>
      <c r="AQ27" s="1397" t="s">
        <v>1011</v>
      </c>
    </row>
    <row r="28" spans="2:46">
      <c r="B28" s="75"/>
      <c r="C28" s="1385" t="s">
        <v>1013</v>
      </c>
      <c r="P28" s="1388"/>
      <c r="Q28" s="1388"/>
      <c r="R28" s="1388"/>
      <c r="S28" s="1388"/>
      <c r="T28" s="1388"/>
      <c r="U28" s="1388"/>
      <c r="V28" s="1388"/>
      <c r="W28" s="1389"/>
      <c r="X28" s="622">
        <v>0</v>
      </c>
      <c r="Y28" s="1396"/>
      <c r="Z28" s="1397">
        <v>0</v>
      </c>
      <c r="AA28" s="1398"/>
      <c r="AB28" s="1397">
        <v>0</v>
      </c>
      <c r="AC28" s="1397"/>
      <c r="AD28" s="1397">
        <v>0</v>
      </c>
      <c r="AE28" s="1397"/>
      <c r="AF28" s="1397">
        <v>0</v>
      </c>
      <c r="AG28" s="1397">
        <v>0</v>
      </c>
      <c r="AH28" s="1397">
        <v>0</v>
      </c>
      <c r="AI28" s="1397">
        <v>0</v>
      </c>
      <c r="AJ28" s="1397">
        <v>0</v>
      </c>
      <c r="AK28" s="1397">
        <v>0</v>
      </c>
      <c r="AL28" s="1397">
        <v>0</v>
      </c>
      <c r="AM28" s="1397">
        <v>0</v>
      </c>
      <c r="AN28" s="1397">
        <v>0</v>
      </c>
      <c r="AO28" s="1398">
        <v>0</v>
      </c>
      <c r="AP28" s="1398">
        <v>0</v>
      </c>
      <c r="AQ28" s="1397" t="s">
        <v>1011</v>
      </c>
    </row>
    <row r="29" spans="2:46">
      <c r="B29" s="75">
        <v>3</v>
      </c>
      <c r="C29" s="1385" t="s">
        <v>14</v>
      </c>
      <c r="P29" s="1388"/>
      <c r="Q29" s="1388"/>
      <c r="R29" s="1388"/>
      <c r="S29" s="1388"/>
      <c r="T29" s="1388"/>
      <c r="U29" s="1388"/>
      <c r="V29" s="1388"/>
      <c r="W29" s="1389"/>
      <c r="X29" s="622"/>
      <c r="Y29" s="1396"/>
      <c r="Z29" s="1397"/>
      <c r="AA29" s="1398"/>
      <c r="AB29" s="1397"/>
      <c r="AC29" s="1397"/>
      <c r="AD29" s="1397"/>
      <c r="AE29" s="1397"/>
      <c r="AF29" s="1397"/>
      <c r="AG29" s="1397"/>
      <c r="AH29" s="1397"/>
      <c r="AI29" s="1397"/>
      <c r="AJ29" s="1397"/>
      <c r="AK29" s="1397"/>
      <c r="AL29" s="1397"/>
      <c r="AM29" s="1397"/>
      <c r="AN29" s="1397"/>
      <c r="AO29" s="1398"/>
      <c r="AP29" s="1398"/>
      <c r="AQ29" s="1397"/>
    </row>
    <row r="30" spans="2:46">
      <c r="B30" s="75" t="s">
        <v>415</v>
      </c>
      <c r="C30" s="1385" t="s">
        <v>15</v>
      </c>
      <c r="P30" s="1388"/>
      <c r="Q30" s="1388"/>
      <c r="R30" s="1388"/>
      <c r="S30" s="1388"/>
      <c r="T30" s="1388"/>
      <c r="U30" s="1388"/>
      <c r="V30" s="1388"/>
      <c r="W30" s="1389"/>
      <c r="X30" s="622">
        <v>0</v>
      </c>
      <c r="Y30" s="1396"/>
      <c r="Z30" s="1397">
        <v>0</v>
      </c>
      <c r="AA30" s="1398"/>
      <c r="AB30" s="1397">
        <v>0</v>
      </c>
      <c r="AC30" s="1397"/>
      <c r="AD30" s="1397">
        <v>0</v>
      </c>
      <c r="AE30" s="1397"/>
      <c r="AF30" s="1397">
        <v>0</v>
      </c>
      <c r="AG30" s="1397">
        <v>0</v>
      </c>
      <c r="AH30" s="1397">
        <v>0</v>
      </c>
      <c r="AI30" s="1397">
        <v>0</v>
      </c>
      <c r="AJ30" s="1397">
        <v>0</v>
      </c>
      <c r="AK30" s="1397">
        <v>0</v>
      </c>
      <c r="AL30" s="1397">
        <v>0</v>
      </c>
      <c r="AM30" s="1397">
        <v>0</v>
      </c>
      <c r="AN30" s="1397">
        <v>0</v>
      </c>
      <c r="AO30" s="1398">
        <v>0</v>
      </c>
      <c r="AP30" s="1398">
        <v>0</v>
      </c>
      <c r="AQ30" s="1397" t="s">
        <v>1011</v>
      </c>
    </row>
    <row r="31" spans="2:46">
      <c r="B31" s="75" t="s">
        <v>416</v>
      </c>
      <c r="C31" s="1385" t="s">
        <v>16</v>
      </c>
      <c r="P31" s="1388"/>
      <c r="Q31" s="1388"/>
      <c r="R31" s="1388"/>
      <c r="S31" s="1388"/>
      <c r="T31" s="1388"/>
      <c r="U31" s="1388"/>
      <c r="V31" s="1388"/>
      <c r="W31" s="1389"/>
      <c r="X31" s="622">
        <v>0</v>
      </c>
      <c r="Y31" s="1396"/>
      <c r="Z31" s="1397">
        <v>0</v>
      </c>
      <c r="AA31" s="1398"/>
      <c r="AB31" s="1397">
        <v>0</v>
      </c>
      <c r="AC31" s="1397"/>
      <c r="AD31" s="1397">
        <v>0</v>
      </c>
      <c r="AE31" s="1397"/>
      <c r="AF31" s="1397">
        <v>0</v>
      </c>
      <c r="AG31" s="1397">
        <v>0</v>
      </c>
      <c r="AH31" s="1397">
        <v>0</v>
      </c>
      <c r="AI31" s="1397">
        <v>0</v>
      </c>
      <c r="AJ31" s="1397">
        <v>0</v>
      </c>
      <c r="AK31" s="1397">
        <v>0</v>
      </c>
      <c r="AL31" s="1397">
        <v>0</v>
      </c>
      <c r="AM31" s="1397">
        <v>0</v>
      </c>
      <c r="AN31" s="1397">
        <v>0</v>
      </c>
      <c r="AO31" s="1398">
        <v>0</v>
      </c>
      <c r="AP31" s="1398">
        <v>0</v>
      </c>
      <c r="AQ31" s="1397" t="s">
        <v>1011</v>
      </c>
    </row>
    <row r="32" spans="2:46">
      <c r="B32" s="75" t="s">
        <v>417</v>
      </c>
      <c r="C32" s="1385" t="s">
        <v>418</v>
      </c>
      <c r="P32" s="1388"/>
      <c r="Q32" s="1388"/>
      <c r="R32" s="1388"/>
      <c r="S32" s="1388"/>
      <c r="T32" s="1388"/>
      <c r="U32" s="1388"/>
      <c r="V32" s="1388"/>
      <c r="W32" s="1389"/>
      <c r="X32" s="622">
        <v>10</v>
      </c>
      <c r="Y32" s="1396"/>
      <c r="Z32" s="1397">
        <v>10</v>
      </c>
      <c r="AA32" s="1398"/>
      <c r="AB32" s="1397">
        <v>13.38</v>
      </c>
      <c r="AC32" s="1397"/>
      <c r="AD32" s="1397">
        <v>14.93</v>
      </c>
      <c r="AE32" s="1397"/>
      <c r="AF32" s="1397">
        <v>13.220136225979484</v>
      </c>
      <c r="AG32" s="1397">
        <v>17.001164905933365</v>
      </c>
      <c r="AH32" s="1397">
        <v>10.402352748289221</v>
      </c>
      <c r="AI32" s="1397">
        <v>12.198489514883786</v>
      </c>
      <c r="AJ32" s="1397">
        <v>11.106120358818494</v>
      </c>
      <c r="AK32" s="1397">
        <v>11.50531344014329</v>
      </c>
      <c r="AL32" s="1397">
        <v>10.343903373118993</v>
      </c>
      <c r="AM32" s="1397">
        <v>7.9709110975619177</v>
      </c>
      <c r="AN32" s="1397">
        <v>8.2967991388100639</v>
      </c>
      <c r="AO32" s="1398">
        <v>9.1862722600609246</v>
      </c>
      <c r="AP32" s="1398">
        <v>10.632952511024129</v>
      </c>
      <c r="AQ32" s="1397" t="s">
        <v>1011</v>
      </c>
    </row>
    <row r="33" spans="2:43">
      <c r="B33" s="75"/>
      <c r="C33" s="1385" t="s">
        <v>1014</v>
      </c>
      <c r="P33" s="1388"/>
      <c r="Q33" s="1388"/>
      <c r="R33" s="1388"/>
      <c r="S33" s="1388"/>
      <c r="T33" s="1388"/>
      <c r="U33" s="1388"/>
      <c r="V33" s="1388"/>
      <c r="W33" s="1389"/>
      <c r="X33" s="622">
        <v>14</v>
      </c>
      <c r="Y33" s="1396"/>
      <c r="Z33" s="1397">
        <v>15.25</v>
      </c>
      <c r="AA33" s="1398"/>
      <c r="AB33" s="1397">
        <v>14.74</v>
      </c>
      <c r="AC33" s="1397"/>
      <c r="AD33" s="1397">
        <v>12.89</v>
      </c>
      <c r="AE33" s="1397"/>
      <c r="AF33" s="1397">
        <v>13.220136225979484</v>
      </c>
      <c r="AG33" s="1397">
        <v>17.001164905933365</v>
      </c>
      <c r="AH33" s="1397">
        <v>10.402352748289221</v>
      </c>
      <c r="AI33" s="1397">
        <v>12.198489514883786</v>
      </c>
      <c r="AJ33" s="1397">
        <v>11.106120358818494</v>
      </c>
      <c r="AK33" s="1397">
        <v>11.50531344014329</v>
      </c>
      <c r="AL33" s="1397">
        <v>10.343903373118993</v>
      </c>
      <c r="AM33" s="1397">
        <v>7.9709110975619177</v>
      </c>
      <c r="AN33" s="1397">
        <v>8.2967991388100639</v>
      </c>
      <c r="AO33" s="1398">
        <v>9.1862722600609246</v>
      </c>
      <c r="AP33" s="1398">
        <v>10.632952511024129</v>
      </c>
      <c r="AQ33" s="1397" t="s">
        <v>1011</v>
      </c>
    </row>
    <row r="34" spans="2:43">
      <c r="B34" s="75"/>
      <c r="C34" s="1385" t="s">
        <v>1827</v>
      </c>
      <c r="P34" s="1388"/>
      <c r="Q34" s="1388"/>
      <c r="R34" s="1388"/>
      <c r="S34" s="1388"/>
      <c r="T34" s="1388"/>
      <c r="U34" s="1388"/>
      <c r="V34" s="1388"/>
      <c r="W34" s="1389"/>
      <c r="X34" s="622">
        <v>0</v>
      </c>
      <c r="Y34" s="1396"/>
      <c r="Z34" s="1397">
        <v>0</v>
      </c>
      <c r="AA34" s="1398"/>
      <c r="AB34" s="1397">
        <v>0</v>
      </c>
      <c r="AC34" s="1397"/>
      <c r="AD34" s="1397">
        <v>0</v>
      </c>
      <c r="AE34" s="1397"/>
      <c r="AF34" s="1397">
        <v>0</v>
      </c>
      <c r="AG34" s="1397">
        <v>0</v>
      </c>
      <c r="AH34" s="1397">
        <v>0</v>
      </c>
      <c r="AI34" s="1397">
        <v>0</v>
      </c>
      <c r="AJ34" s="1397">
        <v>0</v>
      </c>
      <c r="AK34" s="1397">
        <v>0</v>
      </c>
      <c r="AL34" s="1397">
        <v>0</v>
      </c>
      <c r="AM34" s="1397">
        <v>0</v>
      </c>
      <c r="AN34" s="1397">
        <v>0</v>
      </c>
      <c r="AO34" s="1397">
        <v>0</v>
      </c>
      <c r="AP34" s="1397">
        <v>0</v>
      </c>
      <c r="AQ34" s="1397" t="s">
        <v>1011</v>
      </c>
    </row>
    <row r="35" spans="2:43">
      <c r="B35" s="75"/>
      <c r="C35" s="1385" t="s">
        <v>1828</v>
      </c>
      <c r="P35" s="1388"/>
      <c r="Q35" s="1388"/>
      <c r="R35" s="1388"/>
      <c r="S35" s="1388"/>
      <c r="T35" s="1388"/>
      <c r="U35" s="1388"/>
      <c r="V35" s="1388"/>
      <c r="W35" s="1389"/>
      <c r="X35" s="622">
        <v>2</v>
      </c>
      <c r="Y35" s="1396"/>
      <c r="Z35" s="1397">
        <v>2.82</v>
      </c>
      <c r="AA35" s="1398"/>
      <c r="AB35" s="1397">
        <v>13.28</v>
      </c>
      <c r="AC35" s="1397"/>
      <c r="AD35" s="1397">
        <v>15.04</v>
      </c>
      <c r="AE35" s="1397"/>
      <c r="AF35" s="1397" t="s">
        <v>237</v>
      </c>
      <c r="AG35" s="1397" t="s">
        <v>237</v>
      </c>
      <c r="AH35" s="1397" t="s">
        <v>237</v>
      </c>
      <c r="AI35" s="1397" t="s">
        <v>237</v>
      </c>
      <c r="AJ35" s="1397" t="s">
        <v>237</v>
      </c>
      <c r="AK35" s="1397" t="s">
        <v>237</v>
      </c>
      <c r="AL35" s="1397" t="s">
        <v>237</v>
      </c>
      <c r="AM35" s="1397" t="s">
        <v>237</v>
      </c>
      <c r="AN35" s="1397" t="s">
        <v>237</v>
      </c>
      <c r="AO35" s="1397" t="s">
        <v>237</v>
      </c>
      <c r="AP35" s="1397" t="s">
        <v>237</v>
      </c>
      <c r="AQ35" s="1397" t="s">
        <v>1011</v>
      </c>
    </row>
    <row r="36" spans="2:43">
      <c r="B36" s="75" t="s">
        <v>1015</v>
      </c>
      <c r="C36" s="1385" t="s">
        <v>1016</v>
      </c>
      <c r="P36" s="1388"/>
      <c r="Q36" s="1388"/>
      <c r="R36" s="1388"/>
      <c r="S36" s="1388"/>
      <c r="T36" s="1388"/>
      <c r="U36" s="1388"/>
      <c r="V36" s="1388"/>
      <c r="W36" s="1389"/>
      <c r="X36" s="622">
        <v>0</v>
      </c>
      <c r="Y36" s="1396"/>
      <c r="Z36" s="1397">
        <v>0</v>
      </c>
      <c r="AA36" s="1398"/>
      <c r="AB36" s="1397">
        <v>0</v>
      </c>
      <c r="AC36" s="1397"/>
      <c r="AD36" s="1397">
        <v>0</v>
      </c>
      <c r="AE36" s="1397"/>
      <c r="AF36" s="1397">
        <v>0</v>
      </c>
      <c r="AG36" s="1397">
        <v>0</v>
      </c>
      <c r="AH36" s="1397">
        <v>0</v>
      </c>
      <c r="AI36" s="1397">
        <v>0</v>
      </c>
      <c r="AJ36" s="1397">
        <v>0</v>
      </c>
      <c r="AK36" s="1397">
        <v>0</v>
      </c>
      <c r="AL36" s="1397">
        <v>0</v>
      </c>
      <c r="AM36" s="1397">
        <v>0</v>
      </c>
      <c r="AN36" s="1397">
        <v>0</v>
      </c>
      <c r="AO36" s="1398">
        <v>0</v>
      </c>
      <c r="AP36" s="1398">
        <v>0</v>
      </c>
      <c r="AQ36" s="1397" t="s">
        <v>1011</v>
      </c>
    </row>
    <row r="37" spans="2:43">
      <c r="B37" s="75">
        <v>4</v>
      </c>
      <c r="C37" s="1385" t="s">
        <v>419</v>
      </c>
      <c r="P37" s="1388"/>
      <c r="Q37" s="1388"/>
      <c r="R37" s="1388"/>
      <c r="S37" s="1388"/>
      <c r="T37" s="1388"/>
      <c r="U37" s="1388"/>
      <c r="V37" s="1388"/>
      <c r="W37" s="1389"/>
      <c r="X37" s="622"/>
      <c r="Y37" s="1396"/>
      <c r="Z37" s="1397"/>
      <c r="AA37" s="1398"/>
      <c r="AB37" s="1397"/>
      <c r="AC37" s="1397"/>
      <c r="AD37" s="1397"/>
      <c r="AE37" s="1397"/>
      <c r="AF37" s="1397"/>
      <c r="AG37" s="1397"/>
      <c r="AH37" s="1397"/>
      <c r="AI37" s="1397"/>
      <c r="AJ37" s="1397"/>
      <c r="AK37" s="1397"/>
      <c r="AL37" s="1397"/>
      <c r="AM37" s="1397"/>
      <c r="AN37" s="1397"/>
      <c r="AO37" s="1398"/>
      <c r="AP37" s="1398"/>
      <c r="AQ37" s="1397"/>
    </row>
    <row r="38" spans="2:43">
      <c r="B38" s="75" t="s">
        <v>296</v>
      </c>
      <c r="C38" s="1385" t="s">
        <v>420</v>
      </c>
      <c r="P38" s="1388"/>
      <c r="Q38" s="1388"/>
      <c r="R38" s="1388"/>
      <c r="S38" s="1388"/>
      <c r="T38" s="1388"/>
      <c r="U38" s="1388"/>
      <c r="V38" s="1388"/>
      <c r="W38" s="1389"/>
      <c r="X38" s="622">
        <v>0</v>
      </c>
      <c r="Y38" s="1396"/>
      <c r="Z38" s="1397">
        <v>0</v>
      </c>
      <c r="AA38" s="1398"/>
      <c r="AB38" s="1397">
        <v>0</v>
      </c>
      <c r="AC38" s="1397"/>
      <c r="AD38" s="1397">
        <v>0</v>
      </c>
      <c r="AE38" s="1397"/>
      <c r="AF38" s="1397">
        <v>0</v>
      </c>
      <c r="AG38" s="1397">
        <v>0</v>
      </c>
      <c r="AH38" s="1397">
        <v>0</v>
      </c>
      <c r="AI38" s="1397">
        <v>0</v>
      </c>
      <c r="AJ38" s="1397">
        <v>0</v>
      </c>
      <c r="AK38" s="1397">
        <v>0</v>
      </c>
      <c r="AL38" s="1397">
        <v>0</v>
      </c>
      <c r="AM38" s="1397">
        <v>0</v>
      </c>
      <c r="AN38" s="1397">
        <v>0</v>
      </c>
      <c r="AO38" s="1398">
        <v>0</v>
      </c>
      <c r="AP38" s="1398">
        <v>0</v>
      </c>
      <c r="AQ38" s="1397" t="s">
        <v>1011</v>
      </c>
    </row>
    <row r="39" spans="2:43">
      <c r="B39" s="75" t="s">
        <v>298</v>
      </c>
      <c r="C39" s="1385" t="s">
        <v>421</v>
      </c>
      <c r="P39" s="1388"/>
      <c r="Q39" s="1388"/>
      <c r="R39" s="1388"/>
      <c r="S39" s="1388"/>
      <c r="T39" s="1388"/>
      <c r="U39" s="1388"/>
      <c r="V39" s="1388"/>
      <c r="W39" s="1389"/>
      <c r="X39" s="622">
        <v>11</v>
      </c>
      <c r="Y39" s="1396"/>
      <c r="Z39" s="1397">
        <v>14.54</v>
      </c>
      <c r="AA39" s="1398"/>
      <c r="AB39" s="1397">
        <v>17.59</v>
      </c>
      <c r="AC39" s="1397"/>
      <c r="AD39" s="1397">
        <v>14.48</v>
      </c>
      <c r="AE39" s="1397"/>
      <c r="AF39" s="1397">
        <v>11.222059774022155</v>
      </c>
      <c r="AG39" s="1397">
        <v>11.243867977095045</v>
      </c>
      <c r="AH39" s="1397">
        <v>11.120786892168606</v>
      </c>
      <c r="AI39" s="1397">
        <v>10.497491762933322</v>
      </c>
      <c r="AJ39" s="1397">
        <v>6.429493269581311</v>
      </c>
      <c r="AK39" s="1397">
        <v>9.6488182057892011</v>
      </c>
      <c r="AL39" s="1397">
        <v>7.2662124144659019</v>
      </c>
      <c r="AM39" s="1397">
        <v>10.441887759288083</v>
      </c>
      <c r="AN39" s="1397">
        <v>9.0826358369518836</v>
      </c>
      <c r="AO39" s="1398">
        <v>9.4214633433759172</v>
      </c>
      <c r="AP39" s="1398">
        <v>6.8849217337492643</v>
      </c>
      <c r="AQ39" s="1397" t="s">
        <v>1011</v>
      </c>
    </row>
    <row r="40" spans="2:43">
      <c r="B40" s="75"/>
      <c r="C40" s="1385" t="s">
        <v>1017</v>
      </c>
      <c r="P40" s="1388"/>
      <c r="Q40" s="1388"/>
      <c r="R40" s="1388"/>
      <c r="S40" s="1388"/>
      <c r="T40" s="1388"/>
      <c r="U40" s="1388"/>
      <c r="V40" s="1388"/>
      <c r="W40" s="1389"/>
      <c r="X40" s="622">
        <v>0</v>
      </c>
      <c r="Y40" s="1396"/>
      <c r="Z40" s="1397">
        <v>0</v>
      </c>
      <c r="AA40" s="1398"/>
      <c r="AB40" s="1397">
        <v>0</v>
      </c>
      <c r="AC40" s="1397"/>
      <c r="AD40" s="1397">
        <v>0</v>
      </c>
      <c r="AE40" s="1397"/>
      <c r="AF40" s="1397">
        <v>0</v>
      </c>
      <c r="AG40" s="1397">
        <v>0</v>
      </c>
      <c r="AH40" s="1397">
        <v>0</v>
      </c>
      <c r="AI40" s="1397">
        <v>0</v>
      </c>
      <c r="AJ40" s="1397">
        <v>0</v>
      </c>
      <c r="AK40" s="1397">
        <v>0</v>
      </c>
      <c r="AL40" s="1397">
        <v>0</v>
      </c>
      <c r="AM40" s="1397">
        <v>0</v>
      </c>
      <c r="AN40" s="1397">
        <v>0</v>
      </c>
      <c r="AO40" s="1398">
        <v>0</v>
      </c>
      <c r="AP40" s="1398">
        <v>0</v>
      </c>
      <c r="AQ40" s="1397" t="s">
        <v>1011</v>
      </c>
    </row>
    <row r="41" spans="2:43">
      <c r="B41" s="75"/>
      <c r="C41" s="1385" t="s">
        <v>1018</v>
      </c>
      <c r="P41" s="1388"/>
      <c r="Q41" s="1388"/>
      <c r="R41" s="1388"/>
      <c r="S41" s="1388"/>
      <c r="T41" s="1388"/>
      <c r="U41" s="1388"/>
      <c r="V41" s="1388"/>
      <c r="W41" s="1389"/>
      <c r="X41" s="622">
        <v>12</v>
      </c>
      <c r="Y41" s="1396"/>
      <c r="Z41" s="1397">
        <v>14.54</v>
      </c>
      <c r="AA41" s="1398"/>
      <c r="AB41" s="1397">
        <v>17.59</v>
      </c>
      <c r="AC41" s="1397"/>
      <c r="AD41" s="1397">
        <v>14.48</v>
      </c>
      <c r="AE41" s="1397"/>
      <c r="AF41" s="1397">
        <v>11.222059774022155</v>
      </c>
      <c r="AG41" s="1397">
        <v>11.243867977095045</v>
      </c>
      <c r="AH41" s="1397">
        <v>11.120786892168606</v>
      </c>
      <c r="AI41" s="1397">
        <v>10.497491762933322</v>
      </c>
      <c r="AJ41" s="1397">
        <v>6.429493269581311</v>
      </c>
      <c r="AK41" s="1397">
        <v>9.6488182057892011</v>
      </c>
      <c r="AL41" s="1397">
        <v>7.2662124144659019</v>
      </c>
      <c r="AM41" s="1397">
        <v>10.441887759288083</v>
      </c>
      <c r="AN41" s="1397">
        <v>9.0826358369518836</v>
      </c>
      <c r="AO41" s="1398">
        <v>9.4214633433759172</v>
      </c>
      <c r="AP41" s="1398">
        <v>6.8849217337492643</v>
      </c>
      <c r="AQ41" s="1397" t="s">
        <v>1011</v>
      </c>
    </row>
    <row r="42" spans="2:43">
      <c r="B42" s="75" t="s">
        <v>301</v>
      </c>
      <c r="C42" s="1385" t="s">
        <v>1019</v>
      </c>
      <c r="P42" s="1388"/>
      <c r="Q42" s="1388"/>
      <c r="R42" s="1388"/>
      <c r="S42" s="1388"/>
      <c r="T42" s="1388"/>
      <c r="U42" s="1388"/>
      <c r="V42" s="1388"/>
      <c r="W42" s="1389"/>
      <c r="X42" s="622">
        <v>0</v>
      </c>
      <c r="Y42" s="1396"/>
      <c r="Z42" s="1397">
        <v>0</v>
      </c>
      <c r="AA42" s="1398"/>
      <c r="AB42" s="1397">
        <v>0</v>
      </c>
      <c r="AC42" s="1397"/>
      <c r="AD42" s="1397">
        <v>0</v>
      </c>
      <c r="AE42" s="1397"/>
      <c r="AF42" s="1397">
        <v>0</v>
      </c>
      <c r="AG42" s="1397">
        <v>0</v>
      </c>
      <c r="AH42" s="1397">
        <v>0</v>
      </c>
      <c r="AI42" s="1397">
        <v>0</v>
      </c>
      <c r="AJ42" s="1397">
        <v>0</v>
      </c>
      <c r="AK42" s="1397">
        <v>0</v>
      </c>
      <c r="AL42" s="1397">
        <v>0</v>
      </c>
      <c r="AM42" s="1397">
        <v>0</v>
      </c>
      <c r="AN42" s="1397">
        <v>0</v>
      </c>
      <c r="AO42" s="1398">
        <v>0</v>
      </c>
      <c r="AP42" s="1398">
        <v>0</v>
      </c>
      <c r="AQ42" s="1397" t="s">
        <v>1011</v>
      </c>
    </row>
    <row r="43" spans="2:43">
      <c r="B43" s="75" t="s">
        <v>1020</v>
      </c>
      <c r="C43" s="1385" t="s">
        <v>1021</v>
      </c>
      <c r="P43" s="1388"/>
      <c r="Q43" s="1388"/>
      <c r="R43" s="1388"/>
      <c r="S43" s="1388"/>
      <c r="T43" s="1388"/>
      <c r="U43" s="1388"/>
      <c r="V43" s="1388"/>
      <c r="W43" s="1389"/>
      <c r="X43" s="622">
        <v>0</v>
      </c>
      <c r="Y43" s="1396"/>
      <c r="Z43" s="1397">
        <v>0</v>
      </c>
      <c r="AA43" s="1398"/>
      <c r="AB43" s="1397">
        <v>0</v>
      </c>
      <c r="AC43" s="1397"/>
      <c r="AD43" s="1397">
        <v>0</v>
      </c>
      <c r="AE43" s="1397"/>
      <c r="AF43" s="1397">
        <v>0</v>
      </c>
      <c r="AG43" s="1397">
        <v>0</v>
      </c>
      <c r="AH43" s="1397">
        <v>0</v>
      </c>
      <c r="AI43" s="1397">
        <v>0</v>
      </c>
      <c r="AJ43" s="1397">
        <v>0</v>
      </c>
      <c r="AK43" s="1397">
        <v>0</v>
      </c>
      <c r="AL43" s="1397">
        <v>0</v>
      </c>
      <c r="AM43" s="1397">
        <v>0</v>
      </c>
      <c r="AN43" s="1397">
        <v>0</v>
      </c>
      <c r="AO43" s="1398">
        <v>0</v>
      </c>
      <c r="AP43" s="1398">
        <v>0</v>
      </c>
      <c r="AQ43" s="1397" t="s">
        <v>1011</v>
      </c>
    </row>
    <row r="44" spans="2:43">
      <c r="B44" s="75">
        <v>5</v>
      </c>
      <c r="C44" s="1385" t="s">
        <v>422</v>
      </c>
      <c r="P44" s="1388"/>
      <c r="Q44" s="1388"/>
      <c r="R44" s="1388"/>
      <c r="S44" s="1388"/>
      <c r="T44" s="1388"/>
      <c r="U44" s="1388"/>
      <c r="V44" s="1388"/>
      <c r="W44" s="1389"/>
      <c r="X44" s="622"/>
      <c r="Y44" s="1396"/>
      <c r="Z44" s="1397"/>
      <c r="AA44" s="1398"/>
      <c r="AB44" s="1397"/>
      <c r="AC44" s="1397"/>
      <c r="AD44" s="1397"/>
      <c r="AE44" s="1397"/>
      <c r="AF44" s="1397"/>
      <c r="AG44" s="1397"/>
      <c r="AH44" s="1397"/>
      <c r="AI44" s="1397"/>
      <c r="AJ44" s="1397"/>
      <c r="AK44" s="1397"/>
      <c r="AL44" s="1397"/>
      <c r="AM44" s="1397"/>
      <c r="AN44" s="1397"/>
      <c r="AO44" s="1398"/>
      <c r="AP44" s="1398"/>
      <c r="AQ44" s="1397"/>
    </row>
    <row r="45" spans="2:43">
      <c r="B45" s="75" t="s">
        <v>423</v>
      </c>
      <c r="C45" s="1385" t="s">
        <v>424</v>
      </c>
      <c r="P45" s="1388"/>
      <c r="Q45" s="1388"/>
      <c r="R45" s="1388"/>
      <c r="S45" s="1388"/>
      <c r="T45" s="1388"/>
      <c r="U45" s="1388"/>
      <c r="V45" s="1388"/>
      <c r="W45" s="1389"/>
      <c r="X45" s="622">
        <v>0</v>
      </c>
      <c r="Y45" s="1396"/>
      <c r="Z45" s="1397">
        <v>0</v>
      </c>
      <c r="AA45" s="1398"/>
      <c r="AB45" s="1397">
        <v>0</v>
      </c>
      <c r="AC45" s="1397"/>
      <c r="AD45" s="1397">
        <v>0</v>
      </c>
      <c r="AE45" s="1397"/>
      <c r="AF45" s="1397">
        <v>0</v>
      </c>
      <c r="AG45" s="1397">
        <v>0</v>
      </c>
      <c r="AH45" s="1397">
        <v>0</v>
      </c>
      <c r="AI45" s="1397">
        <v>0</v>
      </c>
      <c r="AJ45" s="1397">
        <v>0</v>
      </c>
      <c r="AK45" s="1397">
        <v>0</v>
      </c>
      <c r="AL45" s="1397">
        <v>0</v>
      </c>
      <c r="AM45" s="1397">
        <v>0</v>
      </c>
      <c r="AN45" s="1397">
        <v>0</v>
      </c>
      <c r="AO45" s="1398">
        <v>0</v>
      </c>
      <c r="AP45" s="1398">
        <v>0</v>
      </c>
      <c r="AQ45" s="1397" t="s">
        <v>1011</v>
      </c>
    </row>
    <row r="46" spans="2:43">
      <c r="B46" s="75">
        <v>6</v>
      </c>
      <c r="C46" s="1385" t="s">
        <v>425</v>
      </c>
      <c r="P46" s="1388"/>
      <c r="Q46" s="1388"/>
      <c r="R46" s="1388"/>
      <c r="S46" s="1388"/>
      <c r="T46" s="1388"/>
      <c r="U46" s="1388"/>
      <c r="V46" s="1388"/>
      <c r="W46" s="1389"/>
      <c r="X46" s="622"/>
      <c r="Y46" s="1396"/>
      <c r="Z46" s="1397"/>
      <c r="AA46" s="1398"/>
      <c r="AB46" s="1397"/>
      <c r="AC46" s="1397"/>
      <c r="AD46" s="1397"/>
      <c r="AE46" s="1397"/>
      <c r="AF46" s="1397"/>
      <c r="AG46" s="1397"/>
      <c r="AH46" s="1397"/>
      <c r="AI46" s="1397"/>
      <c r="AJ46" s="1397"/>
      <c r="AK46" s="1397"/>
      <c r="AL46" s="1397"/>
      <c r="AM46" s="1397"/>
      <c r="AN46" s="1397"/>
      <c r="AO46" s="1398"/>
      <c r="AP46" s="1398"/>
      <c r="AQ46" s="1397"/>
    </row>
    <row r="47" spans="2:43">
      <c r="B47" s="75" t="s">
        <v>428</v>
      </c>
      <c r="C47" s="1385" t="s">
        <v>429</v>
      </c>
      <c r="P47" s="1388"/>
      <c r="Q47" s="1388"/>
      <c r="R47" s="1388"/>
      <c r="S47" s="1388"/>
      <c r="T47" s="1388"/>
      <c r="U47" s="1388"/>
      <c r="V47" s="1388"/>
      <c r="W47" s="1389"/>
      <c r="X47" s="622">
        <v>1</v>
      </c>
      <c r="Y47" s="1396"/>
      <c r="Z47" s="1397">
        <v>0.82</v>
      </c>
      <c r="AA47" s="1398"/>
      <c r="AB47" s="1397">
        <v>0.12</v>
      </c>
      <c r="AC47" s="1397"/>
      <c r="AD47" s="1397">
        <v>0.06</v>
      </c>
      <c r="AE47" s="1397"/>
      <c r="AF47" s="1397">
        <v>7.2629017708606164E-2</v>
      </c>
      <c r="AG47" s="1397">
        <v>0.19524573740888015</v>
      </c>
      <c r="AH47" s="1397">
        <v>0.19702620142445645</v>
      </c>
      <c r="AI47" s="1397">
        <v>0.17740081734846008</v>
      </c>
      <c r="AJ47" s="1397">
        <v>3.9462791116402045E-2</v>
      </c>
      <c r="AK47" s="1397">
        <v>6.3562584343707471E-2</v>
      </c>
      <c r="AL47" s="1397">
        <v>6.0916169296731555E-2</v>
      </c>
      <c r="AM47" s="1397">
        <v>0.20996937707090846</v>
      </c>
      <c r="AN47" s="1397">
        <v>0.12400031726638916</v>
      </c>
      <c r="AO47" s="1398">
        <v>0.11028640316108694</v>
      </c>
      <c r="AP47" s="1398">
        <v>1.6719739747288472E-2</v>
      </c>
      <c r="AQ47" s="1397" t="s">
        <v>1011</v>
      </c>
    </row>
    <row r="48" spans="2:43" ht="15">
      <c r="B48" s="75">
        <v>7</v>
      </c>
      <c r="C48" s="1385" t="s">
        <v>432</v>
      </c>
      <c r="D48" s="549"/>
      <c r="E48" s="549"/>
      <c r="F48" s="549"/>
      <c r="G48" s="549"/>
      <c r="H48" s="549"/>
      <c r="I48" s="549"/>
      <c r="J48" s="549"/>
      <c r="K48" s="549"/>
      <c r="L48" s="549"/>
      <c r="M48" s="549"/>
      <c r="N48" s="549"/>
      <c r="O48" s="549"/>
      <c r="P48" s="549"/>
      <c r="Q48" s="549"/>
      <c r="R48" s="549"/>
      <c r="S48" s="549"/>
      <c r="T48" s="549"/>
      <c r="U48" s="549"/>
      <c r="V48" s="549"/>
      <c r="W48" s="549"/>
      <c r="X48" s="622"/>
      <c r="Y48" s="1396"/>
      <c r="Z48" s="1397"/>
      <c r="AA48" s="1398"/>
      <c r="AB48" s="1397"/>
      <c r="AC48" s="1397"/>
      <c r="AD48" s="1397"/>
      <c r="AE48" s="1397"/>
      <c r="AF48" s="1397"/>
      <c r="AG48" s="1397"/>
      <c r="AH48" s="1397"/>
      <c r="AI48" s="1397"/>
      <c r="AJ48" s="1397"/>
      <c r="AK48" s="1397"/>
      <c r="AL48" s="1397"/>
      <c r="AM48" s="1397"/>
      <c r="AN48" s="1397"/>
      <c r="AO48" s="1398"/>
      <c r="AP48" s="1398"/>
      <c r="AQ48" s="1397"/>
    </row>
    <row r="49" spans="2:43" ht="15">
      <c r="B49" s="75" t="s">
        <v>509</v>
      </c>
      <c r="C49" s="1385" t="s">
        <v>510</v>
      </c>
      <c r="D49" s="549"/>
      <c r="E49" s="549"/>
      <c r="F49" s="549"/>
      <c r="G49" s="549"/>
      <c r="H49" s="549"/>
      <c r="I49" s="549"/>
      <c r="J49" s="549"/>
      <c r="K49" s="549"/>
      <c r="L49" s="549"/>
      <c r="M49" s="549"/>
      <c r="N49" s="549"/>
      <c r="O49" s="549"/>
      <c r="P49" s="549"/>
      <c r="Q49" s="549"/>
      <c r="R49" s="549"/>
      <c r="S49" s="549"/>
      <c r="T49" s="549"/>
      <c r="U49" s="549"/>
      <c r="V49" s="549"/>
      <c r="W49" s="549"/>
      <c r="X49" s="1399">
        <v>0</v>
      </c>
      <c r="Y49" s="1396"/>
      <c r="Z49" s="1400">
        <v>0</v>
      </c>
      <c r="AA49" s="1398"/>
      <c r="AB49" s="1400">
        <v>0</v>
      </c>
      <c r="AC49" s="1400"/>
      <c r="AD49" s="1400">
        <v>0</v>
      </c>
      <c r="AE49" s="1400"/>
      <c r="AF49" s="1400">
        <v>0</v>
      </c>
      <c r="AG49" s="1400">
        <v>0</v>
      </c>
      <c r="AH49" s="1400">
        <v>0</v>
      </c>
      <c r="AI49" s="1400">
        <v>0</v>
      </c>
      <c r="AJ49" s="1400">
        <v>0</v>
      </c>
      <c r="AK49" s="1400">
        <v>0</v>
      </c>
      <c r="AL49" s="1400">
        <v>0</v>
      </c>
      <c r="AM49" s="1400">
        <v>0</v>
      </c>
      <c r="AN49" s="1400">
        <v>0</v>
      </c>
      <c r="AO49" s="1398">
        <v>0</v>
      </c>
      <c r="AP49" s="1398">
        <v>0</v>
      </c>
      <c r="AQ49" s="1400" t="s">
        <v>1011</v>
      </c>
    </row>
    <row r="50" spans="2:43" ht="15" hidden="1">
      <c r="B50" s="75"/>
      <c r="D50" s="549"/>
      <c r="E50" s="549"/>
      <c r="F50" s="549"/>
      <c r="G50" s="549"/>
      <c r="H50" s="549"/>
      <c r="I50" s="549"/>
      <c r="J50" s="549"/>
      <c r="K50" s="549"/>
      <c r="L50" s="549"/>
      <c r="M50" s="549"/>
      <c r="N50" s="549"/>
      <c r="O50" s="549"/>
      <c r="P50" s="549"/>
      <c r="Q50" s="549"/>
      <c r="R50" s="549"/>
      <c r="S50" s="549"/>
      <c r="T50" s="549"/>
      <c r="U50" s="549"/>
      <c r="V50" s="549"/>
      <c r="W50" s="549"/>
      <c r="X50" s="1399"/>
      <c r="Y50" s="1396"/>
      <c r="Z50" s="1400"/>
      <c r="AA50" s="1398"/>
      <c r="AB50" s="1400"/>
      <c r="AC50" s="1400"/>
      <c r="AD50" s="1400"/>
      <c r="AE50" s="1400"/>
      <c r="AF50" s="1400"/>
      <c r="AG50" s="1400"/>
      <c r="AH50" s="1400"/>
      <c r="AI50" s="1400"/>
      <c r="AJ50" s="1400"/>
      <c r="AK50" s="1400"/>
      <c r="AL50" s="1400"/>
      <c r="AM50" s="1400"/>
      <c r="AN50" s="1400"/>
      <c r="AO50" s="1398">
        <v>0</v>
      </c>
      <c r="AP50" s="1398">
        <v>0</v>
      </c>
      <c r="AQ50" s="1400"/>
    </row>
    <row r="51" spans="2:43" ht="15" hidden="1">
      <c r="B51" s="75"/>
      <c r="D51" s="549"/>
      <c r="E51" s="549"/>
      <c r="F51" s="549"/>
      <c r="G51" s="549"/>
      <c r="H51" s="549"/>
      <c r="I51" s="549"/>
      <c r="J51" s="549"/>
      <c r="K51" s="549"/>
      <c r="L51" s="549"/>
      <c r="M51" s="549"/>
      <c r="N51" s="549"/>
      <c r="O51" s="549"/>
      <c r="P51" s="549"/>
      <c r="Q51" s="549"/>
      <c r="R51" s="549"/>
      <c r="S51" s="549"/>
      <c r="T51" s="549"/>
      <c r="U51" s="549"/>
      <c r="V51" s="549"/>
      <c r="W51" s="549"/>
      <c r="X51" s="1399"/>
      <c r="Y51" s="1396"/>
      <c r="Z51" s="1400"/>
      <c r="AA51" s="1398"/>
      <c r="AB51" s="1400"/>
      <c r="AC51" s="1400"/>
      <c r="AD51" s="1400"/>
      <c r="AE51" s="1400"/>
      <c r="AF51" s="1400"/>
      <c r="AG51" s="1400"/>
      <c r="AH51" s="1400"/>
      <c r="AI51" s="1400"/>
      <c r="AJ51" s="1400"/>
      <c r="AK51" s="1400"/>
      <c r="AL51" s="1400"/>
      <c r="AM51" s="1400"/>
      <c r="AN51" s="1400"/>
      <c r="AO51" s="1398">
        <v>15.484303627238644</v>
      </c>
      <c r="AP51" s="1398">
        <v>14.97043530250019</v>
      </c>
      <c r="AQ51" s="1400"/>
    </row>
    <row r="52" spans="2:43" ht="15" hidden="1">
      <c r="B52" s="75"/>
      <c r="D52" s="549"/>
      <c r="E52" s="549"/>
      <c r="F52" s="549"/>
      <c r="G52" s="549"/>
      <c r="H52" s="549"/>
      <c r="I52" s="549"/>
      <c r="J52" s="549"/>
      <c r="K52" s="549"/>
      <c r="L52" s="549"/>
      <c r="M52" s="549"/>
      <c r="N52" s="549"/>
      <c r="O52" s="549"/>
      <c r="P52" s="549"/>
      <c r="Q52" s="549"/>
      <c r="R52" s="549"/>
      <c r="S52" s="549"/>
      <c r="T52" s="549"/>
      <c r="U52" s="549"/>
      <c r="V52" s="549"/>
      <c r="W52" s="549"/>
      <c r="X52" s="1399"/>
      <c r="Y52" s="1396"/>
      <c r="Z52" s="1400"/>
      <c r="AA52" s="1398"/>
      <c r="AB52" s="1400"/>
      <c r="AC52" s="1400"/>
      <c r="AD52" s="1400"/>
      <c r="AE52" s="1400"/>
      <c r="AF52" s="1400"/>
      <c r="AG52" s="1400"/>
      <c r="AH52" s="1400"/>
      <c r="AI52" s="1400"/>
      <c r="AJ52" s="1400"/>
      <c r="AK52" s="1400"/>
      <c r="AL52" s="1400"/>
      <c r="AM52" s="1400"/>
      <c r="AN52" s="1400"/>
      <c r="AO52" s="1398">
        <v>21.119440442113984</v>
      </c>
      <c r="AP52" s="1398">
        <v>14.932691403283382</v>
      </c>
      <c r="AQ52" s="1400"/>
    </row>
    <row r="53" spans="2:43" ht="15" hidden="1">
      <c r="B53" s="75"/>
      <c r="D53" s="549"/>
      <c r="E53" s="549"/>
      <c r="F53" s="549"/>
      <c r="G53" s="549"/>
      <c r="H53" s="549"/>
      <c r="I53" s="549"/>
      <c r="J53" s="549"/>
      <c r="K53" s="549"/>
      <c r="L53" s="549"/>
      <c r="M53" s="549"/>
      <c r="N53" s="549"/>
      <c r="O53" s="549"/>
      <c r="P53" s="549"/>
      <c r="Q53" s="549"/>
      <c r="R53" s="549"/>
      <c r="S53" s="549"/>
      <c r="T53" s="549"/>
      <c r="U53" s="549"/>
      <c r="V53" s="549"/>
      <c r="W53" s="549"/>
      <c r="X53" s="1399"/>
      <c r="Y53" s="1396"/>
      <c r="Z53" s="1400"/>
      <c r="AA53" s="1398"/>
      <c r="AB53" s="1400"/>
      <c r="AC53" s="1400"/>
      <c r="AD53" s="1400"/>
      <c r="AE53" s="1400"/>
      <c r="AF53" s="1400"/>
      <c r="AG53" s="1400"/>
      <c r="AH53" s="1400"/>
      <c r="AI53" s="1400"/>
      <c r="AJ53" s="1400"/>
      <c r="AK53" s="1400"/>
      <c r="AL53" s="1400"/>
      <c r="AM53" s="1400"/>
      <c r="AN53" s="1400"/>
      <c r="AO53" s="1398">
        <v>0</v>
      </c>
      <c r="AP53" s="1398">
        <v>0</v>
      </c>
      <c r="AQ53" s="1400"/>
    </row>
    <row r="54" spans="2:43" ht="15" hidden="1">
      <c r="B54" s="75"/>
      <c r="D54" s="549"/>
      <c r="E54" s="549"/>
      <c r="F54" s="549"/>
      <c r="G54" s="549"/>
      <c r="H54" s="549"/>
      <c r="I54" s="549"/>
      <c r="J54" s="549"/>
      <c r="K54" s="549"/>
      <c r="L54" s="549"/>
      <c r="M54" s="549"/>
      <c r="N54" s="549"/>
      <c r="O54" s="549"/>
      <c r="P54" s="549"/>
      <c r="Q54" s="549"/>
      <c r="R54" s="549"/>
      <c r="S54" s="549"/>
      <c r="T54" s="549"/>
      <c r="U54" s="549"/>
      <c r="V54" s="549"/>
      <c r="W54" s="549"/>
      <c r="X54" s="1399"/>
      <c r="Y54" s="1396"/>
      <c r="Z54" s="1400"/>
      <c r="AA54" s="1398"/>
      <c r="AB54" s="1400"/>
      <c r="AC54" s="1400"/>
      <c r="AD54" s="1400"/>
      <c r="AE54" s="1400"/>
      <c r="AF54" s="1400"/>
      <c r="AG54" s="1400"/>
      <c r="AH54" s="1400"/>
      <c r="AI54" s="1400"/>
      <c r="AJ54" s="1400"/>
      <c r="AK54" s="1400"/>
      <c r="AL54" s="1400"/>
      <c r="AM54" s="1400"/>
      <c r="AN54" s="1400"/>
      <c r="AO54" s="1398">
        <v>0.18778749982419168</v>
      </c>
      <c r="AP54" s="1398">
        <v>0.33047134189918864</v>
      </c>
      <c r="AQ54" s="1400"/>
    </row>
    <row r="55" spans="2:43" ht="15">
      <c r="B55" s="172">
        <v>9</v>
      </c>
      <c r="C55" s="1401" t="s">
        <v>1022</v>
      </c>
      <c r="D55" s="549"/>
      <c r="E55" s="549"/>
      <c r="F55" s="549"/>
      <c r="G55" s="549"/>
      <c r="H55" s="549"/>
      <c r="I55" s="549"/>
      <c r="J55" s="549"/>
      <c r="K55" s="549"/>
      <c r="L55" s="549"/>
      <c r="M55" s="549"/>
      <c r="N55" s="549"/>
      <c r="O55" s="549"/>
      <c r="P55" s="549"/>
      <c r="Q55" s="549"/>
      <c r="R55" s="549"/>
      <c r="S55" s="549"/>
      <c r="T55" s="549"/>
      <c r="U55" s="549"/>
      <c r="V55" s="549"/>
      <c r="W55" s="549"/>
      <c r="X55" s="1402">
        <v>18</v>
      </c>
      <c r="Y55" s="1402"/>
      <c r="Z55" s="1403">
        <v>18.989999999999998</v>
      </c>
      <c r="AA55" s="1403"/>
      <c r="AB55" s="1403">
        <v>25.07</v>
      </c>
      <c r="AC55" s="1403"/>
      <c r="AD55" s="1403">
        <v>25.69</v>
      </c>
      <c r="AE55" s="1403"/>
      <c r="AF55" s="1403">
        <v>24.735594581616756</v>
      </c>
      <c r="AG55" s="1403">
        <v>25.153542152202657</v>
      </c>
      <c r="AH55" s="1403">
        <v>26.013970383553307</v>
      </c>
      <c r="AI55" s="1403">
        <v>24.799238891613371</v>
      </c>
      <c r="AJ55" s="1403">
        <v>24.757308944908793</v>
      </c>
      <c r="AK55" s="1403">
        <v>23.975202677259638</v>
      </c>
      <c r="AL55" s="1403">
        <v>23.028236465915942</v>
      </c>
      <c r="AM55" s="1403">
        <v>22.991309328549256</v>
      </c>
      <c r="AN55" s="1403">
        <v>22.119555022277179</v>
      </c>
      <c r="AO55" s="1403">
        <v>22.489934456080658</v>
      </c>
      <c r="AP55" s="1403">
        <v>22.037715194094346</v>
      </c>
      <c r="AQ55" s="1403" t="s">
        <v>1011</v>
      </c>
    </row>
    <row r="56" spans="2:43">
      <c r="B56" s="165"/>
      <c r="P56" s="1388"/>
      <c r="Q56" s="1388"/>
      <c r="R56" s="1388"/>
      <c r="S56" s="1388"/>
      <c r="T56" s="1388"/>
      <c r="U56" s="1388"/>
      <c r="V56" s="1388"/>
      <c r="W56" s="1389"/>
      <c r="X56" s="1393"/>
      <c r="Y56" s="1393"/>
      <c r="Z56" s="1393"/>
      <c r="AA56" s="1393"/>
      <c r="AB56" s="1393"/>
      <c r="AC56" s="1393"/>
      <c r="AD56" s="1393"/>
      <c r="AE56" s="1393"/>
      <c r="AF56" s="1393"/>
      <c r="AG56" s="1393"/>
      <c r="AH56" s="1393"/>
      <c r="AI56" s="1393"/>
      <c r="AJ56" s="1393"/>
      <c r="AK56" s="1393"/>
      <c r="AL56" s="1393"/>
      <c r="AM56" s="1393"/>
      <c r="AN56" s="1393"/>
    </row>
    <row r="57" spans="2:43">
      <c r="B57" s="165" t="s">
        <v>1023</v>
      </c>
      <c r="P57" s="1388"/>
      <c r="Q57" s="1388"/>
      <c r="R57" s="1388"/>
      <c r="S57" s="1388"/>
      <c r="T57" s="1388"/>
      <c r="U57" s="1388"/>
      <c r="V57" s="1388"/>
      <c r="W57" s="1389"/>
      <c r="X57" s="1393"/>
      <c r="Y57" s="1393"/>
      <c r="Z57" s="1393"/>
      <c r="AA57" s="1393"/>
      <c r="AB57" s="1393"/>
      <c r="AC57" s="1393"/>
      <c r="AD57" s="1393"/>
      <c r="AE57" s="1393"/>
      <c r="AF57" s="1393"/>
      <c r="AG57" s="1393"/>
    </row>
    <row r="58" spans="2:43">
      <c r="B58" s="1385" t="s">
        <v>1599</v>
      </c>
      <c r="P58" s="1388"/>
      <c r="Q58" s="1388"/>
      <c r="R58" s="1388"/>
      <c r="S58" s="1388"/>
      <c r="T58" s="1388"/>
      <c r="U58" s="1388"/>
      <c r="V58" s="1388"/>
      <c r="W58" s="1389"/>
      <c r="X58" s="1393"/>
      <c r="Y58" s="1393"/>
      <c r="Z58" s="1393"/>
      <c r="AA58" s="1393"/>
      <c r="AB58" s="1393"/>
      <c r="AC58" s="1393"/>
      <c r="AD58" s="1393"/>
      <c r="AE58" s="1393"/>
      <c r="AF58" s="1393"/>
      <c r="AG58" s="1393"/>
    </row>
    <row r="59" spans="2:43">
      <c r="B59" s="165"/>
      <c r="C59" s="167"/>
      <c r="D59" s="167"/>
      <c r="E59" s="167"/>
      <c r="F59" s="167"/>
      <c r="G59" s="167"/>
      <c r="H59" s="167"/>
      <c r="I59" s="167"/>
      <c r="J59" s="167"/>
      <c r="K59" s="167"/>
      <c r="L59" s="167"/>
      <c r="M59" s="167"/>
      <c r="N59" s="167"/>
      <c r="O59" s="197"/>
      <c r="P59" s="198"/>
      <c r="Q59" s="199"/>
      <c r="R59" s="198"/>
      <c r="S59" s="198"/>
      <c r="T59" s="198"/>
      <c r="U59" s="198"/>
      <c r="V59" s="198"/>
      <c r="W59" s="198"/>
      <c r="X59" s="196"/>
      <c r="Y59" s="196"/>
      <c r="Z59" s="196"/>
      <c r="AA59" s="196"/>
      <c r="AB59" s="196"/>
      <c r="AC59" s="196"/>
      <c r="AD59" s="196"/>
      <c r="AE59" s="196"/>
      <c r="AF59" s="196"/>
      <c r="AG59" s="191"/>
      <c r="AH59" s="191"/>
      <c r="AI59" s="191"/>
      <c r="AJ59" s="191"/>
      <c r="AK59" s="191"/>
      <c r="AL59" s="191"/>
      <c r="AM59" s="191"/>
      <c r="AN59" s="191"/>
    </row>
    <row r="60" spans="2:43"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91"/>
      <c r="AH60" s="191"/>
      <c r="AI60" s="191"/>
      <c r="AJ60" s="191"/>
      <c r="AK60" s="191"/>
      <c r="AL60" s="191"/>
      <c r="AM60" s="191"/>
      <c r="AN60" s="191"/>
    </row>
    <row r="61" spans="2:43"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385"/>
      <c r="AN61" s="191"/>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91"/>
      <c r="AH62" s="191"/>
      <c r="AI62" s="191"/>
      <c r="AJ62" s="191"/>
      <c r="AK62" s="191"/>
      <c r="AL62" s="191"/>
      <c r="AM62" s="1385"/>
      <c r="AN62" s="1385"/>
      <c r="AO62" s="1385"/>
    </row>
    <row r="63" spans="2:43" outlineLevel="1">
      <c r="B63" s="165" t="s">
        <v>1839</v>
      </c>
      <c r="C63" s="165"/>
      <c r="D63" s="165"/>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201"/>
      <c r="AF63" s="202">
        <v>2009</v>
      </c>
      <c r="AG63" s="202">
        <v>2010</v>
      </c>
      <c r="AH63" s="202">
        <v>2011</v>
      </c>
      <c r="AI63" s="202">
        <v>2012</v>
      </c>
      <c r="AJ63" s="202">
        <v>2013</v>
      </c>
      <c r="AK63" s="202">
        <v>2014</v>
      </c>
      <c r="AL63" s="202">
        <v>2015</v>
      </c>
      <c r="AM63" s="202">
        <v>2016</v>
      </c>
      <c r="AN63" s="202">
        <v>2017</v>
      </c>
      <c r="AO63" s="202">
        <v>2018</v>
      </c>
      <c r="AP63" s="202">
        <v>2019</v>
      </c>
      <c r="AQ63" s="202">
        <v>2020</v>
      </c>
    </row>
    <row r="64" spans="2:43" outlineLevel="1">
      <c r="B64" s="165" t="s">
        <v>1840</v>
      </c>
      <c r="C64" s="165"/>
      <c r="D64" s="165"/>
      <c r="E64" s="167"/>
      <c r="F64" s="167"/>
      <c r="G64" s="167"/>
      <c r="H64" s="167"/>
      <c r="I64" s="167"/>
      <c r="J64" s="167"/>
      <c r="K64" s="167"/>
      <c r="L64" s="167"/>
      <c r="M64" s="167"/>
      <c r="N64" s="167"/>
      <c r="O64" s="197"/>
      <c r="P64" s="198"/>
      <c r="Q64" s="199"/>
      <c r="R64" s="198"/>
      <c r="S64" s="198"/>
      <c r="T64" s="198"/>
      <c r="U64" s="198"/>
      <c r="V64" s="198"/>
      <c r="W64" s="198"/>
      <c r="X64" s="75"/>
      <c r="Y64" s="203"/>
      <c r="Z64" s="75"/>
      <c r="AA64" s="203"/>
      <c r="AB64" s="75"/>
      <c r="AC64" s="203"/>
      <c r="AD64" s="75"/>
      <c r="AE64" s="75"/>
      <c r="AF64" s="75"/>
      <c r="AG64" s="75"/>
      <c r="AH64" s="75"/>
      <c r="AI64" s="75"/>
      <c r="AJ64" s="75"/>
      <c r="AK64" s="75"/>
      <c r="AL64" s="75"/>
      <c r="AM64" s="1385"/>
      <c r="AN64" s="1385"/>
      <c r="AO64" s="1385"/>
    </row>
    <row r="65" spans="2:43" outlineLevel="1">
      <c r="B65" s="268" t="s">
        <v>28</v>
      </c>
      <c r="C65" s="165" t="s">
        <v>29</v>
      </c>
      <c r="D65" s="165"/>
      <c r="E65" s="167"/>
      <c r="F65" s="167"/>
      <c r="G65" s="167"/>
      <c r="H65" s="167"/>
      <c r="I65" s="167"/>
      <c r="J65" s="167"/>
      <c r="K65" s="167"/>
      <c r="L65" s="167"/>
      <c r="M65" s="167"/>
      <c r="N65" s="167"/>
      <c r="O65" s="197"/>
      <c r="P65" s="198"/>
      <c r="Q65" s="199"/>
      <c r="R65" s="198"/>
      <c r="S65" s="198"/>
      <c r="T65" s="198"/>
      <c r="U65" s="198"/>
      <c r="V65" s="198"/>
      <c r="W65" s="198"/>
      <c r="X65" s="166">
        <v>761201</v>
      </c>
      <c r="Y65" s="166">
        <v>789175</v>
      </c>
      <c r="Z65" s="166">
        <v>826458</v>
      </c>
      <c r="AA65" s="166">
        <v>866915</v>
      </c>
      <c r="AB65" s="166">
        <v>908802</v>
      </c>
      <c r="AC65" s="166">
        <v>947790</v>
      </c>
      <c r="AD65" s="166">
        <v>993160</v>
      </c>
      <c r="AE65" s="166">
        <v>1027057</v>
      </c>
      <c r="AF65" s="166">
        <v>1005813</v>
      </c>
      <c r="AG65" s="166">
        <v>1035553</v>
      </c>
      <c r="AH65" s="166">
        <v>1072692</v>
      </c>
      <c r="AI65" s="166">
        <v>1111558</v>
      </c>
      <c r="AJ65" s="166">
        <v>1161991</v>
      </c>
      <c r="AK65" s="166">
        <v>1208912</v>
      </c>
      <c r="AL65" s="166">
        <v>1247425</v>
      </c>
      <c r="AM65" s="166">
        <v>1307857</v>
      </c>
      <c r="AN65" s="166">
        <v>1352757</v>
      </c>
      <c r="AO65" s="166">
        <v>1412309</v>
      </c>
      <c r="AP65" s="166">
        <v>1449077</v>
      </c>
      <c r="AQ65" s="166">
        <v>1312965</v>
      </c>
    </row>
    <row r="66" spans="2:43" outlineLevel="1">
      <c r="B66" s="165"/>
      <c r="C66" s="165"/>
      <c r="D66" s="165"/>
      <c r="E66" s="167"/>
      <c r="F66" s="167"/>
      <c r="G66" s="167"/>
      <c r="H66" s="167"/>
      <c r="I66" s="167"/>
      <c r="J66" s="167"/>
      <c r="K66" s="167"/>
      <c r="L66" s="167"/>
      <c r="M66" s="167"/>
      <c r="N66" s="167"/>
      <c r="O66" s="197"/>
      <c r="P66" s="198"/>
      <c r="Q66" s="199"/>
      <c r="R66" s="198"/>
      <c r="S66" s="198"/>
      <c r="T66" s="198"/>
      <c r="U66" s="198"/>
      <c r="V66" s="198"/>
      <c r="W66" s="198"/>
      <c r="X66" s="166"/>
      <c r="Y66" s="166"/>
      <c r="Z66" s="166"/>
      <c r="AA66" s="166"/>
      <c r="AB66" s="166"/>
      <c r="AC66" s="166"/>
      <c r="AD66" s="166"/>
      <c r="AE66" s="166"/>
      <c r="AF66" s="166"/>
      <c r="AG66" s="166"/>
      <c r="AH66" s="166"/>
      <c r="AI66" s="166"/>
      <c r="AJ66" s="166"/>
      <c r="AK66" s="166"/>
      <c r="AL66" s="166"/>
      <c r="AM66" s="166"/>
      <c r="AN66" s="166"/>
      <c r="AO66" s="166"/>
      <c r="AP66" s="166"/>
      <c r="AQ66" s="166"/>
    </row>
    <row r="67" spans="2:43" outlineLevel="1">
      <c r="B67" s="268" t="s">
        <v>30</v>
      </c>
      <c r="C67" s="165" t="s">
        <v>31</v>
      </c>
      <c r="D67" s="165"/>
      <c r="E67" s="167"/>
      <c r="F67" s="167"/>
      <c r="G67" s="167"/>
      <c r="H67" s="167"/>
      <c r="I67" s="167"/>
      <c r="J67" s="167"/>
      <c r="K67" s="167"/>
      <c r="L67" s="167"/>
      <c r="M67" s="167"/>
      <c r="N67" s="167"/>
      <c r="O67" s="197"/>
      <c r="P67" s="198"/>
      <c r="Q67" s="199"/>
      <c r="R67" s="198"/>
      <c r="S67" s="198"/>
      <c r="T67" s="198"/>
      <c r="U67" s="198"/>
      <c r="V67" s="198"/>
      <c r="W67" s="198"/>
      <c r="X67" s="166">
        <v>855789</v>
      </c>
      <c r="Y67" s="166">
        <v>894496</v>
      </c>
      <c r="Z67" s="166">
        <v>941982</v>
      </c>
      <c r="AA67" s="166">
        <v>990734</v>
      </c>
      <c r="AB67" s="166">
        <v>1040230</v>
      </c>
      <c r="AC67" s="166">
        <v>1088526</v>
      </c>
      <c r="AD67" s="166">
        <v>1141653</v>
      </c>
      <c r="AE67" s="166">
        <v>1191999</v>
      </c>
      <c r="AF67" s="166">
        <v>1181382</v>
      </c>
      <c r="AG67" s="166">
        <v>1211717</v>
      </c>
      <c r="AH67" s="166">
        <v>1251622</v>
      </c>
      <c r="AI67" s="166">
        <v>1297599</v>
      </c>
      <c r="AJ67" s="166">
        <v>1354849</v>
      </c>
      <c r="AK67" s="166">
        <v>1409110</v>
      </c>
      <c r="AL67" s="166">
        <v>1449984</v>
      </c>
      <c r="AM67" s="166">
        <v>1511961</v>
      </c>
      <c r="AN67" s="166">
        <v>1556840</v>
      </c>
      <c r="AO67" s="166">
        <v>1620943</v>
      </c>
      <c r="AP67" s="166">
        <v>1671001</v>
      </c>
      <c r="AQ67" s="166">
        <v>1575767</v>
      </c>
    </row>
    <row r="68" spans="2:43" outlineLevel="1">
      <c r="B68" s="165"/>
      <c r="C68" s="165"/>
      <c r="D68" s="165"/>
      <c r="E68" s="167"/>
      <c r="F68" s="167"/>
      <c r="G68" s="167"/>
      <c r="H68" s="167"/>
      <c r="I68" s="167"/>
      <c r="J68" s="167"/>
      <c r="K68" s="167"/>
      <c r="L68" s="167"/>
      <c r="M68" s="167"/>
      <c r="N68" s="167"/>
      <c r="O68" s="197"/>
      <c r="P68" s="198"/>
      <c r="Q68" s="199"/>
      <c r="R68" s="198"/>
      <c r="S68" s="198"/>
      <c r="T68" s="198"/>
      <c r="U68" s="198"/>
      <c r="V68" s="198"/>
      <c r="W68" s="198"/>
      <c r="X68" s="166"/>
      <c r="Y68" s="166"/>
      <c r="Z68" s="166"/>
      <c r="AA68" s="166"/>
      <c r="AB68" s="166"/>
      <c r="AC68" s="166"/>
      <c r="AD68" s="166"/>
      <c r="AE68" s="166"/>
      <c r="AF68" s="166"/>
      <c r="AG68" s="166"/>
      <c r="AH68" s="166"/>
      <c r="AI68" s="166"/>
      <c r="AJ68" s="166"/>
      <c r="AK68" s="166"/>
      <c r="AL68" s="166"/>
      <c r="AM68" s="166"/>
      <c r="AN68" s="166"/>
      <c r="AO68" s="166"/>
      <c r="AP68" s="166"/>
      <c r="AQ68" s="166"/>
    </row>
    <row r="69" spans="2:43" outlineLevel="1">
      <c r="B69" s="268" t="s">
        <v>32</v>
      </c>
      <c r="C69" s="165" t="s">
        <v>33</v>
      </c>
      <c r="D69" s="165"/>
      <c r="E69" s="167"/>
      <c r="F69" s="167"/>
      <c r="G69" s="167"/>
      <c r="H69" s="167"/>
      <c r="I69" s="167"/>
      <c r="J69" s="167"/>
      <c r="K69" s="167"/>
      <c r="L69" s="167"/>
      <c r="M69" s="167"/>
      <c r="N69" s="167"/>
      <c r="O69" s="197"/>
      <c r="P69" s="198"/>
      <c r="Q69" s="199"/>
      <c r="R69" s="198"/>
      <c r="S69" s="198"/>
      <c r="T69" s="198"/>
      <c r="U69" s="198"/>
      <c r="V69" s="198"/>
      <c r="W69" s="198"/>
      <c r="X69" s="166">
        <f>SUM(X71:X72)</f>
        <v>104487</v>
      </c>
      <c r="Y69" s="166">
        <f t="shared" ref="Y69:AN69" si="12">SUM(Y71:Y72)</f>
        <v>109605</v>
      </c>
      <c r="Z69" s="166">
        <f t="shared" si="12"/>
        <v>116421</v>
      </c>
      <c r="AA69" s="166">
        <f t="shared" si="12"/>
        <v>122132</v>
      </c>
      <c r="AB69" s="166">
        <f t="shared" si="12"/>
        <v>123936</v>
      </c>
      <c r="AC69" s="166">
        <f t="shared" si="12"/>
        <v>128456</v>
      </c>
      <c r="AD69" s="166">
        <f t="shared" si="12"/>
        <v>133801</v>
      </c>
      <c r="AE69" s="166">
        <f t="shared" si="12"/>
        <v>135153</v>
      </c>
      <c r="AF69" s="166">
        <f t="shared" si="12"/>
        <v>124999</v>
      </c>
      <c r="AG69" s="166">
        <f t="shared" si="12"/>
        <v>143100</v>
      </c>
      <c r="AH69" s="166">
        <f t="shared" si="12"/>
        <v>159649</v>
      </c>
      <c r="AI69" s="166">
        <f t="shared" si="12"/>
        <v>163275</v>
      </c>
      <c r="AJ69" s="166">
        <f t="shared" si="12"/>
        <v>168048</v>
      </c>
      <c r="AK69" s="166">
        <f t="shared" si="12"/>
        <v>174771</v>
      </c>
      <c r="AL69" s="166">
        <f t="shared" si="12"/>
        <v>180358</v>
      </c>
      <c r="AM69" s="166">
        <f t="shared" si="12"/>
        <v>185481</v>
      </c>
      <c r="AN69" s="166">
        <f t="shared" si="12"/>
        <v>191098</v>
      </c>
      <c r="AO69" s="166">
        <f>SUM(AO71:AO72)</f>
        <v>198229</v>
      </c>
      <c r="AP69" s="166">
        <f t="shared" ref="AP69:AQ69" si="13">SUM(AP71:AP72)</f>
        <v>204039</v>
      </c>
      <c r="AQ69" s="166">
        <f t="shared" si="13"/>
        <v>184427</v>
      </c>
    </row>
    <row r="70" spans="2:43" outlineLevel="1">
      <c r="B70" s="165"/>
      <c r="C70" s="165"/>
      <c r="D70" s="165"/>
      <c r="E70" s="167"/>
      <c r="F70" s="167"/>
      <c r="G70" s="167"/>
      <c r="H70" s="167"/>
      <c r="I70" s="167"/>
      <c r="J70" s="167"/>
      <c r="K70" s="167"/>
      <c r="L70" s="167"/>
      <c r="M70" s="167"/>
      <c r="N70" s="167"/>
      <c r="O70" s="197"/>
      <c r="P70" s="198"/>
      <c r="Q70" s="199"/>
      <c r="R70" s="198"/>
      <c r="S70" s="198"/>
      <c r="T70" s="198"/>
      <c r="U70" s="198"/>
      <c r="V70" s="198"/>
      <c r="W70" s="198"/>
      <c r="X70" s="166"/>
      <c r="Y70" s="166"/>
      <c r="Z70" s="166"/>
      <c r="AA70" s="166"/>
      <c r="AB70" s="166"/>
      <c r="AC70" s="166"/>
      <c r="AD70" s="166"/>
      <c r="AE70" s="166"/>
      <c r="AF70" s="166"/>
      <c r="AG70" s="166"/>
      <c r="AH70" s="166"/>
      <c r="AI70" s="166"/>
      <c r="AJ70" s="166"/>
      <c r="AK70" s="166"/>
      <c r="AL70" s="166"/>
      <c r="AM70" s="166"/>
      <c r="AN70" s="166"/>
      <c r="AO70" s="166"/>
      <c r="AP70" s="166"/>
      <c r="AQ70" s="166"/>
    </row>
    <row r="71" spans="2:43" outlineLevel="1">
      <c r="B71" s="165"/>
      <c r="C71" s="165" t="s">
        <v>34</v>
      </c>
      <c r="D71" s="165"/>
      <c r="E71" s="167"/>
      <c r="F71" s="167"/>
      <c r="G71" s="167"/>
      <c r="H71" s="167"/>
      <c r="I71" s="167"/>
      <c r="J71" s="167"/>
      <c r="K71" s="167"/>
      <c r="L71" s="167"/>
      <c r="M71" s="167"/>
      <c r="N71" s="167"/>
      <c r="O71" s="197"/>
      <c r="P71" s="198"/>
      <c r="Q71" s="199"/>
      <c r="R71" s="198"/>
      <c r="S71" s="198"/>
      <c r="T71" s="198"/>
      <c r="U71" s="198"/>
      <c r="V71" s="198"/>
      <c r="W71" s="198"/>
      <c r="X71" s="166">
        <v>67859</v>
      </c>
      <c r="Y71" s="166">
        <v>72136</v>
      </c>
      <c r="Z71" s="166">
        <v>78356</v>
      </c>
      <c r="AA71" s="166">
        <v>82691</v>
      </c>
      <c r="AB71" s="166">
        <v>84649</v>
      </c>
      <c r="AC71" s="166">
        <v>89016</v>
      </c>
      <c r="AD71" s="166">
        <v>93374</v>
      </c>
      <c r="AE71" s="166">
        <v>93434</v>
      </c>
      <c r="AF71" s="166">
        <v>81122</v>
      </c>
      <c r="AG71" s="166">
        <v>97646</v>
      </c>
      <c r="AH71" s="166">
        <v>113485</v>
      </c>
      <c r="AI71" s="166">
        <v>116462</v>
      </c>
      <c r="AJ71" s="166">
        <v>121460</v>
      </c>
      <c r="AK71" s="166">
        <v>127647</v>
      </c>
      <c r="AL71" s="166">
        <v>133064</v>
      </c>
      <c r="AM71" s="166">
        <v>137530</v>
      </c>
      <c r="AN71" s="166">
        <v>142401</v>
      </c>
      <c r="AO71" s="166">
        <v>149104</v>
      </c>
      <c r="AP71" s="166">
        <v>154754</v>
      </c>
      <c r="AQ71" s="166">
        <v>139764</v>
      </c>
    </row>
    <row r="72" spans="2:43" outlineLevel="1">
      <c r="B72" s="165"/>
      <c r="C72" s="165" t="s">
        <v>35</v>
      </c>
      <c r="D72" s="165"/>
      <c r="E72" s="167"/>
      <c r="F72" s="167"/>
      <c r="G72" s="167"/>
      <c r="H72" s="167"/>
      <c r="I72" s="167"/>
      <c r="J72" s="167"/>
      <c r="K72" s="167"/>
      <c r="L72" s="167"/>
      <c r="M72" s="167"/>
      <c r="N72" s="167"/>
      <c r="O72" s="197"/>
      <c r="P72" s="198"/>
      <c r="Q72" s="199"/>
      <c r="R72" s="198"/>
      <c r="S72" s="198"/>
      <c r="T72" s="198"/>
      <c r="U72" s="198"/>
      <c r="V72" s="198"/>
      <c r="W72" s="198"/>
      <c r="X72" s="166">
        <v>36628</v>
      </c>
      <c r="Y72" s="166">
        <v>37469</v>
      </c>
      <c r="Z72" s="166">
        <v>38065</v>
      </c>
      <c r="AA72" s="166">
        <v>39441</v>
      </c>
      <c r="AB72" s="166">
        <v>39287</v>
      </c>
      <c r="AC72" s="166">
        <v>39440</v>
      </c>
      <c r="AD72" s="166">
        <v>40427</v>
      </c>
      <c r="AE72" s="166">
        <v>41719</v>
      </c>
      <c r="AF72" s="166">
        <v>43877</v>
      </c>
      <c r="AG72" s="166">
        <v>45454</v>
      </c>
      <c r="AH72" s="166">
        <v>46164</v>
      </c>
      <c r="AI72" s="166">
        <v>46813</v>
      </c>
      <c r="AJ72" s="166">
        <v>46588</v>
      </c>
      <c r="AK72" s="166">
        <v>47124</v>
      </c>
      <c r="AL72" s="166">
        <v>47294</v>
      </c>
      <c r="AM72" s="166">
        <v>47951</v>
      </c>
      <c r="AN72" s="166">
        <v>48697</v>
      </c>
      <c r="AO72" s="166">
        <v>49125</v>
      </c>
      <c r="AP72" s="166">
        <v>49285</v>
      </c>
      <c r="AQ72" s="166">
        <v>44663</v>
      </c>
    </row>
    <row r="73" spans="2:43" outlineLevel="1">
      <c r="B73" s="165"/>
      <c r="C73" s="165"/>
      <c r="D73" s="165"/>
      <c r="E73" s="167"/>
      <c r="F73" s="167"/>
      <c r="G73" s="167"/>
      <c r="H73" s="167"/>
      <c r="I73" s="167"/>
      <c r="J73" s="167"/>
      <c r="K73" s="167"/>
      <c r="L73" s="167"/>
      <c r="M73" s="167"/>
      <c r="N73" s="167"/>
      <c r="O73" s="197"/>
      <c r="P73" s="198"/>
      <c r="Q73" s="199"/>
      <c r="R73" s="198"/>
      <c r="S73" s="198"/>
      <c r="T73" s="198"/>
      <c r="U73" s="198"/>
      <c r="V73" s="198"/>
      <c r="W73" s="198"/>
      <c r="X73" s="166"/>
      <c r="Y73" s="166"/>
      <c r="Z73" s="166"/>
      <c r="AA73" s="166"/>
      <c r="AB73" s="166"/>
      <c r="AC73" s="166"/>
      <c r="AD73" s="166"/>
      <c r="AE73" s="166"/>
      <c r="AF73" s="166"/>
      <c r="AG73" s="166"/>
      <c r="AH73" s="166"/>
      <c r="AI73" s="166"/>
      <c r="AJ73" s="166"/>
      <c r="AK73" s="166"/>
      <c r="AL73" s="166"/>
      <c r="AM73" s="166"/>
      <c r="AN73" s="166"/>
      <c r="AO73" s="166"/>
      <c r="AP73" s="166"/>
      <c r="AQ73" s="166"/>
    </row>
    <row r="74" spans="2:43" outlineLevel="1">
      <c r="B74" s="268" t="s">
        <v>36</v>
      </c>
      <c r="C74" s="165" t="s">
        <v>37</v>
      </c>
      <c r="D74" s="165"/>
      <c r="E74" s="167"/>
      <c r="F74" s="167"/>
      <c r="G74" s="167"/>
      <c r="H74" s="167"/>
      <c r="I74" s="167"/>
      <c r="J74" s="167"/>
      <c r="K74" s="167"/>
      <c r="L74" s="167"/>
      <c r="M74" s="167"/>
      <c r="N74" s="167"/>
      <c r="O74" s="197"/>
      <c r="P74" s="198"/>
      <c r="Q74" s="199"/>
      <c r="R74" s="198"/>
      <c r="S74" s="198"/>
      <c r="T74" s="198"/>
      <c r="U74" s="198"/>
      <c r="V74" s="198"/>
      <c r="W74" s="198"/>
      <c r="X74" s="166">
        <v>113432</v>
      </c>
      <c r="Y74" s="166">
        <v>118685</v>
      </c>
      <c r="Z74" s="166">
        <v>125607</v>
      </c>
      <c r="AA74" s="166">
        <v>131702</v>
      </c>
      <c r="AB74" s="166">
        <v>133630</v>
      </c>
      <c r="AC74" s="166">
        <v>138468</v>
      </c>
      <c r="AD74" s="166">
        <v>144752</v>
      </c>
      <c r="AE74" s="166">
        <v>146528</v>
      </c>
      <c r="AF74" s="166">
        <v>136275</v>
      </c>
      <c r="AG74" s="166">
        <v>155471</v>
      </c>
      <c r="AH74" s="166">
        <v>175291</v>
      </c>
      <c r="AI74" s="166">
        <v>178822</v>
      </c>
      <c r="AJ74" s="166">
        <v>185262</v>
      </c>
      <c r="AK74" s="166">
        <v>193330</v>
      </c>
      <c r="AL74" s="166">
        <v>200337</v>
      </c>
      <c r="AM74" s="166">
        <v>207544</v>
      </c>
      <c r="AN74" s="166">
        <v>213992</v>
      </c>
      <c r="AO74" s="166">
        <v>222059</v>
      </c>
      <c r="AP74" s="166">
        <v>229312</v>
      </c>
      <c r="AQ74" s="166">
        <v>205848</v>
      </c>
    </row>
    <row r="75" spans="2:43" outlineLevel="1">
      <c r="B75" s="165"/>
      <c r="C75" s="165"/>
      <c r="D75" s="165"/>
      <c r="E75" s="167"/>
      <c r="F75" s="167"/>
      <c r="G75" s="167"/>
      <c r="H75" s="167"/>
      <c r="I75" s="167"/>
      <c r="J75" s="167"/>
      <c r="K75" s="167"/>
      <c r="L75" s="167"/>
      <c r="M75" s="167"/>
      <c r="N75" s="167"/>
      <c r="O75" s="197"/>
      <c r="P75" s="198"/>
      <c r="Q75" s="199"/>
      <c r="R75" s="198"/>
      <c r="S75" s="198"/>
      <c r="T75" s="198"/>
      <c r="U75" s="198"/>
      <c r="V75" s="198"/>
      <c r="W75" s="198"/>
      <c r="X75" s="166"/>
      <c r="Y75" s="166"/>
      <c r="Z75" s="166"/>
      <c r="AA75" s="166"/>
      <c r="AB75" s="166"/>
      <c r="AC75" s="166"/>
      <c r="AD75" s="166"/>
      <c r="AE75" s="166"/>
      <c r="AF75" s="166"/>
      <c r="AG75" s="166"/>
      <c r="AH75" s="166"/>
      <c r="AI75" s="166"/>
      <c r="AJ75" s="166"/>
      <c r="AK75" s="166"/>
      <c r="AL75" s="166"/>
      <c r="AM75" s="166"/>
      <c r="AN75" s="166"/>
      <c r="AO75" s="166"/>
      <c r="AP75" s="166"/>
      <c r="AQ75" s="166"/>
    </row>
    <row r="76" spans="2:43" outlineLevel="1">
      <c r="B76" s="268" t="s">
        <v>38</v>
      </c>
      <c r="C76" s="165" t="s">
        <v>39</v>
      </c>
      <c r="D76" s="165"/>
      <c r="E76" s="167"/>
      <c r="F76" s="167"/>
      <c r="G76" s="167"/>
      <c r="H76" s="167"/>
      <c r="I76" s="167"/>
      <c r="J76" s="167"/>
      <c r="K76" s="167"/>
      <c r="L76" s="167"/>
      <c r="M76" s="167"/>
      <c r="N76" s="167"/>
      <c r="O76" s="197"/>
      <c r="P76" s="198"/>
      <c r="Q76" s="199"/>
      <c r="R76" s="198"/>
      <c r="S76" s="198"/>
      <c r="T76" s="198"/>
      <c r="U76" s="198"/>
      <c r="V76" s="198"/>
      <c r="W76" s="198"/>
      <c r="X76" s="166">
        <v>118098</v>
      </c>
      <c r="Y76" s="166">
        <v>123479</v>
      </c>
      <c r="Z76" s="166">
        <v>130853.00000000001</v>
      </c>
      <c r="AA76" s="166">
        <v>137140</v>
      </c>
      <c r="AB76" s="166">
        <v>139026</v>
      </c>
      <c r="AC76" s="166">
        <v>144060</v>
      </c>
      <c r="AD76" s="166">
        <v>150806</v>
      </c>
      <c r="AE76" s="166">
        <v>152845</v>
      </c>
      <c r="AF76" s="166">
        <v>143186</v>
      </c>
      <c r="AG76" s="166">
        <v>162912</v>
      </c>
      <c r="AH76" s="166">
        <v>182556</v>
      </c>
      <c r="AI76" s="166">
        <v>186170</v>
      </c>
      <c r="AJ76" s="166">
        <v>192845</v>
      </c>
      <c r="AK76" s="166">
        <v>200880</v>
      </c>
      <c r="AL76" s="166">
        <v>207780</v>
      </c>
      <c r="AM76" s="166">
        <v>215129</v>
      </c>
      <c r="AN76" s="166">
        <v>221774</v>
      </c>
      <c r="AO76" s="166">
        <v>230107</v>
      </c>
      <c r="AP76" s="166">
        <v>237849</v>
      </c>
      <c r="AQ76" s="166">
        <v>214349</v>
      </c>
    </row>
    <row r="77" spans="2:43" outlineLevel="1">
      <c r="B77" s="268"/>
      <c r="C77" s="165"/>
      <c r="D77" s="165"/>
      <c r="E77" s="167"/>
      <c r="F77" s="167"/>
      <c r="G77" s="167"/>
      <c r="H77" s="167"/>
      <c r="I77" s="167"/>
      <c r="J77" s="167"/>
      <c r="K77" s="167"/>
      <c r="L77" s="167"/>
      <c r="M77" s="167"/>
      <c r="N77" s="167"/>
      <c r="O77" s="197"/>
      <c r="P77" s="198"/>
      <c r="Q77" s="199"/>
      <c r="R77" s="198"/>
      <c r="S77" s="198"/>
      <c r="T77" s="198"/>
      <c r="U77" s="198"/>
      <c r="V77" s="198"/>
      <c r="W77" s="198"/>
      <c r="X77" s="166"/>
      <c r="Y77" s="75"/>
      <c r="Z77" s="166"/>
      <c r="AA77" s="75"/>
      <c r="AB77" s="166"/>
      <c r="AC77" s="75"/>
      <c r="AD77" s="166"/>
      <c r="AE77" s="166"/>
      <c r="AF77" s="166"/>
      <c r="AG77" s="166"/>
      <c r="AH77" s="166"/>
      <c r="AI77" s="166"/>
      <c r="AJ77" s="166"/>
      <c r="AK77" s="166"/>
      <c r="AL77" s="166"/>
      <c r="AM77" s="166"/>
      <c r="AN77" s="166"/>
      <c r="AO77" s="166"/>
      <c r="AP77" s="166"/>
      <c r="AQ77" s="166"/>
    </row>
    <row r="78" spans="2:43" outlineLevel="1">
      <c r="B78" s="165" t="s">
        <v>40</v>
      </c>
      <c r="C78" s="167"/>
      <c r="D78" s="165"/>
      <c r="E78" s="167"/>
      <c r="F78" s="167"/>
      <c r="G78" s="167"/>
      <c r="H78" s="167"/>
      <c r="I78" s="167"/>
      <c r="J78" s="167"/>
      <c r="K78" s="167"/>
      <c r="L78" s="167"/>
      <c r="M78" s="167"/>
      <c r="N78" s="167"/>
      <c r="O78" s="197"/>
      <c r="P78" s="198"/>
      <c r="Q78" s="199"/>
      <c r="R78" s="198"/>
      <c r="S78" s="198"/>
      <c r="T78" s="198"/>
      <c r="U78" s="198"/>
      <c r="V78" s="198"/>
      <c r="W78" s="198"/>
      <c r="X78" s="166"/>
      <c r="Y78" s="75"/>
      <c r="Z78" s="166"/>
      <c r="AA78" s="75"/>
      <c r="AB78" s="166"/>
      <c r="AC78" s="75"/>
      <c r="AD78" s="166"/>
      <c r="AE78" s="166"/>
      <c r="AF78" s="166"/>
      <c r="AG78" s="166"/>
      <c r="AH78" s="166"/>
      <c r="AI78" s="166"/>
      <c r="AJ78" s="166"/>
      <c r="AK78" s="166"/>
      <c r="AL78" s="166"/>
      <c r="AM78" s="166"/>
      <c r="AN78" s="166"/>
      <c r="AO78" s="166"/>
      <c r="AP78" s="166"/>
      <c r="AQ78" s="166"/>
    </row>
    <row r="79" spans="2:43" outlineLevel="1">
      <c r="B79" s="165"/>
      <c r="C79" s="165"/>
      <c r="D79" s="165"/>
      <c r="E79" s="167"/>
      <c r="F79" s="167"/>
      <c r="G79" s="167"/>
      <c r="H79" s="167"/>
      <c r="I79" s="167"/>
      <c r="J79" s="167"/>
      <c r="K79" s="167"/>
      <c r="L79" s="167"/>
      <c r="M79" s="167"/>
      <c r="N79" s="167"/>
      <c r="O79" s="197"/>
      <c r="P79" s="198"/>
      <c r="Q79" s="199"/>
      <c r="R79" s="198"/>
      <c r="S79" s="198"/>
      <c r="T79" s="198"/>
      <c r="U79" s="198"/>
      <c r="V79" s="198"/>
      <c r="W79" s="198"/>
      <c r="X79" s="166"/>
      <c r="Y79" s="75"/>
      <c r="Z79" s="166"/>
      <c r="AA79" s="75"/>
      <c r="AB79" s="166"/>
      <c r="AC79" s="75"/>
      <c r="AD79" s="166"/>
      <c r="AE79" s="166"/>
      <c r="AF79" s="166"/>
      <c r="AG79" s="166"/>
      <c r="AH79" s="166"/>
      <c r="AI79" s="166"/>
      <c r="AJ79" s="166"/>
      <c r="AK79" s="166"/>
      <c r="AL79" s="166"/>
      <c r="AM79" s="166"/>
      <c r="AN79" s="166"/>
      <c r="AO79" s="166"/>
      <c r="AP79" s="166"/>
      <c r="AQ79" s="166"/>
    </row>
    <row r="80" spans="2:43" outlineLevel="1">
      <c r="B80" s="269"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f>X69/X67</f>
        <v>0.12209434802270186</v>
      </c>
      <c r="Y80" s="171">
        <f t="shared" ref="Y80:AN80" si="14">Y69/Y67</f>
        <v>0.12253268879905556</v>
      </c>
      <c r="Z80" s="207">
        <f t="shared" si="14"/>
        <v>0.12359153359618337</v>
      </c>
      <c r="AA80" s="171">
        <f t="shared" si="14"/>
        <v>0.12327425928654917</v>
      </c>
      <c r="AB80" s="207">
        <f t="shared" si="14"/>
        <v>0.11914288186266499</v>
      </c>
      <c r="AC80" s="171">
        <f t="shared" si="14"/>
        <v>0.11800912426529087</v>
      </c>
      <c r="AD80" s="207">
        <f t="shared" si="14"/>
        <v>0.11719935917481056</v>
      </c>
      <c r="AE80" s="207">
        <f t="shared" si="14"/>
        <v>0.11338348438211777</v>
      </c>
      <c r="AF80" s="207">
        <f t="shared" si="14"/>
        <v>0.10580743569819076</v>
      </c>
      <c r="AG80" s="207">
        <f t="shared" si="14"/>
        <v>0.11809688235784428</v>
      </c>
      <c r="AH80" s="207">
        <f>AH69/AH67</f>
        <v>0.12755368633660963</v>
      </c>
      <c r="AI80" s="207">
        <f t="shared" si="14"/>
        <v>0.12582854949795738</v>
      </c>
      <c r="AJ80" s="207">
        <f t="shared" si="14"/>
        <v>0.12403448649997158</v>
      </c>
      <c r="AK80" s="207">
        <f t="shared" si="14"/>
        <v>0.12402935186039415</v>
      </c>
      <c r="AL80" s="207">
        <f t="shared" si="14"/>
        <v>0.12438620012358757</v>
      </c>
      <c r="AM80" s="207">
        <f t="shared" si="14"/>
        <v>0.12267578330393443</v>
      </c>
      <c r="AN80" s="207">
        <f t="shared" si="14"/>
        <v>0.12274736003699802</v>
      </c>
      <c r="AO80" s="207">
        <f>AO69/AO67</f>
        <v>0.12229239399534715</v>
      </c>
      <c r="AP80" s="207">
        <f t="shared" ref="AP80:AQ80" si="15">AP69/AP67</f>
        <v>0.12210585152253051</v>
      </c>
      <c r="AQ80" s="207">
        <f t="shared" si="15"/>
        <v>0.11703951155215206</v>
      </c>
    </row>
    <row r="81" spans="2:43" outlineLevel="1">
      <c r="B81" s="165"/>
      <c r="C81" s="165"/>
      <c r="D81" s="165"/>
      <c r="E81" s="167"/>
      <c r="F81" s="167"/>
      <c r="G81" s="167"/>
      <c r="H81" s="167"/>
      <c r="I81" s="167"/>
      <c r="J81" s="167"/>
      <c r="K81" s="167"/>
      <c r="L81" s="167"/>
      <c r="M81" s="167"/>
      <c r="N81" s="167"/>
      <c r="O81" s="197"/>
      <c r="P81" s="198"/>
      <c r="Q81" s="199"/>
      <c r="R81" s="198"/>
      <c r="S81" s="198"/>
      <c r="T81" s="198"/>
      <c r="U81" s="198"/>
      <c r="V81" s="198"/>
      <c r="W81" s="198"/>
      <c r="X81" s="166"/>
      <c r="Y81" s="75"/>
      <c r="Z81" s="166"/>
      <c r="AA81" s="75"/>
      <c r="AB81" s="166"/>
      <c r="AC81" s="75"/>
      <c r="AD81" s="166"/>
      <c r="AE81" s="166"/>
      <c r="AF81" s="166"/>
      <c r="AG81" s="166"/>
      <c r="AH81" s="166"/>
      <c r="AI81" s="166"/>
      <c r="AJ81" s="166"/>
      <c r="AK81" s="166"/>
      <c r="AL81" s="166"/>
      <c r="AM81" s="166"/>
      <c r="AN81" s="166"/>
      <c r="AO81" s="166"/>
      <c r="AP81" s="166"/>
      <c r="AQ81" s="166"/>
    </row>
    <row r="82" spans="2:43" outlineLevel="1">
      <c r="B82" s="268" t="s">
        <v>43</v>
      </c>
      <c r="C82" s="165" t="s">
        <v>44</v>
      </c>
      <c r="D82" s="165"/>
      <c r="E82" s="167"/>
      <c r="F82" s="167"/>
      <c r="G82" s="167"/>
      <c r="H82" s="167"/>
      <c r="I82" s="167"/>
      <c r="J82" s="167"/>
      <c r="K82" s="167"/>
      <c r="L82" s="167"/>
      <c r="M82" s="167"/>
      <c r="N82" s="167"/>
      <c r="O82" s="197"/>
      <c r="P82" s="198"/>
      <c r="Q82" s="199"/>
      <c r="R82" s="198"/>
      <c r="S82" s="198"/>
      <c r="T82" s="198"/>
      <c r="U82" s="198"/>
      <c r="V82" s="198"/>
      <c r="W82" s="198"/>
      <c r="X82" s="208">
        <f>X76/X67</f>
        <v>0.13799896937212328</v>
      </c>
      <c r="Y82" s="75">
        <f t="shared" ref="Y82:AN82" si="16">Y76/Y67</f>
        <v>0.13804309913068366</v>
      </c>
      <c r="Z82" s="208">
        <f t="shared" si="16"/>
        <v>0.13891242083182059</v>
      </c>
      <c r="AA82" s="75">
        <f t="shared" si="16"/>
        <v>0.13842262403430183</v>
      </c>
      <c r="AB82" s="208">
        <f t="shared" si="16"/>
        <v>0.13364928909952606</v>
      </c>
      <c r="AC82" s="75">
        <f t="shared" si="16"/>
        <v>0.13234410569889923</v>
      </c>
      <c r="AD82" s="208">
        <f t="shared" si="16"/>
        <v>0.13209442799169274</v>
      </c>
      <c r="AE82" s="208">
        <f t="shared" si="16"/>
        <v>0.12822577871290161</v>
      </c>
      <c r="AF82" s="208">
        <f t="shared" si="16"/>
        <v>0.1212021175199893</v>
      </c>
      <c r="AG82" s="208">
        <f t="shared" si="16"/>
        <v>0.13444723479162213</v>
      </c>
      <c r="AH82" s="208">
        <f t="shared" si="16"/>
        <v>0.14585553785408054</v>
      </c>
      <c r="AI82" s="208">
        <f t="shared" si="16"/>
        <v>0.14347267530261659</v>
      </c>
      <c r="AJ82" s="208">
        <f t="shared" si="16"/>
        <v>0.14233689510786812</v>
      </c>
      <c r="AK82" s="208">
        <f t="shared" si="16"/>
        <v>0.14255806856810327</v>
      </c>
      <c r="AL82" s="208">
        <f t="shared" si="16"/>
        <v>0.14329813294491525</v>
      </c>
      <c r="AM82" s="208">
        <f t="shared" si="16"/>
        <v>0.14228475469936064</v>
      </c>
      <c r="AN82" s="208">
        <f t="shared" si="16"/>
        <v>0.1424513758639295</v>
      </c>
      <c r="AO82" s="208">
        <f>AO76/AO67</f>
        <v>0.1419587240266931</v>
      </c>
      <c r="AP82" s="208">
        <f t="shared" ref="AP82:AQ82" si="17">AP76/AP67</f>
        <v>0.14233923259172196</v>
      </c>
      <c r="AQ82" s="208">
        <f t="shared" si="17"/>
        <v>0.13602835952269593</v>
      </c>
    </row>
    <row r="83" spans="2:43" outlineLevel="1">
      <c r="B83" s="165"/>
      <c r="C83" s="165"/>
      <c r="D83" s="165"/>
      <c r="E83" s="167"/>
      <c r="F83" s="167"/>
      <c r="G83" s="167"/>
      <c r="H83" s="167"/>
      <c r="I83" s="167"/>
      <c r="J83" s="167"/>
      <c r="K83" s="167"/>
      <c r="L83" s="167"/>
      <c r="M83" s="167"/>
      <c r="N83" s="167"/>
      <c r="O83" s="197"/>
      <c r="P83" s="198"/>
      <c r="Q83" s="199"/>
      <c r="R83" s="198"/>
      <c r="S83" s="198"/>
      <c r="T83" s="198"/>
      <c r="U83" s="198"/>
      <c r="V83" s="198"/>
      <c r="W83" s="198"/>
      <c r="X83" s="166"/>
      <c r="Y83" s="75"/>
      <c r="Z83" s="166"/>
      <c r="AA83" s="75"/>
      <c r="AB83" s="166"/>
      <c r="AC83" s="75"/>
      <c r="AD83" s="166"/>
      <c r="AE83" s="166"/>
      <c r="AF83" s="166"/>
      <c r="AG83" s="166"/>
      <c r="AH83" s="166"/>
      <c r="AI83" s="166"/>
      <c r="AJ83" s="166"/>
      <c r="AK83" s="166"/>
      <c r="AL83" s="166"/>
      <c r="AM83" s="166"/>
      <c r="AN83" s="166"/>
      <c r="AO83" s="166"/>
      <c r="AP83" s="166"/>
      <c r="AQ83" s="166"/>
    </row>
    <row r="84" spans="2:43" outlineLevel="1">
      <c r="B84" s="268" t="s">
        <v>45</v>
      </c>
      <c r="C84" s="165" t="s">
        <v>46</v>
      </c>
      <c r="D84" s="165"/>
      <c r="E84" s="167"/>
      <c r="F84" s="167"/>
      <c r="G84" s="167"/>
      <c r="H84" s="167"/>
      <c r="I84" s="167"/>
      <c r="J84" s="167"/>
      <c r="K84" s="167"/>
      <c r="L84" s="167"/>
      <c r="M84" s="167"/>
      <c r="N84" s="167"/>
      <c r="O84" s="197"/>
      <c r="P84" s="198"/>
      <c r="Q84" s="199"/>
      <c r="R84" s="198"/>
      <c r="S84" s="198"/>
      <c r="T84" s="198"/>
      <c r="U84" s="198"/>
      <c r="V84" s="198"/>
      <c r="W84" s="198"/>
      <c r="X84" s="208">
        <f>X76/X65</f>
        <v>0.15514693228201223</v>
      </c>
      <c r="Y84" s="75">
        <f t="shared" ref="Y84:AN84" si="18">Y76/Y65</f>
        <v>0.1564659296100358</v>
      </c>
      <c r="Z84" s="208">
        <f t="shared" si="18"/>
        <v>0.15832988488223237</v>
      </c>
      <c r="AA84" s="75">
        <f t="shared" si="18"/>
        <v>0.15819313312147096</v>
      </c>
      <c r="AB84" s="208">
        <f t="shared" si="18"/>
        <v>0.15297721615929544</v>
      </c>
      <c r="AC84" s="75">
        <f t="shared" si="18"/>
        <v>0.15199569524894754</v>
      </c>
      <c r="AD84" s="208">
        <f t="shared" si="18"/>
        <v>0.15184461718152162</v>
      </c>
      <c r="AE84" s="208">
        <f t="shared" si="18"/>
        <v>0.14881842000979498</v>
      </c>
      <c r="AF84" s="208">
        <f t="shared" si="18"/>
        <v>0.14235847021265385</v>
      </c>
      <c r="AG84" s="208">
        <f t="shared" si="18"/>
        <v>0.15731884316881897</v>
      </c>
      <c r="AH84" s="208">
        <f t="shared" si="18"/>
        <v>0.17018491794475954</v>
      </c>
      <c r="AI84" s="208">
        <f t="shared" si="18"/>
        <v>0.1674856372766873</v>
      </c>
      <c r="AJ84" s="208">
        <f t="shared" si="18"/>
        <v>0.16596083790666194</v>
      </c>
      <c r="AK84" s="208">
        <f t="shared" si="18"/>
        <v>0.16616594094524664</v>
      </c>
      <c r="AL84" s="208">
        <f t="shared" si="18"/>
        <v>0.16656712828426559</v>
      </c>
      <c r="AM84" s="208">
        <f t="shared" si="18"/>
        <v>0.16448969573890723</v>
      </c>
      <c r="AN84" s="208">
        <f t="shared" si="18"/>
        <v>0.16394223057060506</v>
      </c>
      <c r="AO84" s="208">
        <f>AO76/AO65</f>
        <v>0.16292964216754266</v>
      </c>
      <c r="AP84" s="208">
        <f t="shared" ref="AP84:AQ84" si="19">AP76/AP65</f>
        <v>0.16413827560578217</v>
      </c>
      <c r="AQ84" s="208">
        <f t="shared" si="19"/>
        <v>0.16325568465267543</v>
      </c>
    </row>
    <row r="85" spans="2:43" outlineLevel="1">
      <c r="B85" s="172"/>
      <c r="C85" s="172"/>
      <c r="D85" s="172"/>
      <c r="E85" s="167"/>
      <c r="F85" s="167"/>
      <c r="G85" s="167"/>
      <c r="H85" s="167"/>
      <c r="I85" s="167"/>
      <c r="J85" s="167"/>
      <c r="K85" s="167"/>
      <c r="L85" s="167"/>
      <c r="M85" s="167"/>
      <c r="N85" s="167"/>
      <c r="O85" s="197"/>
      <c r="P85" s="198"/>
      <c r="Q85" s="199"/>
      <c r="R85" s="198"/>
      <c r="S85" s="198"/>
      <c r="T85" s="198"/>
      <c r="U85" s="198"/>
      <c r="V85" s="198"/>
      <c r="W85" s="198"/>
      <c r="X85" s="200"/>
      <c r="Y85" s="200"/>
      <c r="Z85" s="200"/>
      <c r="AA85" s="200"/>
      <c r="AB85" s="200"/>
      <c r="AC85" s="200"/>
      <c r="AD85" s="200"/>
      <c r="AE85" s="200"/>
      <c r="AF85" s="200"/>
      <c r="AG85" s="200"/>
      <c r="AH85" s="200"/>
      <c r="AI85" s="200"/>
      <c r="AJ85" s="200"/>
      <c r="AK85" s="200"/>
      <c r="AL85" s="200"/>
      <c r="AM85" s="200"/>
      <c r="AN85" s="200"/>
      <c r="AO85" s="200"/>
      <c r="AP85" s="200"/>
      <c r="AQ85" s="200"/>
    </row>
    <row r="86" spans="2:43" ht="15" outlineLevel="1">
      <c r="B86" s="165"/>
      <c r="C86" s="165"/>
      <c r="D86" s="165"/>
      <c r="E86" s="167"/>
      <c r="F86" s="167"/>
      <c r="G86" s="167"/>
      <c r="H86" s="167"/>
      <c r="I86" s="167"/>
      <c r="J86" s="167"/>
      <c r="K86" s="167"/>
      <c r="L86" s="167"/>
      <c r="M86" s="167"/>
      <c r="N86" s="167"/>
      <c r="O86" s="197"/>
      <c r="P86" s="198"/>
      <c r="Q86" s="199"/>
      <c r="R86" s="198"/>
      <c r="S86" s="198"/>
      <c r="T86" s="198"/>
      <c r="U86" s="198"/>
      <c r="V86" s="198"/>
      <c r="W86" s="198"/>
      <c r="X86" s="75"/>
      <c r="Y86" s="75"/>
      <c r="Z86" s="75"/>
      <c r="AA86" s="75"/>
      <c r="AB86" s="75"/>
      <c r="AC86" s="75"/>
      <c r="AD86" s="75"/>
      <c r="AE86" s="75"/>
      <c r="AF86" s="75"/>
      <c r="AG86" s="191"/>
      <c r="AH86" s="191"/>
      <c r="AI86" s="191"/>
      <c r="AJ86" s="191"/>
      <c r="AK86" s="191"/>
      <c r="AL86" s="191"/>
      <c r="AM86" s="1385"/>
      <c r="AN86" s="1385"/>
      <c r="AO86" s="1385"/>
      <c r="AP86" s="545"/>
    </row>
    <row r="87" spans="2:43" ht="15"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551"/>
      <c r="AF87" s="551"/>
      <c r="AG87" s="191"/>
      <c r="AH87" s="191"/>
      <c r="AI87" s="191"/>
      <c r="AJ87" s="191"/>
      <c r="AK87" s="191"/>
      <c r="AL87" s="191"/>
      <c r="AM87" s="1385"/>
      <c r="AN87" s="1385"/>
      <c r="AO87" s="1385"/>
    </row>
    <row r="88" spans="2:43" outlineLevel="1">
      <c r="B88" s="943"/>
      <c r="C88" s="167"/>
      <c r="D88" s="167"/>
      <c r="E88" s="167"/>
      <c r="F88" s="167"/>
      <c r="G88" s="167"/>
      <c r="H88" s="167"/>
      <c r="I88" s="167"/>
      <c r="J88" s="167"/>
      <c r="K88" s="167"/>
      <c r="L88" s="167"/>
      <c r="M88" s="167"/>
      <c r="N88" s="167"/>
      <c r="O88" s="197"/>
      <c r="P88" s="198"/>
      <c r="Q88" s="199"/>
      <c r="R88" s="198"/>
      <c r="S88" s="198"/>
      <c r="T88" s="198"/>
      <c r="U88" s="198"/>
      <c r="V88" s="198"/>
      <c r="W88" s="198"/>
      <c r="X88" s="196"/>
      <c r="Y88" s="196"/>
      <c r="Z88" s="196"/>
      <c r="AA88" s="196"/>
      <c r="AB88" s="196"/>
      <c r="AC88" s="196"/>
      <c r="AD88" s="196"/>
      <c r="AE88" s="196"/>
      <c r="AF88" s="196"/>
      <c r="AG88" s="191"/>
      <c r="AH88" s="191"/>
      <c r="AI88" s="191"/>
      <c r="AJ88" s="191"/>
      <c r="AK88" s="191"/>
      <c r="AL88" s="191"/>
      <c r="AM88" s="191"/>
      <c r="AN88" s="1385"/>
      <c r="AO88" s="1385"/>
    </row>
    <row r="89" spans="2:43">
      <c r="B89" s="165"/>
      <c r="P89" s="1388"/>
      <c r="Q89" s="1388"/>
      <c r="R89" s="1388"/>
      <c r="S89" s="1388"/>
      <c r="T89" s="1388"/>
      <c r="U89" s="1388"/>
      <c r="V89" s="1388"/>
      <c r="W89" s="1389"/>
      <c r="X89" s="1393"/>
      <c r="Y89" s="1393"/>
      <c r="Z89" s="1393"/>
      <c r="AA89" s="1393"/>
      <c r="AB89" s="1393"/>
      <c r="AC89" s="1393"/>
      <c r="AD89" s="1393"/>
      <c r="AE89" s="1393"/>
      <c r="AF89" s="1393"/>
      <c r="AG89" s="1393"/>
    </row>
    <row r="90" spans="2:43">
      <c r="B90" s="170" t="s">
        <v>1024</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393"/>
      <c r="AO90" s="1404"/>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1393"/>
      <c r="AO91" s="1404"/>
    </row>
    <row r="92" spans="2:43">
      <c r="B92" s="209"/>
      <c r="C92" s="209"/>
      <c r="D92" s="209"/>
      <c r="E92" s="209"/>
      <c r="F92" s="209"/>
      <c r="G92" s="209"/>
      <c r="H92" s="209"/>
      <c r="I92" s="209"/>
      <c r="J92" s="209"/>
      <c r="K92" s="209"/>
      <c r="L92" s="209"/>
      <c r="M92" s="209"/>
      <c r="N92" s="209"/>
      <c r="O92" s="210"/>
      <c r="P92" s="198"/>
      <c r="Q92" s="198"/>
      <c r="R92" s="198"/>
      <c r="S92" s="198"/>
      <c r="T92" s="211">
        <v>1997</v>
      </c>
      <c r="U92" s="198"/>
      <c r="V92" s="211">
        <v>1999</v>
      </c>
      <c r="W92" s="198"/>
      <c r="X92" s="211">
        <v>2001</v>
      </c>
      <c r="Y92" s="196"/>
      <c r="Z92" s="211">
        <v>2003</v>
      </c>
      <c r="AA92" s="196"/>
      <c r="AB92" s="211">
        <v>2005</v>
      </c>
      <c r="AC92" s="196"/>
      <c r="AD92" s="211">
        <v>2007</v>
      </c>
      <c r="AE92" s="196"/>
      <c r="AF92" s="211">
        <v>2009</v>
      </c>
      <c r="AG92" s="259">
        <v>2010</v>
      </c>
      <c r="AH92" s="259">
        <v>2011</v>
      </c>
      <c r="AI92" s="259">
        <v>2012</v>
      </c>
      <c r="AJ92" s="259">
        <v>2013</v>
      </c>
      <c r="AK92" s="259">
        <v>2014</v>
      </c>
      <c r="AL92" s="259">
        <v>2015</v>
      </c>
      <c r="AM92" s="259">
        <v>2016</v>
      </c>
      <c r="AN92" s="259">
        <v>2017</v>
      </c>
      <c r="AO92" s="259">
        <v>2018</v>
      </c>
      <c r="AP92" s="259">
        <v>2019</v>
      </c>
      <c r="AQ92" s="259">
        <v>2020</v>
      </c>
    </row>
    <row r="93" spans="2:43">
      <c r="P93" s="1388"/>
      <c r="Q93" s="1388"/>
      <c r="R93" s="1388"/>
      <c r="S93" s="1388"/>
      <c r="T93" s="1388"/>
      <c r="U93" s="1388"/>
      <c r="V93" s="1389"/>
      <c r="W93" s="1389"/>
      <c r="X93" s="1393"/>
      <c r="Y93" s="1393"/>
      <c r="Z93" s="1393"/>
      <c r="AA93" s="1393"/>
      <c r="AB93" s="1393"/>
      <c r="AC93" s="1393"/>
      <c r="AD93" s="1393"/>
      <c r="AE93" s="1393"/>
      <c r="AF93" s="1393"/>
      <c r="AG93" s="1393"/>
      <c r="AO93" s="1386"/>
      <c r="AP93" s="1386"/>
      <c r="AQ93" s="1386"/>
    </row>
    <row r="94" spans="2:43">
      <c r="B94" s="206" t="s">
        <v>49</v>
      </c>
      <c r="P94" s="1388"/>
      <c r="Q94" s="1388"/>
      <c r="R94" s="1388"/>
      <c r="S94" s="1388"/>
      <c r="T94" s="1405" t="e">
        <v>#REF!</v>
      </c>
      <c r="U94" s="1406"/>
      <c r="V94" s="1405">
        <v>1220.0125738842976</v>
      </c>
      <c r="W94" s="1407"/>
      <c r="X94" s="1405">
        <v>793</v>
      </c>
      <c r="Y94" s="1405"/>
      <c r="Z94" s="1405">
        <v>4010</v>
      </c>
      <c r="AA94" s="1405"/>
      <c r="AB94" s="1405">
        <v>4400</v>
      </c>
      <c r="AC94" s="1405"/>
      <c r="AD94" s="1405">
        <v>4700</v>
      </c>
      <c r="AE94" s="1405"/>
      <c r="AF94" s="1405">
        <v>0</v>
      </c>
      <c r="AG94" s="1405">
        <v>5400</v>
      </c>
      <c r="AH94" s="1405">
        <v>4500</v>
      </c>
      <c r="AI94" s="1405">
        <v>2800</v>
      </c>
      <c r="AJ94" s="1405">
        <v>2600</v>
      </c>
      <c r="AK94" s="1405">
        <v>2550</v>
      </c>
      <c r="AL94" s="1405">
        <v>2500</v>
      </c>
      <c r="AM94" s="1422">
        <f>AM103+AM108</f>
        <v>2565.5225409836066</v>
      </c>
      <c r="AN94" s="1422">
        <f>AN103+AN108</f>
        <v>2498.5143442622953</v>
      </c>
      <c r="AO94" s="1422">
        <f>AO103+AO108</f>
        <v>2109.9897540983607</v>
      </c>
      <c r="AP94" s="1422">
        <f>AP103+AP108</f>
        <v>1740.2151639344263</v>
      </c>
      <c r="AQ94" s="1408" t="s">
        <v>237</v>
      </c>
    </row>
    <row r="95" spans="2:43">
      <c r="P95" s="1388"/>
      <c r="Q95" s="1388"/>
      <c r="R95" s="1388"/>
      <c r="S95" s="1388"/>
      <c r="T95" s="1406"/>
      <c r="U95" s="1406"/>
      <c r="V95" s="1407"/>
      <c r="W95" s="1407"/>
      <c r="X95" s="1392"/>
      <c r="Y95" s="1392"/>
      <c r="AM95" s="1392"/>
      <c r="AN95" s="1392"/>
      <c r="AO95" s="1392"/>
      <c r="AP95" s="1392"/>
      <c r="AQ95" s="1392"/>
    </row>
    <row r="96" spans="2:43">
      <c r="B96" s="1409" t="s">
        <v>375</v>
      </c>
      <c r="P96" s="1388"/>
      <c r="Q96" s="1388"/>
      <c r="R96" s="1388"/>
      <c r="S96" s="1388"/>
      <c r="T96" s="1406"/>
      <c r="U96" s="1406"/>
      <c r="V96" s="1406"/>
      <c r="W96" s="1406"/>
      <c r="X96" s="1392"/>
      <c r="Y96" s="1392"/>
      <c r="Z96" s="1392"/>
      <c r="AA96" s="1392"/>
      <c r="AB96" s="1392"/>
      <c r="AC96" s="1392"/>
      <c r="AD96" s="1392"/>
      <c r="AE96" s="1392"/>
      <c r="AF96" s="1392"/>
      <c r="AG96" s="1392"/>
      <c r="AH96" s="1390"/>
      <c r="AI96" s="1390"/>
      <c r="AJ96" s="1390"/>
      <c r="AK96" s="1390"/>
      <c r="AL96" s="1390"/>
      <c r="AM96" s="1390"/>
      <c r="AN96" s="1390"/>
      <c r="AO96" s="1404"/>
      <c r="AP96" s="1404"/>
      <c r="AQ96" s="1404"/>
    </row>
    <row r="97" spans="3:45">
      <c r="C97" s="1410" t="s">
        <v>1025</v>
      </c>
      <c r="D97" s="1410"/>
      <c r="E97" s="1410"/>
      <c r="F97" s="1410"/>
      <c r="G97" s="1410"/>
      <c r="H97" s="1410"/>
      <c r="I97" s="1410"/>
      <c r="J97" s="1410"/>
      <c r="K97" s="1410"/>
      <c r="L97" s="1410"/>
      <c r="M97" s="1410"/>
      <c r="N97" s="1410"/>
      <c r="O97" s="1410"/>
      <c r="P97" s="1411"/>
      <c r="Q97" s="1411"/>
      <c r="R97" s="1411"/>
      <c r="S97" s="1411"/>
      <c r="T97" s="1412"/>
      <c r="U97" s="1412"/>
      <c r="V97" s="1412">
        <v>120.01257388429751</v>
      </c>
      <c r="W97" s="1412"/>
      <c r="X97" s="1408">
        <v>758</v>
      </c>
      <c r="Y97" s="1408" t="e">
        <v>#REF!</v>
      </c>
      <c r="Z97" s="1408" t="s">
        <v>269</v>
      </c>
      <c r="AA97" s="1408"/>
      <c r="AB97" s="1408" t="s">
        <v>269</v>
      </c>
      <c r="AC97" s="1408"/>
      <c r="AD97" s="1408"/>
      <c r="AE97" s="1408"/>
      <c r="AF97" s="1408"/>
      <c r="AG97" s="1408"/>
      <c r="AH97" s="1408"/>
      <c r="AI97" s="1408"/>
      <c r="AJ97" s="1408"/>
      <c r="AK97" s="1408"/>
      <c r="AL97" s="1408"/>
      <c r="AM97" s="1408"/>
      <c r="AN97" s="1390"/>
      <c r="AO97" s="1404"/>
      <c r="AP97" s="1404"/>
      <c r="AQ97" s="1404"/>
      <c r="AR97" s="1385" t="s">
        <v>1026</v>
      </c>
    </row>
    <row r="98" spans="3:45">
      <c r="C98" s="1413" t="s">
        <v>1027</v>
      </c>
      <c r="P98" s="1388"/>
      <c r="Q98" s="1388"/>
      <c r="R98" s="1388"/>
      <c r="S98" s="1388"/>
      <c r="T98" s="1406"/>
      <c r="U98" s="1406"/>
      <c r="V98" s="1406">
        <v>120.01257388429751</v>
      </c>
      <c r="W98" s="1406">
        <v>546.59192066115702</v>
      </c>
      <c r="X98" s="1392">
        <v>758</v>
      </c>
      <c r="Y98" s="1392" t="e">
        <v>#REF!</v>
      </c>
      <c r="Z98" s="1392"/>
      <c r="AA98" s="1392"/>
      <c r="AB98" s="1392"/>
      <c r="AC98" s="1392"/>
      <c r="AD98" s="1392"/>
      <c r="AE98" s="1392"/>
      <c r="AF98" s="1392"/>
      <c r="AG98" s="1392"/>
      <c r="AH98" s="1392"/>
      <c r="AI98" s="1392"/>
      <c r="AJ98" s="1392"/>
      <c r="AK98" s="1392"/>
      <c r="AL98" s="1392"/>
      <c r="AM98" s="1392"/>
      <c r="AN98" s="1392"/>
      <c r="AO98" s="1414"/>
      <c r="AP98" s="1414"/>
      <c r="AQ98" s="1414"/>
      <c r="AR98" s="1385" t="s">
        <v>1027</v>
      </c>
      <c r="AS98" s="1415">
        <f>X98/X$100</f>
        <v>0.13781818181818181</v>
      </c>
    </row>
    <row r="99" spans="3:45">
      <c r="C99" s="1416" t="s">
        <v>1028</v>
      </c>
      <c r="D99" s="1410"/>
      <c r="E99" s="1410"/>
      <c r="F99" s="1410"/>
      <c r="G99" s="1410"/>
      <c r="H99" s="1410"/>
      <c r="I99" s="1410"/>
      <c r="J99" s="1410"/>
      <c r="K99" s="1410"/>
      <c r="L99" s="1410"/>
      <c r="M99" s="1410"/>
      <c r="N99" s="1410"/>
      <c r="O99" s="1410"/>
      <c r="P99" s="1411"/>
      <c r="Q99" s="1411"/>
      <c r="R99" s="1411"/>
      <c r="S99" s="1411"/>
      <c r="T99" s="1412"/>
      <c r="U99" s="1412"/>
      <c r="V99" s="1412">
        <v>870.80363636363631</v>
      </c>
      <c r="W99" s="1412">
        <v>3966.0363636363636</v>
      </c>
      <c r="X99" s="1408">
        <v>4742</v>
      </c>
      <c r="Y99" s="1408" t="e">
        <v>#REF!</v>
      </c>
      <c r="Z99" s="1408"/>
      <c r="AA99" s="1408"/>
      <c r="AB99" s="1408"/>
      <c r="AC99" s="1408"/>
      <c r="AD99" s="1408"/>
      <c r="AE99" s="1408"/>
      <c r="AF99" s="1408"/>
      <c r="AG99" s="1408"/>
      <c r="AH99" s="1408"/>
      <c r="AI99" s="1408"/>
      <c r="AJ99" s="1408"/>
      <c r="AK99" s="1408"/>
      <c r="AL99" s="1408"/>
      <c r="AM99" s="1408"/>
      <c r="AN99" s="1390"/>
      <c r="AO99" s="1414"/>
      <c r="AP99" s="1414"/>
      <c r="AQ99" s="1414"/>
      <c r="AR99" s="1401" t="s">
        <v>1028</v>
      </c>
      <c r="AS99" s="1417">
        <f>X99/X$100</f>
        <v>0.86218181818181816</v>
      </c>
    </row>
    <row r="100" spans="3:45">
      <c r="C100" s="1413" t="s">
        <v>1029</v>
      </c>
      <c r="P100" s="1388"/>
      <c r="Q100" s="1388"/>
      <c r="R100" s="1388"/>
      <c r="S100" s="1388"/>
      <c r="T100" s="1406"/>
      <c r="U100" s="1406"/>
      <c r="V100" s="1406">
        <v>1010</v>
      </c>
      <c r="W100" s="1406">
        <v>4600</v>
      </c>
      <c r="X100" s="1392">
        <v>5500</v>
      </c>
      <c r="Y100" s="1392">
        <v>6300</v>
      </c>
      <c r="Z100" s="1392"/>
      <c r="AA100" s="1392"/>
      <c r="AB100" s="1392"/>
      <c r="AC100" s="1392"/>
      <c r="AD100" s="1392"/>
      <c r="AE100" s="1392"/>
      <c r="AF100" s="1392"/>
      <c r="AG100" s="1392"/>
      <c r="AH100" s="1390"/>
      <c r="AI100" s="1390"/>
      <c r="AJ100" s="1390"/>
      <c r="AK100" s="1390"/>
      <c r="AL100" s="1390"/>
      <c r="AM100" s="1390"/>
      <c r="AN100" s="1390"/>
      <c r="AO100" s="1414"/>
      <c r="AP100" s="1414"/>
      <c r="AQ100" s="1414"/>
      <c r="AR100" s="1385" t="s">
        <v>1029</v>
      </c>
      <c r="AS100" s="1415">
        <f>AS98+AS99</f>
        <v>1</v>
      </c>
    </row>
    <row r="101" spans="3:45">
      <c r="C101" s="1386"/>
      <c r="P101" s="1388"/>
      <c r="Q101" s="1388"/>
      <c r="R101" s="1388"/>
      <c r="S101" s="1388"/>
      <c r="T101" s="1406"/>
      <c r="U101" s="1406"/>
      <c r="V101" s="1406"/>
      <c r="W101" s="1406"/>
      <c r="X101" s="1392"/>
      <c r="Y101" s="1392"/>
      <c r="Z101" s="1418"/>
      <c r="AA101" s="1392"/>
      <c r="AB101" s="1418"/>
      <c r="AC101" s="1392"/>
      <c r="AD101" s="1418"/>
      <c r="AE101" s="1392"/>
      <c r="AF101" s="1418"/>
      <c r="AG101" s="1392"/>
      <c r="AH101" s="1390"/>
      <c r="AI101" s="1390"/>
      <c r="AJ101" s="1390"/>
      <c r="AK101" s="1390"/>
      <c r="AL101" s="1390"/>
      <c r="AM101" s="1390"/>
      <c r="AN101" s="1390"/>
      <c r="AO101" s="1404"/>
      <c r="AP101" s="1404"/>
      <c r="AQ101" s="1404"/>
    </row>
    <row r="102" spans="3:45">
      <c r="C102" s="1419" t="s">
        <v>1030</v>
      </c>
      <c r="D102" s="1410"/>
      <c r="E102" s="1410"/>
      <c r="F102" s="1410"/>
      <c r="G102" s="1410"/>
      <c r="H102" s="1410"/>
      <c r="I102" s="1410"/>
      <c r="J102" s="1410"/>
      <c r="K102" s="1410"/>
      <c r="L102" s="1410"/>
      <c r="M102" s="1410"/>
      <c r="N102" s="1410"/>
      <c r="O102" s="1410"/>
      <c r="P102" s="1411"/>
      <c r="Q102" s="1411"/>
      <c r="R102" s="1411"/>
      <c r="S102" s="1411"/>
      <c r="T102" s="1412"/>
      <c r="U102" s="1412"/>
      <c r="V102" s="1412"/>
      <c r="W102" s="1412"/>
      <c r="X102" s="1408"/>
      <c r="Y102" s="1408"/>
      <c r="Z102" s="1408">
        <v>1200</v>
      </c>
      <c r="AA102" s="1408"/>
      <c r="AB102" s="1408">
        <v>1000</v>
      </c>
      <c r="AC102" s="1408"/>
      <c r="AD102" s="1408">
        <v>1200</v>
      </c>
      <c r="AE102" s="1408"/>
      <c r="AF102" s="1408">
        <v>0</v>
      </c>
      <c r="AG102" s="1408">
        <v>1500</v>
      </c>
      <c r="AH102" s="1408">
        <v>1100</v>
      </c>
      <c r="AI102" s="1390">
        <v>600</v>
      </c>
      <c r="AJ102" s="1390">
        <v>550</v>
      </c>
      <c r="AK102" s="1390">
        <v>600</v>
      </c>
      <c r="AL102" s="1390">
        <v>600</v>
      </c>
      <c r="AM102" s="1422">
        <f>AM103</f>
        <v>531.14754098360652</v>
      </c>
      <c r="AN102" s="1422">
        <f t="shared" ref="AN102:AP102" si="20">AN103</f>
        <v>501.63934426229508</v>
      </c>
      <c r="AO102" s="1422">
        <f t="shared" si="20"/>
        <v>413.11475409836072</v>
      </c>
      <c r="AP102" s="1422">
        <f t="shared" si="20"/>
        <v>324.59016393442624</v>
      </c>
      <c r="AQ102" s="1408" t="s">
        <v>237</v>
      </c>
    </row>
    <row r="103" spans="3:45">
      <c r="C103" s="1420" t="s">
        <v>1027</v>
      </c>
      <c r="P103" s="1388"/>
      <c r="Q103" s="1388"/>
      <c r="R103" s="1388"/>
      <c r="S103" s="1388"/>
      <c r="T103" s="1406"/>
      <c r="U103" s="1406"/>
      <c r="V103" s="1406"/>
      <c r="W103" s="1406"/>
      <c r="X103" s="1392"/>
      <c r="Y103" s="1392"/>
      <c r="Z103" s="1390">
        <v>1200</v>
      </c>
      <c r="AA103" s="1392"/>
      <c r="AB103" s="1390">
        <v>1000</v>
      </c>
      <c r="AC103" s="1392"/>
      <c r="AD103" s="1390">
        <v>1200</v>
      </c>
      <c r="AE103" s="1392"/>
      <c r="AF103" s="1390">
        <v>0</v>
      </c>
      <c r="AG103" s="1390">
        <v>1500</v>
      </c>
      <c r="AH103" s="1390">
        <v>1100</v>
      </c>
      <c r="AI103" s="1390">
        <v>600</v>
      </c>
      <c r="AJ103" s="1390">
        <v>550</v>
      </c>
      <c r="AK103" s="1390">
        <v>600</v>
      </c>
      <c r="AL103" s="1390">
        <v>600</v>
      </c>
      <c r="AM103" s="1422">
        <f>AL103*AM105/AL105</f>
        <v>531.14754098360652</v>
      </c>
      <c r="AN103" s="1422">
        <f t="shared" ref="AN103:AP103" si="21">AM103*AN105/AM105</f>
        <v>501.63934426229508</v>
      </c>
      <c r="AO103" s="1422">
        <f t="shared" si="21"/>
        <v>413.11475409836072</v>
      </c>
      <c r="AP103" s="1422">
        <f t="shared" si="21"/>
        <v>324.59016393442624</v>
      </c>
      <c r="AQ103" s="1408" t="s">
        <v>237</v>
      </c>
      <c r="AR103" s="1390"/>
      <c r="AS103" s="1390"/>
    </row>
    <row r="104" spans="3:45">
      <c r="C104" s="1421" t="s">
        <v>1028</v>
      </c>
      <c r="D104" s="1410"/>
      <c r="E104" s="1410"/>
      <c r="F104" s="1410"/>
      <c r="G104" s="1410"/>
      <c r="H104" s="1410"/>
      <c r="I104" s="1410"/>
      <c r="J104" s="1410"/>
      <c r="K104" s="1410"/>
      <c r="L104" s="1410"/>
      <c r="M104" s="1410"/>
      <c r="N104" s="1410"/>
      <c r="O104" s="1410"/>
      <c r="P104" s="1411"/>
      <c r="Q104" s="1411"/>
      <c r="R104" s="1411"/>
      <c r="S104" s="1411"/>
      <c r="T104" s="1412"/>
      <c r="U104" s="1412"/>
      <c r="V104" s="1412"/>
      <c r="W104" s="1412"/>
      <c r="X104" s="1408"/>
      <c r="Y104" s="1408"/>
      <c r="Z104" s="1422">
        <v>3500</v>
      </c>
      <c r="AA104" s="1408"/>
      <c r="AB104" s="1422">
        <v>3700</v>
      </c>
      <c r="AC104" s="1408"/>
      <c r="AD104" s="1422">
        <v>4600</v>
      </c>
      <c r="AE104" s="1408"/>
      <c r="AF104" s="1422">
        <v>0</v>
      </c>
      <c r="AG104" s="1422">
        <v>6300</v>
      </c>
      <c r="AH104" s="1422">
        <v>5800</v>
      </c>
      <c r="AI104" s="1422">
        <v>5600</v>
      </c>
      <c r="AJ104" s="1422">
        <v>5650</v>
      </c>
      <c r="AK104" s="1422">
        <v>5700</v>
      </c>
      <c r="AL104" s="1422">
        <v>5500</v>
      </c>
      <c r="AM104" s="1422">
        <f>AL104*AM105/AL105</f>
        <v>4868.8524590163934</v>
      </c>
      <c r="AN104" s="1422">
        <f t="shared" ref="AN104:AP104" si="22">AM104*AN105/AM105</f>
        <v>4598.3606557377052</v>
      </c>
      <c r="AO104" s="1422">
        <f t="shared" si="22"/>
        <v>3786.8852459016398</v>
      </c>
      <c r="AP104" s="1422">
        <f t="shared" si="22"/>
        <v>2975.4098360655739</v>
      </c>
      <c r="AQ104" s="1408" t="s">
        <v>237</v>
      </c>
      <c r="AR104" s="1422"/>
      <c r="AS104" s="1423"/>
    </row>
    <row r="105" spans="3:45">
      <c r="C105" s="1424" t="s">
        <v>1029</v>
      </c>
      <c r="P105" s="1388"/>
      <c r="Q105" s="1388"/>
      <c r="R105" s="1388"/>
      <c r="S105" s="1388"/>
      <c r="T105" s="1406"/>
      <c r="U105" s="1406"/>
      <c r="V105" s="1406"/>
      <c r="W105" s="1406"/>
      <c r="X105" s="1392"/>
      <c r="Y105" s="1392"/>
      <c r="Z105" s="1418">
        <v>4700</v>
      </c>
      <c r="AA105" s="1392"/>
      <c r="AB105" s="1418">
        <v>4800</v>
      </c>
      <c r="AC105" s="1392"/>
      <c r="AD105" s="1418">
        <v>5800</v>
      </c>
      <c r="AE105" s="1392"/>
      <c r="AF105" s="1418">
        <v>0</v>
      </c>
      <c r="AG105" s="1418">
        <v>7800</v>
      </c>
      <c r="AH105" s="1418">
        <v>6900</v>
      </c>
      <c r="AI105" s="1418">
        <v>6200</v>
      </c>
      <c r="AJ105" s="1418">
        <v>6200</v>
      </c>
      <c r="AK105" s="1418">
        <v>6300</v>
      </c>
      <c r="AL105" s="1418">
        <v>6100</v>
      </c>
      <c r="AM105" s="1418">
        <v>5400</v>
      </c>
      <c r="AN105" s="1418">
        <v>5100</v>
      </c>
      <c r="AO105" s="1390">
        <v>4200</v>
      </c>
      <c r="AP105" s="1390">
        <v>3300</v>
      </c>
      <c r="AQ105" s="1390">
        <v>3200</v>
      </c>
    </row>
    <row r="106" spans="3:45">
      <c r="C106" s="1424"/>
      <c r="P106" s="1388"/>
      <c r="Q106" s="1388"/>
      <c r="R106" s="1388"/>
      <c r="S106" s="1388"/>
      <c r="T106" s="1406"/>
      <c r="U106" s="1406"/>
      <c r="V106" s="1406"/>
      <c r="W106" s="1406"/>
      <c r="X106" s="1392"/>
      <c r="Y106" s="1392"/>
      <c r="Z106" s="1418"/>
      <c r="AA106" s="1392"/>
      <c r="AB106" s="1418"/>
      <c r="AC106" s="1392"/>
      <c r="AD106" s="1418"/>
      <c r="AE106" s="1392"/>
      <c r="AF106" s="1418"/>
      <c r="AG106" s="1418"/>
      <c r="AH106" s="1418"/>
      <c r="AI106" s="1418"/>
      <c r="AJ106" s="1418"/>
      <c r="AK106" s="1418"/>
      <c r="AL106" s="1418"/>
      <c r="AM106" s="1418"/>
      <c r="AN106" s="1418"/>
      <c r="AO106" s="1392"/>
      <c r="AP106" s="1392"/>
      <c r="AQ106" s="1392"/>
    </row>
    <row r="107" spans="3:45">
      <c r="C107" s="1419" t="s">
        <v>1031</v>
      </c>
      <c r="D107" s="1410"/>
      <c r="E107" s="1410"/>
      <c r="F107" s="1410"/>
      <c r="G107" s="1410"/>
      <c r="H107" s="1410"/>
      <c r="I107" s="1410"/>
      <c r="J107" s="1410"/>
      <c r="K107" s="1410"/>
      <c r="L107" s="1410"/>
      <c r="M107" s="1410"/>
      <c r="N107" s="1410"/>
      <c r="O107" s="1410"/>
      <c r="P107" s="1411"/>
      <c r="Q107" s="1411"/>
      <c r="R107" s="1411"/>
      <c r="S107" s="1411"/>
      <c r="T107" s="1412"/>
      <c r="U107" s="1412"/>
      <c r="V107" s="1412"/>
      <c r="W107" s="1412"/>
      <c r="X107" s="1408"/>
      <c r="Y107" s="1408"/>
      <c r="Z107" s="1408">
        <v>2800</v>
      </c>
      <c r="AA107" s="1408"/>
      <c r="AB107" s="1408">
        <v>3400</v>
      </c>
      <c r="AC107" s="1408"/>
      <c r="AD107" s="1408">
        <v>3000</v>
      </c>
      <c r="AE107" s="1408"/>
      <c r="AF107" s="1408">
        <v>0</v>
      </c>
      <c r="AG107" s="1408">
        <v>3900</v>
      </c>
      <c r="AH107" s="1408">
        <v>3400</v>
      </c>
      <c r="AI107" s="1390">
        <v>2200</v>
      </c>
      <c r="AJ107" s="1390">
        <v>2000</v>
      </c>
      <c r="AK107" s="1390">
        <v>2100</v>
      </c>
      <c r="AL107" s="1390">
        <v>2100</v>
      </c>
      <c r="AM107" s="1422">
        <f>AM108</f>
        <v>2034.375</v>
      </c>
      <c r="AN107" s="1422">
        <f t="shared" ref="AN107" si="23">AN108</f>
        <v>1996.875</v>
      </c>
      <c r="AO107" s="1422">
        <f t="shared" ref="AO107" si="24">AO108</f>
        <v>1696.875</v>
      </c>
      <c r="AP107" s="1422">
        <f t="shared" ref="AP107" si="25">AP108</f>
        <v>1415.625</v>
      </c>
      <c r="AQ107" s="1408" t="s">
        <v>237</v>
      </c>
    </row>
    <row r="108" spans="3:45">
      <c r="C108" s="1420" t="s">
        <v>1027</v>
      </c>
      <c r="P108" s="1388"/>
      <c r="Q108" s="1388"/>
      <c r="R108" s="1388"/>
      <c r="S108" s="1388"/>
      <c r="T108" s="1406"/>
      <c r="U108" s="1406"/>
      <c r="V108" s="1406"/>
      <c r="W108" s="1406"/>
      <c r="X108" s="1392"/>
      <c r="Y108" s="1392"/>
      <c r="Z108" s="1390">
        <v>2800</v>
      </c>
      <c r="AA108" s="1392"/>
      <c r="AB108" s="1390">
        <v>3400</v>
      </c>
      <c r="AC108" s="1392"/>
      <c r="AD108" s="1390">
        <v>3000</v>
      </c>
      <c r="AE108" s="1392"/>
      <c r="AF108" s="1390">
        <v>0</v>
      </c>
      <c r="AG108" s="1390">
        <v>3900</v>
      </c>
      <c r="AH108" s="1390">
        <v>3400</v>
      </c>
      <c r="AI108" s="1390">
        <v>2200</v>
      </c>
      <c r="AJ108" s="1390">
        <v>2000</v>
      </c>
      <c r="AK108" s="1390">
        <v>2100</v>
      </c>
      <c r="AL108" s="1390">
        <v>2100</v>
      </c>
      <c r="AM108" s="1422">
        <f>AL108*AM110/AL110</f>
        <v>2034.375</v>
      </c>
      <c r="AN108" s="1422">
        <f t="shared" ref="AN108:AP108" si="26">AM108*AN110/AM110</f>
        <v>1996.875</v>
      </c>
      <c r="AO108" s="1422">
        <f t="shared" si="26"/>
        <v>1696.875</v>
      </c>
      <c r="AP108" s="1422">
        <f t="shared" si="26"/>
        <v>1415.625</v>
      </c>
      <c r="AQ108" s="1408" t="s">
        <v>237</v>
      </c>
    </row>
    <row r="109" spans="3:45">
      <c r="C109" s="1421" t="s">
        <v>1028</v>
      </c>
      <c r="D109" s="1410"/>
      <c r="E109" s="1410"/>
      <c r="F109" s="1410"/>
      <c r="G109" s="1410"/>
      <c r="H109" s="1410"/>
      <c r="I109" s="1410"/>
      <c r="J109" s="1410"/>
      <c r="K109" s="1410"/>
      <c r="L109" s="1410"/>
      <c r="M109" s="1410"/>
      <c r="N109" s="1410"/>
      <c r="O109" s="1410"/>
      <c r="P109" s="1411"/>
      <c r="Q109" s="1411"/>
      <c r="R109" s="1411"/>
      <c r="S109" s="1411"/>
      <c r="T109" s="1412"/>
      <c r="U109" s="1412"/>
      <c r="V109" s="1412"/>
      <c r="W109" s="1412"/>
      <c r="X109" s="1408"/>
      <c r="Y109" s="1408"/>
      <c r="Z109" s="1422">
        <v>6000</v>
      </c>
      <c r="AA109" s="1408"/>
      <c r="AB109" s="1422">
        <v>9200</v>
      </c>
      <c r="AC109" s="1408"/>
      <c r="AD109" s="1422">
        <v>10700</v>
      </c>
      <c r="AE109" s="1408"/>
      <c r="AF109" s="1422">
        <v>0</v>
      </c>
      <c r="AG109" s="1422">
        <v>16400</v>
      </c>
      <c r="AH109" s="1422">
        <v>18700</v>
      </c>
      <c r="AI109" s="1422">
        <v>20200</v>
      </c>
      <c r="AJ109" s="1422">
        <v>20500</v>
      </c>
      <c r="AK109" s="1422">
        <v>20800</v>
      </c>
      <c r="AL109" s="1422">
        <v>20300</v>
      </c>
      <c r="AM109" s="1422">
        <f>AL109*AM110/AL110</f>
        <v>19665.625</v>
      </c>
      <c r="AN109" s="1422">
        <f t="shared" ref="AN109:AP109" si="27">AM109*AN110/AM110</f>
        <v>19303.125</v>
      </c>
      <c r="AO109" s="1422">
        <f t="shared" si="27"/>
        <v>16403.125</v>
      </c>
      <c r="AP109" s="1422">
        <f t="shared" si="27"/>
        <v>13684.375</v>
      </c>
      <c r="AQ109" s="1408" t="s">
        <v>237</v>
      </c>
    </row>
    <row r="110" spans="3:45">
      <c r="C110" s="1424" t="s">
        <v>1029</v>
      </c>
      <c r="P110" s="1388"/>
      <c r="Q110" s="1388"/>
      <c r="R110" s="1388"/>
      <c r="S110" s="1388"/>
      <c r="T110" s="1406"/>
      <c r="U110" s="1406"/>
      <c r="V110" s="1406"/>
      <c r="W110" s="1406"/>
      <c r="X110" s="1392"/>
      <c r="Y110" s="1392"/>
      <c r="Z110" s="1418">
        <v>8800</v>
      </c>
      <c r="AA110" s="1392"/>
      <c r="AB110" s="1418">
        <v>12600</v>
      </c>
      <c r="AC110" s="1392"/>
      <c r="AD110" s="1418">
        <v>13700</v>
      </c>
      <c r="AE110" s="1392"/>
      <c r="AF110" s="1418">
        <v>0</v>
      </c>
      <c r="AG110" s="1418">
        <v>20300</v>
      </c>
      <c r="AH110" s="1418">
        <v>22000</v>
      </c>
      <c r="AI110" s="1418">
        <v>22400</v>
      </c>
      <c r="AJ110" s="1418">
        <v>22500</v>
      </c>
      <c r="AK110" s="1418">
        <v>22900</v>
      </c>
      <c r="AL110" s="1418">
        <v>22400</v>
      </c>
      <c r="AM110" s="1418">
        <v>21700</v>
      </c>
      <c r="AN110" s="1418">
        <v>21300</v>
      </c>
      <c r="AO110" s="1392">
        <v>18100</v>
      </c>
      <c r="AP110" s="1392">
        <v>15100</v>
      </c>
      <c r="AQ110" s="1392">
        <v>11900</v>
      </c>
    </row>
    <row r="111" spans="3:45">
      <c r="C111" s="1424"/>
      <c r="P111" s="1388"/>
      <c r="Q111" s="1388"/>
      <c r="R111" s="1388"/>
      <c r="S111" s="1388"/>
      <c r="T111" s="1406"/>
      <c r="U111" s="1406"/>
      <c r="V111" s="1406"/>
      <c r="W111" s="1406"/>
      <c r="X111" s="1392"/>
      <c r="Y111" s="1392"/>
      <c r="Z111" s="1418"/>
      <c r="AA111" s="1392"/>
      <c r="AB111" s="1418"/>
      <c r="AC111" s="1392"/>
      <c r="AD111" s="1418"/>
      <c r="AE111" s="1392"/>
      <c r="AF111" s="1418"/>
      <c r="AG111" s="1392"/>
      <c r="AH111" s="1392"/>
      <c r="AI111" s="1392"/>
      <c r="AJ111" s="1392"/>
      <c r="AK111" s="1392"/>
      <c r="AL111" s="1392"/>
      <c r="AM111" s="1392"/>
      <c r="AN111" s="1392"/>
      <c r="AO111" s="1392"/>
      <c r="AP111" s="1392"/>
      <c r="AQ111" s="1392"/>
      <c r="AR111" s="1392"/>
    </row>
    <row r="112" spans="3:45">
      <c r="C112" s="1385" t="s">
        <v>1032</v>
      </c>
      <c r="P112" s="1388"/>
      <c r="Q112" s="1388"/>
      <c r="R112" s="1388"/>
      <c r="S112" s="1388"/>
      <c r="T112" s="1406"/>
      <c r="U112" s="1406"/>
      <c r="V112" s="1406">
        <v>150</v>
      </c>
      <c r="W112" s="1406"/>
      <c r="X112" s="1392" t="s">
        <v>237</v>
      </c>
      <c r="Y112" s="1392"/>
      <c r="Z112" s="1392" t="s">
        <v>237</v>
      </c>
      <c r="AA112" s="1392"/>
      <c r="AB112" s="1392" t="s">
        <v>237</v>
      </c>
      <c r="AC112" s="1392"/>
      <c r="AD112" s="1392" t="s">
        <v>237</v>
      </c>
      <c r="AE112" s="1392"/>
      <c r="AF112" s="1392" t="s">
        <v>237</v>
      </c>
      <c r="AG112" s="1392" t="s">
        <v>237</v>
      </c>
      <c r="AH112" s="1392" t="s">
        <v>237</v>
      </c>
      <c r="AI112" s="1392" t="s">
        <v>237</v>
      </c>
      <c r="AJ112" s="1392" t="s">
        <v>237</v>
      </c>
      <c r="AK112" s="1392"/>
      <c r="AL112" s="1392"/>
      <c r="AM112" s="1392"/>
      <c r="AN112" s="1392"/>
      <c r="AO112" s="1392"/>
    </row>
    <row r="113" spans="1:43">
      <c r="P113" s="1388"/>
      <c r="Q113" s="1388"/>
      <c r="R113" s="1388"/>
      <c r="S113" s="1388"/>
      <c r="T113" s="1406"/>
      <c r="U113" s="1406"/>
      <c r="V113" s="1406"/>
      <c r="W113" s="1406"/>
      <c r="X113" s="1392"/>
      <c r="Y113" s="1392"/>
      <c r="Z113" s="1392"/>
      <c r="AA113" s="1392"/>
      <c r="AB113" s="1392"/>
      <c r="AC113" s="1392"/>
      <c r="AD113" s="1392"/>
      <c r="AE113" s="1392"/>
      <c r="AF113" s="1392"/>
      <c r="AG113" s="1392"/>
      <c r="AH113" s="1392"/>
      <c r="AI113" s="1392"/>
      <c r="AJ113" s="1392"/>
      <c r="AK113" s="1392"/>
      <c r="AL113" s="1392"/>
      <c r="AM113" s="1392"/>
      <c r="AN113" s="1392"/>
    </row>
    <row r="114" spans="1:43">
      <c r="A114" s="1385" t="s">
        <v>975</v>
      </c>
      <c r="B114" s="1409" t="s">
        <v>1033</v>
      </c>
      <c r="P114" s="1388"/>
      <c r="Q114" s="1388"/>
      <c r="R114" s="1388"/>
      <c r="S114" s="1388"/>
      <c r="T114" s="1406"/>
      <c r="U114" s="1406"/>
      <c r="V114" s="1406"/>
      <c r="W114" s="1406"/>
      <c r="X114" s="1392"/>
      <c r="Y114" s="1392"/>
      <c r="Z114" s="1392"/>
      <c r="AA114" s="1392"/>
      <c r="AB114" s="1392"/>
      <c r="AC114" s="1392"/>
      <c r="AD114" s="1392"/>
      <c r="AE114" s="1392"/>
      <c r="AF114" s="1392"/>
      <c r="AG114" s="1392"/>
      <c r="AH114" s="1392"/>
      <c r="AI114" s="1392"/>
      <c r="AJ114" s="1392"/>
      <c r="AK114" s="1392"/>
      <c r="AL114" s="1392"/>
      <c r="AM114" s="1392"/>
      <c r="AN114" s="1392"/>
      <c r="AO114" s="1392"/>
      <c r="AP114" s="1392"/>
      <c r="AQ114" s="1392"/>
    </row>
    <row r="115" spans="1:43">
      <c r="C115" s="1385" t="s">
        <v>1034</v>
      </c>
      <c r="P115" s="1388"/>
      <c r="Q115" s="1388"/>
      <c r="R115" s="1388"/>
      <c r="S115" s="1388"/>
      <c r="T115" s="1406"/>
      <c r="U115" s="1406"/>
      <c r="V115" s="1406">
        <v>1100</v>
      </c>
      <c r="W115" s="1406"/>
      <c r="X115" s="1392" t="s">
        <v>237</v>
      </c>
      <c r="Y115" s="1392"/>
      <c r="Z115" s="1392" t="s">
        <v>237</v>
      </c>
      <c r="AA115" s="1392"/>
      <c r="AB115" s="1392" t="s">
        <v>237</v>
      </c>
      <c r="AC115" s="1392"/>
      <c r="AD115" s="1392" t="s">
        <v>237</v>
      </c>
      <c r="AE115" s="1392"/>
      <c r="AF115" s="1392" t="s">
        <v>237</v>
      </c>
      <c r="AG115" s="1392" t="s">
        <v>237</v>
      </c>
      <c r="AH115" s="1392" t="s">
        <v>237</v>
      </c>
      <c r="AI115" s="1392" t="s">
        <v>237</v>
      </c>
      <c r="AJ115" s="1392" t="s">
        <v>237</v>
      </c>
      <c r="AK115" s="1392" t="s">
        <v>237</v>
      </c>
      <c r="AL115" s="1392" t="s">
        <v>237</v>
      </c>
      <c r="AM115" s="1392" t="s">
        <v>237</v>
      </c>
      <c r="AN115" s="1392" t="s">
        <v>237</v>
      </c>
      <c r="AO115" s="1392" t="s">
        <v>237</v>
      </c>
      <c r="AP115" s="1392" t="s">
        <v>237</v>
      </c>
      <c r="AQ115" s="1392" t="s">
        <v>237</v>
      </c>
    </row>
    <row r="116" spans="1:43">
      <c r="C116" s="1385" t="s">
        <v>1035</v>
      </c>
      <c r="P116" s="1388"/>
      <c r="Q116" s="1388"/>
      <c r="R116" s="1388"/>
      <c r="S116" s="1388"/>
      <c r="T116" s="1406"/>
      <c r="U116" s="1406"/>
      <c r="V116" s="1406"/>
      <c r="W116" s="1406"/>
      <c r="X116" s="1392">
        <v>25</v>
      </c>
      <c r="Y116" s="1392"/>
      <c r="Z116" s="1392" t="s">
        <v>237</v>
      </c>
      <c r="AA116" s="1392"/>
      <c r="AB116" s="1392" t="s">
        <v>237</v>
      </c>
      <c r="AC116" s="1392"/>
      <c r="AD116" s="1392" t="s">
        <v>237</v>
      </c>
      <c r="AE116" s="1392"/>
      <c r="AF116" s="1392" t="s">
        <v>237</v>
      </c>
      <c r="AG116" s="1392" t="s">
        <v>237</v>
      </c>
      <c r="AH116" s="1392" t="s">
        <v>237</v>
      </c>
      <c r="AI116" s="1392" t="s">
        <v>237</v>
      </c>
      <c r="AJ116" s="1392" t="s">
        <v>237</v>
      </c>
      <c r="AK116" s="1392" t="s">
        <v>237</v>
      </c>
      <c r="AL116" s="1392" t="s">
        <v>237</v>
      </c>
      <c r="AM116" s="1392" t="s">
        <v>237</v>
      </c>
      <c r="AN116" s="1392" t="s">
        <v>237</v>
      </c>
      <c r="AO116" s="1392" t="s">
        <v>237</v>
      </c>
      <c r="AP116" s="1392" t="s">
        <v>237</v>
      </c>
      <c r="AQ116" s="1392" t="s">
        <v>237</v>
      </c>
    </row>
    <row r="117" spans="1:43">
      <c r="A117" s="311"/>
      <c r="C117" s="311" t="s">
        <v>1036</v>
      </c>
      <c r="P117" s="1388"/>
      <c r="Q117" s="1388"/>
      <c r="R117" s="1388"/>
      <c r="S117" s="1388"/>
      <c r="T117" s="1406"/>
      <c r="U117" s="1406"/>
      <c r="V117" s="1406"/>
      <c r="W117" s="1406"/>
      <c r="X117" s="1392">
        <v>10</v>
      </c>
      <c r="Y117" s="1392"/>
      <c r="Z117" s="1392">
        <v>10</v>
      </c>
      <c r="AA117" s="1392"/>
      <c r="AB117" s="1392" t="s">
        <v>237</v>
      </c>
      <c r="AC117" s="1392"/>
      <c r="AD117" s="1392" t="s">
        <v>237</v>
      </c>
      <c r="AE117" s="1392"/>
      <c r="AF117" s="1392" t="s">
        <v>237</v>
      </c>
      <c r="AG117" s="1392" t="s">
        <v>237</v>
      </c>
      <c r="AH117" s="1392" t="s">
        <v>237</v>
      </c>
      <c r="AI117" s="1392" t="s">
        <v>237</v>
      </c>
      <c r="AJ117" s="1392" t="s">
        <v>237</v>
      </c>
      <c r="AK117" s="1392" t="s">
        <v>237</v>
      </c>
      <c r="AL117" s="1392" t="s">
        <v>237</v>
      </c>
      <c r="AM117" s="1392" t="s">
        <v>237</v>
      </c>
      <c r="AN117" s="1392" t="s">
        <v>237</v>
      </c>
      <c r="AO117" s="1392" t="s">
        <v>237</v>
      </c>
      <c r="AP117" s="1392" t="s">
        <v>237</v>
      </c>
      <c r="AQ117" s="1392" t="s">
        <v>237</v>
      </c>
    </row>
    <row r="118" spans="1:43">
      <c r="A118" s="311"/>
      <c r="C118" s="311"/>
      <c r="P118" s="1388"/>
      <c r="Q118" s="1388"/>
      <c r="R118" s="1388"/>
      <c r="S118" s="1388"/>
      <c r="T118" s="1406"/>
      <c r="U118" s="1406"/>
      <c r="V118" s="1406"/>
      <c r="W118" s="1406"/>
      <c r="X118" s="1392"/>
      <c r="Y118" s="1392"/>
      <c r="Z118" s="1392"/>
      <c r="AA118" s="1392"/>
      <c r="AB118" s="1392"/>
      <c r="AC118" s="1392"/>
      <c r="AD118" s="1392"/>
      <c r="AE118" s="1392"/>
      <c r="AF118" s="1392"/>
      <c r="AG118" s="1392"/>
      <c r="AH118" s="1390"/>
      <c r="AI118" s="1390"/>
      <c r="AJ118" s="1390"/>
      <c r="AK118" s="1390"/>
      <c r="AL118" s="1390"/>
      <c r="AM118" s="1390"/>
      <c r="AN118" s="1390"/>
    </row>
    <row r="119" spans="1:43">
      <c r="T119" s="1406"/>
      <c r="U119" s="1406"/>
      <c r="V119" s="1406"/>
      <c r="W119" s="1406"/>
      <c r="X119" s="1392"/>
      <c r="Y119" s="1392"/>
      <c r="Z119" s="1392"/>
      <c r="AA119" s="1392"/>
      <c r="AB119" s="1392"/>
      <c r="AC119" s="1392"/>
      <c r="AD119" s="1392"/>
      <c r="AE119" s="1392"/>
      <c r="AF119" s="1392"/>
      <c r="AG119" s="1392"/>
      <c r="AH119" s="1390"/>
      <c r="AI119" s="1390"/>
      <c r="AJ119" s="1390"/>
      <c r="AK119" s="1390"/>
      <c r="AL119" s="1390"/>
      <c r="AM119" s="1390"/>
      <c r="AN119" s="1390"/>
    </row>
    <row r="120" spans="1:43">
      <c r="B120" s="206" t="s">
        <v>78</v>
      </c>
      <c r="T120" s="1425">
        <v>1190</v>
      </c>
      <c r="U120" s="1406"/>
      <c r="V120" s="1425">
        <v>1240</v>
      </c>
      <c r="W120" s="1406"/>
      <c r="X120" s="1405">
        <v>1170</v>
      </c>
      <c r="Y120" s="1405"/>
      <c r="Z120" s="1405">
        <v>1050</v>
      </c>
      <c r="AA120" s="1405">
        <v>0</v>
      </c>
      <c r="AB120" s="1405">
        <v>1320</v>
      </c>
      <c r="AC120" s="1405">
        <v>0</v>
      </c>
      <c r="AD120" s="1405">
        <v>1460</v>
      </c>
      <c r="AE120" s="1405">
        <v>0</v>
      </c>
      <c r="AF120" s="1405">
        <v>1540</v>
      </c>
      <c r="AG120" s="1405">
        <v>1640</v>
      </c>
      <c r="AH120" s="1405">
        <v>1680</v>
      </c>
      <c r="AI120" s="1405">
        <v>1880</v>
      </c>
      <c r="AJ120" s="1405">
        <v>1935</v>
      </c>
      <c r="AK120" s="1405">
        <v>2145</v>
      </c>
      <c r="AL120" s="1405">
        <v>2485</v>
      </c>
      <c r="AM120" s="1405">
        <v>2065</v>
      </c>
      <c r="AN120" s="1405">
        <v>2500</v>
      </c>
      <c r="AO120" s="1405">
        <v>2560</v>
      </c>
      <c r="AP120" s="1405">
        <v>2730</v>
      </c>
      <c r="AQ120" s="1405">
        <v>2630</v>
      </c>
    </row>
    <row r="121" spans="1:43">
      <c r="A121" s="1385" t="s">
        <v>975</v>
      </c>
      <c r="B121" s="206" t="s">
        <v>234</v>
      </c>
      <c r="T121" s="1406"/>
      <c r="U121" s="1406"/>
      <c r="V121" s="1406"/>
      <c r="W121" s="1406"/>
      <c r="X121" s="1392"/>
      <c r="Y121" s="1392"/>
      <c r="Z121" s="1392"/>
      <c r="AA121" s="1392"/>
      <c r="AB121" s="1392"/>
      <c r="AC121" s="1392"/>
      <c r="AD121" s="1392"/>
      <c r="AE121" s="1392"/>
      <c r="AF121" s="1392"/>
      <c r="AG121" s="1392"/>
      <c r="AH121" s="1390"/>
      <c r="AI121" s="1390"/>
      <c r="AJ121" s="1390"/>
      <c r="AK121" s="1390"/>
      <c r="AL121" s="1390"/>
      <c r="AM121" s="1390"/>
      <c r="AN121" s="1390"/>
    </row>
    <row r="122" spans="1:43">
      <c r="B122" s="1385" t="s">
        <v>476</v>
      </c>
      <c r="P122" s="1388"/>
      <c r="Q122" s="1388"/>
      <c r="R122" s="1388"/>
      <c r="S122" s="1388"/>
      <c r="T122" s="1406"/>
      <c r="U122" s="1406"/>
      <c r="V122" s="1407"/>
      <c r="W122" s="1407"/>
      <c r="X122" s="1392"/>
      <c r="Y122" s="1392"/>
      <c r="Z122" s="1392"/>
      <c r="AA122" s="1392"/>
      <c r="AB122" s="1392"/>
      <c r="AC122" s="1392"/>
      <c r="AD122" s="1392"/>
      <c r="AE122" s="1392"/>
      <c r="AF122" s="1392"/>
      <c r="AG122" s="1392"/>
      <c r="AH122" s="1390"/>
      <c r="AI122" s="1390"/>
      <c r="AJ122" s="1390"/>
      <c r="AK122" s="1390"/>
      <c r="AL122" s="1390"/>
      <c r="AM122" s="1390"/>
      <c r="AN122" s="1390"/>
    </row>
    <row r="123" spans="1:43">
      <c r="C123" s="1385" t="s">
        <v>1037</v>
      </c>
      <c r="P123" s="1388"/>
      <c r="Q123" s="1388"/>
      <c r="R123" s="1388"/>
      <c r="S123" s="1388"/>
      <c r="T123" s="1406"/>
      <c r="U123" s="1406"/>
      <c r="V123" s="1407">
        <v>0</v>
      </c>
      <c r="W123" s="1407"/>
      <c r="X123" s="1392"/>
      <c r="Y123" s="1392"/>
      <c r="Z123" s="1392"/>
      <c r="AA123" s="1392"/>
      <c r="AB123" s="1392"/>
      <c r="AC123" s="1392"/>
      <c r="AD123" s="1392"/>
      <c r="AE123" s="1392"/>
      <c r="AF123" s="1392"/>
      <c r="AG123" s="1392"/>
      <c r="AH123" s="1390"/>
      <c r="AI123" s="1390"/>
      <c r="AJ123" s="1390"/>
      <c r="AK123" s="1390"/>
      <c r="AL123" s="1390"/>
      <c r="AM123" s="1390"/>
      <c r="AN123" s="1390"/>
    </row>
    <row r="124" spans="1:43">
      <c r="B124" s="1385" t="s">
        <v>1038</v>
      </c>
      <c r="P124" s="1388"/>
      <c r="Q124" s="1388"/>
      <c r="R124" s="1388"/>
      <c r="S124" s="1388"/>
      <c r="T124" s="1406"/>
      <c r="U124" s="1406"/>
      <c r="V124" s="1406"/>
      <c r="W124" s="1406"/>
      <c r="X124" s="1392"/>
      <c r="Y124" s="1392"/>
      <c r="Z124" s="1392"/>
      <c r="AA124" s="1392"/>
      <c r="AB124" s="1392"/>
      <c r="AC124" s="1392"/>
      <c r="AD124" s="1392"/>
      <c r="AE124" s="1392"/>
      <c r="AF124" s="1392"/>
      <c r="AG124" s="1392"/>
      <c r="AH124" s="1390"/>
      <c r="AI124" s="1390"/>
      <c r="AJ124" s="1390"/>
      <c r="AK124" s="1390"/>
      <c r="AL124" s="1390"/>
      <c r="AM124" s="1390"/>
      <c r="AN124" s="1390"/>
    </row>
    <row r="125" spans="1:43">
      <c r="C125" s="1385" t="s">
        <v>1593</v>
      </c>
      <c r="P125" s="1388"/>
      <c r="Q125" s="1388"/>
      <c r="R125" s="1388"/>
      <c r="S125" s="1388"/>
      <c r="T125" s="1406"/>
      <c r="U125" s="1406"/>
      <c r="V125" s="1406"/>
      <c r="W125" s="1406"/>
      <c r="X125" s="1392"/>
      <c r="Y125" s="1392"/>
      <c r="Z125" s="1392"/>
      <c r="AA125" s="1392"/>
      <c r="AB125" s="1392"/>
      <c r="AC125" s="1392"/>
      <c r="AD125" s="1392"/>
      <c r="AE125" s="1392"/>
      <c r="AF125" s="1392"/>
      <c r="AG125" s="1392"/>
      <c r="AH125" s="1390"/>
      <c r="AI125" s="1390"/>
      <c r="AJ125" s="1390"/>
      <c r="AK125" s="1390"/>
      <c r="AL125" s="1390"/>
      <c r="AM125" s="1390"/>
      <c r="AN125" s="1390"/>
    </row>
    <row r="126" spans="1:43">
      <c r="C126" s="1385" t="s">
        <v>1594</v>
      </c>
      <c r="P126" s="1388"/>
      <c r="Q126" s="1388"/>
      <c r="R126" s="1388"/>
      <c r="S126" s="1388"/>
      <c r="T126" s="1406"/>
      <c r="U126" s="1406"/>
      <c r="V126" s="1406"/>
      <c r="W126" s="1406"/>
      <c r="X126" s="1392"/>
      <c r="Y126" s="1392"/>
      <c r="Z126" s="1392"/>
      <c r="AA126" s="1392"/>
      <c r="AB126" s="1392"/>
      <c r="AC126" s="1392"/>
      <c r="AD126" s="1392"/>
      <c r="AE126" s="1392"/>
      <c r="AF126" s="1392"/>
      <c r="AG126" s="1392"/>
      <c r="AH126" s="1390"/>
      <c r="AI126" s="1390"/>
      <c r="AJ126" s="1390"/>
      <c r="AK126" s="1390"/>
      <c r="AL126" s="1390"/>
      <c r="AM126" s="1390"/>
      <c r="AN126" s="1390"/>
    </row>
    <row r="127" spans="1:43">
      <c r="C127" s="1385" t="s">
        <v>1595</v>
      </c>
      <c r="P127" s="1388"/>
      <c r="Q127" s="1388"/>
      <c r="R127" s="1388"/>
      <c r="S127" s="1388"/>
      <c r="T127" s="1406"/>
      <c r="U127" s="1406"/>
      <c r="V127" s="1406"/>
      <c r="W127" s="1406"/>
      <c r="X127" s="1392"/>
      <c r="Y127" s="1392"/>
      <c r="Z127" s="1392"/>
      <c r="AA127" s="1392"/>
      <c r="AB127" s="1392"/>
      <c r="AC127" s="1392"/>
      <c r="AD127" s="1392"/>
      <c r="AE127" s="1392"/>
      <c r="AF127" s="1392"/>
      <c r="AG127" s="1392"/>
      <c r="AH127" s="1390"/>
      <c r="AI127" s="1390"/>
      <c r="AJ127" s="1390"/>
      <c r="AK127" s="1390"/>
      <c r="AL127" s="1390"/>
      <c r="AM127" s="1390"/>
      <c r="AN127" s="1390"/>
    </row>
    <row r="128" spans="1:43">
      <c r="P128" s="1388"/>
      <c r="Q128" s="1388"/>
      <c r="R128" s="1388"/>
      <c r="S128" s="1388"/>
      <c r="T128" s="1406"/>
      <c r="U128" s="1406"/>
      <c r="V128" s="1406"/>
      <c r="W128" s="1406"/>
      <c r="X128" s="1392"/>
      <c r="Y128" s="1392"/>
      <c r="Z128" s="1392"/>
      <c r="AA128" s="1392"/>
      <c r="AB128" s="1392"/>
      <c r="AC128" s="1392"/>
      <c r="AD128" s="1392"/>
      <c r="AE128" s="1392"/>
      <c r="AF128" s="1392"/>
      <c r="AG128" s="1392"/>
      <c r="AH128" s="1390"/>
    </row>
    <row r="129" spans="2:44">
      <c r="C129" s="1385" t="s">
        <v>1596</v>
      </c>
      <c r="P129" s="1388"/>
      <c r="Q129" s="1388"/>
      <c r="R129" s="1388"/>
      <c r="S129" s="1388"/>
      <c r="T129" s="1406"/>
      <c r="U129" s="1406"/>
      <c r="V129" s="1406">
        <v>950</v>
      </c>
      <c r="W129" s="1406"/>
      <c r="X129" s="1392">
        <v>780</v>
      </c>
      <c r="Y129" s="1392"/>
      <c r="Z129" s="1392">
        <v>710</v>
      </c>
      <c r="AA129" s="1392"/>
      <c r="AB129" s="1392">
        <v>900</v>
      </c>
      <c r="AC129" s="1392"/>
      <c r="AD129" s="1392">
        <v>1060</v>
      </c>
      <c r="AE129" s="1392"/>
      <c r="AF129" s="1392">
        <v>1140</v>
      </c>
      <c r="AG129" s="1392">
        <v>1220</v>
      </c>
      <c r="AH129" s="1390">
        <v>1210</v>
      </c>
      <c r="AI129" s="1426">
        <v>1210</v>
      </c>
      <c r="AJ129" s="1426">
        <v>1250</v>
      </c>
      <c r="AK129" s="1426">
        <v>1410</v>
      </c>
      <c r="AL129" s="1426">
        <v>1580</v>
      </c>
      <c r="AM129" s="1426">
        <v>1500</v>
      </c>
      <c r="AN129" s="1426">
        <v>1520</v>
      </c>
      <c r="AO129" s="1392">
        <v>1600</v>
      </c>
      <c r="AP129" s="1392">
        <v>1690</v>
      </c>
      <c r="AQ129" s="1392">
        <v>1540</v>
      </c>
    </row>
    <row r="130" spans="2:44">
      <c r="C130" s="1385" t="s">
        <v>1597</v>
      </c>
      <c r="P130" s="1388"/>
      <c r="Q130" s="1388"/>
      <c r="R130" s="1388"/>
      <c r="S130" s="1388"/>
      <c r="T130" s="1406"/>
      <c r="U130" s="1406"/>
      <c r="V130" s="1406">
        <v>290</v>
      </c>
      <c r="W130" s="1406"/>
      <c r="X130" s="1392">
        <v>390</v>
      </c>
      <c r="Y130" s="1392"/>
      <c r="Z130" s="1392">
        <v>340</v>
      </c>
      <c r="AA130" s="1392"/>
      <c r="AB130" s="1392">
        <v>420</v>
      </c>
      <c r="AC130" s="1392"/>
      <c r="AD130" s="1392">
        <v>400</v>
      </c>
      <c r="AE130" s="1392"/>
      <c r="AF130" s="1392">
        <v>400</v>
      </c>
      <c r="AG130" s="1392">
        <v>420</v>
      </c>
      <c r="AH130" s="1390">
        <v>470</v>
      </c>
      <c r="AI130" s="1390">
        <v>670</v>
      </c>
      <c r="AJ130" s="1390">
        <v>660</v>
      </c>
      <c r="AK130" s="1390">
        <v>700</v>
      </c>
      <c r="AL130" s="1390">
        <v>870</v>
      </c>
      <c r="AM130" s="1390">
        <v>530</v>
      </c>
      <c r="AN130" s="1390">
        <v>940</v>
      </c>
      <c r="AO130" s="1392">
        <v>920</v>
      </c>
      <c r="AP130" s="1392">
        <v>1000</v>
      </c>
      <c r="AQ130" s="1392">
        <v>1040</v>
      </c>
    </row>
    <row r="131" spans="2:44">
      <c r="C131" s="1385" t="s">
        <v>1829</v>
      </c>
      <c r="P131" s="1388"/>
      <c r="Q131" s="1388"/>
      <c r="R131" s="1388"/>
      <c r="S131" s="1388"/>
      <c r="T131" s="1406"/>
      <c r="U131" s="1406"/>
      <c r="V131" s="1406"/>
      <c r="W131" s="1406"/>
      <c r="X131" s="1392"/>
      <c r="Y131" s="1392"/>
      <c r="Z131" s="1392" t="s">
        <v>237</v>
      </c>
      <c r="AA131" s="1392" t="s">
        <v>237</v>
      </c>
      <c r="AB131" s="1392" t="s">
        <v>237</v>
      </c>
      <c r="AC131" s="1392" t="s">
        <v>237</v>
      </c>
      <c r="AD131" s="1392" t="s">
        <v>237</v>
      </c>
      <c r="AE131" s="1392" t="s">
        <v>237</v>
      </c>
      <c r="AF131" s="1392" t="s">
        <v>237</v>
      </c>
      <c r="AG131" s="1392" t="s">
        <v>237</v>
      </c>
      <c r="AH131" s="1392" t="s">
        <v>237</v>
      </c>
      <c r="AI131" s="1392" t="s">
        <v>237</v>
      </c>
      <c r="AJ131" s="1390">
        <v>25</v>
      </c>
      <c r="AK131" s="1390">
        <v>35</v>
      </c>
      <c r="AL131" s="1390">
        <v>35</v>
      </c>
      <c r="AM131" s="1390">
        <v>35</v>
      </c>
      <c r="AN131" s="1390">
        <v>40</v>
      </c>
      <c r="AO131" s="1386">
        <v>40</v>
      </c>
      <c r="AP131" s="1386" t="s">
        <v>1830</v>
      </c>
      <c r="AQ131" s="1386" t="s">
        <v>1831</v>
      </c>
    </row>
    <row r="132" spans="2:44" ht="13.5">
      <c r="B132" s="220" t="s">
        <v>240</v>
      </c>
      <c r="P132" s="1388"/>
      <c r="Q132" s="1388"/>
      <c r="R132" s="1388"/>
      <c r="S132" s="1388"/>
      <c r="T132" s="1406"/>
      <c r="U132" s="1406"/>
      <c r="V132" s="1406"/>
      <c r="W132" s="1406"/>
      <c r="X132" s="1392"/>
      <c r="Y132" s="1392"/>
      <c r="Z132" s="1392"/>
      <c r="AA132" s="1392"/>
      <c r="AB132" s="1392"/>
      <c r="AC132" s="1392"/>
      <c r="AD132" s="1392"/>
      <c r="AE132" s="1392"/>
      <c r="AF132" s="1392"/>
      <c r="AG132" s="1392"/>
      <c r="AH132" s="1390"/>
      <c r="AI132" s="1390"/>
      <c r="AJ132" s="1390"/>
      <c r="AK132" s="1390"/>
      <c r="AL132" s="1390"/>
      <c r="AM132" s="1390"/>
      <c r="AN132" s="1390"/>
      <c r="AO132" s="1386"/>
      <c r="AP132" s="1386"/>
      <c r="AQ132" s="1386"/>
    </row>
    <row r="133" spans="2:44">
      <c r="B133" s="1409" t="s">
        <v>91</v>
      </c>
      <c r="P133" s="1388">
        <v>17410</v>
      </c>
      <c r="Q133" s="1388"/>
      <c r="R133" s="1388">
        <v>17125</v>
      </c>
      <c r="S133" s="1388"/>
      <c r="T133" s="1406">
        <v>19170</v>
      </c>
      <c r="U133" s="1406"/>
      <c r="V133" s="1427">
        <v>21480</v>
      </c>
      <c r="W133" s="1406"/>
      <c r="X133" s="1405">
        <v>9400</v>
      </c>
      <c r="Y133" s="1405"/>
      <c r="Z133" s="1405">
        <v>11700</v>
      </c>
      <c r="AA133" s="1405"/>
      <c r="AB133" s="1405">
        <v>15400</v>
      </c>
      <c r="AC133" s="1405"/>
      <c r="AD133" s="1405">
        <v>19400</v>
      </c>
      <c r="AE133" s="1405"/>
      <c r="AF133" s="1405">
        <v>20100</v>
      </c>
      <c r="AG133" s="1405">
        <v>24000</v>
      </c>
      <c r="AH133" s="1405">
        <v>22800</v>
      </c>
      <c r="AI133" s="1405">
        <v>22300</v>
      </c>
      <c r="AJ133" s="1405">
        <v>19200</v>
      </c>
      <c r="AK133" s="1405">
        <v>18200</v>
      </c>
      <c r="AL133" s="1405">
        <v>17900</v>
      </c>
      <c r="AM133" s="1405">
        <v>20700</v>
      </c>
      <c r="AN133" s="1405">
        <v>16700</v>
      </c>
      <c r="AO133" s="1405">
        <v>18700</v>
      </c>
      <c r="AP133" s="1405">
        <v>19500</v>
      </c>
      <c r="AQ133" s="1405">
        <v>22100</v>
      </c>
    </row>
    <row r="134" spans="2:44">
      <c r="B134" s="1409"/>
      <c r="P134" s="1388"/>
      <c r="Q134" s="1388"/>
      <c r="R134" s="1388"/>
      <c r="S134" s="1388"/>
      <c r="T134" s="1406"/>
      <c r="U134" s="1406"/>
      <c r="V134" s="1406"/>
      <c r="W134" s="1406"/>
      <c r="X134" s="1392"/>
      <c r="Y134" s="1392"/>
      <c r="Z134" s="1392"/>
      <c r="AA134" s="1392"/>
      <c r="AB134" s="1392"/>
      <c r="AC134" s="1392"/>
      <c r="AD134" s="1392"/>
      <c r="AE134" s="1392"/>
      <c r="AF134" s="1392"/>
      <c r="AG134" s="1392"/>
      <c r="AH134" s="1390"/>
      <c r="AI134" s="1390"/>
      <c r="AJ134" s="1390"/>
      <c r="AK134" s="1390"/>
      <c r="AL134" s="1390"/>
      <c r="AM134" s="1390"/>
      <c r="AN134" s="1390"/>
      <c r="AO134" s="1390"/>
      <c r="AP134" s="1386"/>
      <c r="AQ134" s="1386"/>
    </row>
    <row r="135" spans="2:44">
      <c r="C135" s="1385" t="s">
        <v>1039</v>
      </c>
      <c r="P135" s="1388"/>
      <c r="Q135" s="1388"/>
      <c r="R135" s="1388"/>
      <c r="S135" s="1388"/>
      <c r="T135" s="1406"/>
      <c r="U135" s="1406"/>
      <c r="V135" s="1406"/>
      <c r="W135" s="1406"/>
      <c r="X135" s="1428">
        <v>17000</v>
      </c>
      <c r="Y135" s="1390"/>
      <c r="Z135" s="1428">
        <v>20100</v>
      </c>
      <c r="AA135" s="1390"/>
      <c r="AB135" s="1428">
        <v>25000</v>
      </c>
      <c r="AC135" s="1390"/>
      <c r="AD135" s="1428">
        <v>29600</v>
      </c>
      <c r="AE135" s="1390"/>
      <c r="AF135" s="1428">
        <v>30800</v>
      </c>
      <c r="AG135" s="1428">
        <v>35300</v>
      </c>
      <c r="AH135" s="1428">
        <v>34800</v>
      </c>
      <c r="AI135" s="1428">
        <v>35100</v>
      </c>
      <c r="AJ135" s="1428">
        <v>33700</v>
      </c>
      <c r="AK135" s="1428">
        <v>33700</v>
      </c>
      <c r="AL135" s="1428">
        <v>33900</v>
      </c>
      <c r="AM135" s="1428">
        <v>38300</v>
      </c>
      <c r="AN135" s="1428">
        <v>34400</v>
      </c>
      <c r="AO135" s="1428">
        <v>36900</v>
      </c>
      <c r="AP135" s="1428">
        <v>38200</v>
      </c>
      <c r="AQ135" s="1428">
        <v>41300</v>
      </c>
    </row>
    <row r="136" spans="2:44">
      <c r="C136" s="1385" t="s">
        <v>1040</v>
      </c>
      <c r="P136" s="1388"/>
      <c r="Q136" s="1388"/>
      <c r="R136" s="1388"/>
      <c r="S136" s="1388"/>
      <c r="T136" s="1406"/>
      <c r="U136" s="1406"/>
      <c r="V136" s="1406"/>
      <c r="W136" s="1406"/>
      <c r="X136" s="1392">
        <v>5550</v>
      </c>
      <c r="Y136" s="1392"/>
      <c r="Z136" s="1392">
        <v>5800</v>
      </c>
      <c r="AA136" s="1392"/>
      <c r="AB136" s="1392">
        <v>6600</v>
      </c>
      <c r="AC136" s="1392"/>
      <c r="AD136" s="1392">
        <v>7900</v>
      </c>
      <c r="AE136" s="1392"/>
      <c r="AF136" s="1392">
        <v>6400</v>
      </c>
      <c r="AG136" s="1392">
        <v>6800</v>
      </c>
      <c r="AH136" s="1392">
        <v>6500</v>
      </c>
      <c r="AI136" s="1392">
        <v>6600</v>
      </c>
      <c r="AJ136" s="1392">
        <v>6200</v>
      </c>
      <c r="AK136" s="1392">
        <v>6500</v>
      </c>
      <c r="AL136" s="1392">
        <v>6600</v>
      </c>
      <c r="AM136" s="1392">
        <v>6700</v>
      </c>
      <c r="AN136" s="1392">
        <v>5700</v>
      </c>
      <c r="AO136" s="1392">
        <v>6200</v>
      </c>
      <c r="AP136" s="1392">
        <v>6900</v>
      </c>
      <c r="AQ136" s="1392">
        <v>7400</v>
      </c>
    </row>
    <row r="137" spans="2:44">
      <c r="C137" s="1385" t="s">
        <v>1041</v>
      </c>
      <c r="P137" s="1388"/>
      <c r="Q137" s="1388"/>
      <c r="R137" s="1388"/>
      <c r="S137" s="1388"/>
      <c r="T137" s="1406"/>
      <c r="U137" s="1406"/>
      <c r="V137" s="1406"/>
      <c r="W137" s="1406"/>
      <c r="X137" s="1392">
        <v>7400</v>
      </c>
      <c r="Y137" s="1392"/>
      <c r="Z137" s="1392">
        <v>10200</v>
      </c>
      <c r="AA137" s="1392"/>
      <c r="AB137" s="1392">
        <v>13600</v>
      </c>
      <c r="AC137" s="1392"/>
      <c r="AD137" s="1392">
        <v>15400</v>
      </c>
      <c r="AE137" s="1392"/>
      <c r="AF137" s="1392">
        <v>18100</v>
      </c>
      <c r="AG137" s="1392">
        <v>22000</v>
      </c>
      <c r="AH137" s="1392">
        <v>21400</v>
      </c>
      <c r="AI137" s="1392">
        <v>21400</v>
      </c>
      <c r="AJ137" s="1392">
        <v>21700</v>
      </c>
      <c r="AK137" s="1392">
        <v>21300</v>
      </c>
      <c r="AL137" s="1392">
        <v>21300</v>
      </c>
      <c r="AM137" s="1392">
        <v>24900</v>
      </c>
      <c r="AN137" s="1392">
        <v>22200</v>
      </c>
      <c r="AO137" s="1392">
        <v>24100</v>
      </c>
      <c r="AP137" s="1392">
        <v>24000</v>
      </c>
      <c r="AQ137" s="1392">
        <v>26600</v>
      </c>
    </row>
    <row r="138" spans="2:44">
      <c r="C138" s="1385" t="s">
        <v>1042</v>
      </c>
      <c r="P138" s="1388"/>
      <c r="Q138" s="1388"/>
      <c r="R138" s="1388"/>
      <c r="S138" s="1388"/>
      <c r="T138" s="1406"/>
      <c r="U138" s="1406"/>
      <c r="V138" s="1406"/>
      <c r="W138" s="1406"/>
      <c r="X138" s="1392">
        <v>3700</v>
      </c>
      <c r="Y138" s="1392"/>
      <c r="Z138" s="1392">
        <v>3800</v>
      </c>
      <c r="AA138" s="1392"/>
      <c r="AB138" s="1392">
        <v>4500</v>
      </c>
      <c r="AC138" s="1392"/>
      <c r="AD138" s="1392">
        <v>5900</v>
      </c>
      <c r="AE138" s="1392"/>
      <c r="AF138" s="1392">
        <v>6300</v>
      </c>
      <c r="AG138" s="1392">
        <v>6600</v>
      </c>
      <c r="AH138" s="1392">
        <v>6800</v>
      </c>
      <c r="AI138" s="1392">
        <v>7200</v>
      </c>
      <c r="AJ138" s="1392">
        <v>5800</v>
      </c>
      <c r="AK138" s="1392">
        <v>5900</v>
      </c>
      <c r="AL138" s="1392">
        <v>6100</v>
      </c>
      <c r="AM138" s="1392">
        <v>6800</v>
      </c>
      <c r="AN138" s="1392">
        <v>6500</v>
      </c>
      <c r="AO138" s="1392">
        <v>6700</v>
      </c>
      <c r="AP138" s="1392">
        <v>7400</v>
      </c>
      <c r="AQ138" s="1392">
        <v>7300</v>
      </c>
    </row>
    <row r="139" spans="2:44">
      <c r="C139" s="1385" t="s">
        <v>1043</v>
      </c>
      <c r="T139" s="1406"/>
      <c r="U139" s="1406"/>
      <c r="V139" s="1406"/>
      <c r="W139" s="1406"/>
      <c r="X139" s="1428">
        <v>350</v>
      </c>
      <c r="Y139" s="1392"/>
      <c r="Z139" s="1428">
        <v>300</v>
      </c>
      <c r="AA139" s="1392"/>
      <c r="AB139" s="1428">
        <v>300</v>
      </c>
      <c r="AC139" s="1392"/>
      <c r="AD139" s="1428">
        <v>400</v>
      </c>
      <c r="AE139" s="1392"/>
      <c r="AF139" s="1966" t="s">
        <v>1044</v>
      </c>
      <c r="AG139" s="1966"/>
      <c r="AH139" s="1966"/>
      <c r="AI139" s="1966"/>
      <c r="AJ139" s="1966"/>
      <c r="AK139" s="1966"/>
      <c r="AL139" s="1966"/>
      <c r="AM139" s="1966"/>
      <c r="AN139" s="1966"/>
      <c r="AO139" s="1966"/>
      <c r="AP139" s="1966"/>
      <c r="AQ139" s="1966"/>
      <c r="AR139" s="1429"/>
    </row>
    <row r="140" spans="2:44">
      <c r="C140" s="1385" t="s">
        <v>1045</v>
      </c>
      <c r="T140" s="1406"/>
      <c r="U140" s="1406"/>
      <c r="V140" s="1406"/>
      <c r="W140" s="1406"/>
      <c r="X140" s="1392">
        <v>7600</v>
      </c>
      <c r="Y140" s="1392"/>
      <c r="Z140" s="1392">
        <v>8400</v>
      </c>
      <c r="AA140" s="1392"/>
      <c r="AB140" s="1392">
        <v>9600</v>
      </c>
      <c r="AC140" s="1392"/>
      <c r="AD140" s="1392">
        <v>10200</v>
      </c>
      <c r="AE140" s="1392"/>
      <c r="AF140" s="1392">
        <v>10700</v>
      </c>
      <c r="AG140" s="1392">
        <v>11300</v>
      </c>
      <c r="AH140" s="1392">
        <v>12000</v>
      </c>
      <c r="AI140" s="1392">
        <v>12800</v>
      </c>
      <c r="AJ140" s="1392">
        <v>14400</v>
      </c>
      <c r="AK140" s="1392">
        <v>15500</v>
      </c>
      <c r="AL140" s="1392">
        <v>16000</v>
      </c>
      <c r="AM140" s="1392">
        <v>17600</v>
      </c>
      <c r="AN140" s="1390">
        <v>17800</v>
      </c>
      <c r="AO140" s="1392">
        <v>18300</v>
      </c>
      <c r="AP140" s="1392">
        <v>18700</v>
      </c>
      <c r="AQ140" s="1392">
        <v>19200</v>
      </c>
      <c r="AR140" s="1429"/>
    </row>
    <row r="141" spans="2:44">
      <c r="B141" s="1401"/>
      <c r="C141" s="1401"/>
      <c r="D141" s="1401"/>
      <c r="E141" s="1401"/>
      <c r="F141" s="1401"/>
      <c r="G141" s="1401"/>
      <c r="H141" s="1401"/>
      <c r="I141" s="1401"/>
      <c r="J141" s="1401"/>
      <c r="K141" s="1401"/>
      <c r="L141" s="1401"/>
      <c r="M141" s="1401"/>
      <c r="N141" s="1401"/>
      <c r="O141" s="1401"/>
      <c r="P141" s="1401"/>
      <c r="Q141" s="1401"/>
      <c r="R141" s="1401"/>
      <c r="S141" s="1401"/>
      <c r="T141" s="1401"/>
      <c r="U141" s="1401"/>
      <c r="V141" s="1401"/>
      <c r="W141" s="1401"/>
      <c r="X141" s="1430"/>
      <c r="Y141" s="1430"/>
      <c r="Z141" s="1430"/>
      <c r="AA141" s="1430"/>
      <c r="AB141" s="1430"/>
      <c r="AC141" s="1430"/>
      <c r="AD141" s="1430"/>
      <c r="AE141" s="1430"/>
      <c r="AF141" s="1431"/>
      <c r="AG141" s="1431"/>
      <c r="AH141" s="1431"/>
      <c r="AI141" s="1431"/>
      <c r="AJ141" s="1431"/>
      <c r="AK141" s="1431"/>
      <c r="AL141" s="1431"/>
      <c r="AM141" s="1431"/>
      <c r="AN141" s="1431"/>
      <c r="AO141" s="1431"/>
      <c r="AP141" s="1431"/>
      <c r="AQ141" s="1431"/>
      <c r="AR141" s="1432"/>
    </row>
    <row r="142" spans="2:44">
      <c r="AN142" s="1390"/>
      <c r="AO142" s="1385"/>
      <c r="AR142" s="1429"/>
    </row>
    <row r="143" spans="2:44" ht="25.5" customHeight="1">
      <c r="B143" s="1967" t="s">
        <v>1046</v>
      </c>
      <c r="C143" s="1923"/>
      <c r="D143" s="1923"/>
      <c r="E143" s="1923"/>
      <c r="F143" s="1923"/>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H143" s="1392"/>
      <c r="AN143" s="1433"/>
      <c r="AO143" s="1385"/>
      <c r="AR143" s="1429"/>
    </row>
    <row r="145" spans="1:41" hidden="1">
      <c r="C145" s="1385" t="s">
        <v>1598</v>
      </c>
      <c r="AO145" s="1385"/>
    </row>
    <row r="146" spans="1:41" hidden="1">
      <c r="AO146" s="1385"/>
    </row>
    <row r="147" spans="1:41" hidden="1">
      <c r="C147" s="1385" t="s">
        <v>1832</v>
      </c>
      <c r="AO147" s="1385"/>
    </row>
    <row r="148" spans="1:41" ht="76.5" hidden="1">
      <c r="C148" s="1434" t="s">
        <v>1833</v>
      </c>
      <c r="AO148" s="1385"/>
    </row>
    <row r="149" spans="1:41" hidden="1">
      <c r="C149" s="1385" t="s">
        <v>1834</v>
      </c>
      <c r="P149" s="1388"/>
      <c r="Q149" s="1388"/>
      <c r="R149" s="1388"/>
      <c r="S149" s="1388"/>
      <c r="T149" s="1388"/>
      <c r="U149" s="1388"/>
      <c r="V149" s="1388"/>
      <c r="W149" s="1388"/>
      <c r="X149" s="1393"/>
      <c r="Y149" s="1393"/>
      <c r="Z149" s="1393"/>
      <c r="AA149" s="1393"/>
      <c r="AB149" s="1393"/>
      <c r="AC149" s="1393"/>
      <c r="AD149" s="1393"/>
      <c r="AE149" s="1393"/>
      <c r="AF149" s="1393"/>
      <c r="AG149" s="1393"/>
      <c r="AO149" s="1385"/>
    </row>
    <row r="150" spans="1:41" ht="25.5" hidden="1">
      <c r="C150" s="1435" t="s">
        <v>1835</v>
      </c>
      <c r="P150" s="1388"/>
      <c r="Q150" s="1388"/>
      <c r="R150" s="1388"/>
      <c r="S150" s="1388"/>
      <c r="T150" s="1388"/>
      <c r="U150" s="1388"/>
      <c r="V150" s="1388"/>
      <c r="W150" s="1388"/>
      <c r="X150" s="1393"/>
      <c r="Y150" s="1393"/>
      <c r="Z150" s="1393"/>
      <c r="AA150" s="1393"/>
      <c r="AB150" s="1393"/>
      <c r="AC150" s="1393"/>
      <c r="AD150" s="1393"/>
      <c r="AE150" s="1393"/>
      <c r="AF150" s="1393"/>
      <c r="AG150" s="1393"/>
      <c r="AO150" s="1385"/>
    </row>
    <row r="151" spans="1:41" hidden="1">
      <c r="C151" s="1385" t="s">
        <v>1836</v>
      </c>
      <c r="P151" s="1388"/>
      <c r="Q151" s="1388"/>
      <c r="R151" s="1388"/>
      <c r="S151" s="1388"/>
      <c r="T151" s="1388"/>
      <c r="U151" s="1388"/>
      <c r="V151" s="1388"/>
      <c r="W151" s="1388"/>
      <c r="X151" s="1393"/>
      <c r="Y151" s="1393"/>
      <c r="Z151" s="1393"/>
      <c r="AA151" s="1393"/>
      <c r="AB151" s="1393"/>
      <c r="AC151" s="1393"/>
      <c r="AD151" s="1393"/>
      <c r="AE151" s="1393"/>
      <c r="AF151" s="1393"/>
      <c r="AG151" s="1393"/>
      <c r="AO151" s="1385"/>
    </row>
    <row r="152" spans="1:41" hidden="1">
      <c r="C152" s="1385" t="s">
        <v>1837</v>
      </c>
      <c r="P152" s="1388"/>
      <c r="Q152" s="1388"/>
      <c r="R152" s="1388"/>
      <c r="S152" s="1388"/>
      <c r="T152" s="1388"/>
      <c r="U152" s="1388"/>
      <c r="V152" s="1388"/>
      <c r="W152" s="1388"/>
      <c r="X152" s="1393"/>
      <c r="Y152" s="1393"/>
      <c r="Z152" s="1393"/>
      <c r="AA152" s="1393"/>
      <c r="AB152" s="1393"/>
      <c r="AC152" s="1393"/>
      <c r="AD152" s="1393"/>
      <c r="AE152" s="1393"/>
      <c r="AF152" s="1393"/>
      <c r="AG152" s="1393"/>
      <c r="AO152" s="1385"/>
    </row>
    <row r="153" spans="1:41" hidden="1">
      <c r="C153" s="1385" t="s">
        <v>1838</v>
      </c>
      <c r="P153" s="1388"/>
      <c r="Q153" s="1388"/>
      <c r="R153" s="1388"/>
      <c r="S153" s="1388"/>
      <c r="T153" s="1388"/>
      <c r="U153" s="1388"/>
      <c r="V153" s="1388"/>
      <c r="W153" s="1388"/>
      <c r="X153" s="1393"/>
      <c r="Y153" s="1393"/>
      <c r="Z153" s="1393"/>
      <c r="AA153" s="1393"/>
      <c r="AB153" s="1393"/>
      <c r="AC153" s="1393"/>
      <c r="AD153" s="1393"/>
      <c r="AE153" s="1393"/>
      <c r="AF153" s="1393"/>
      <c r="AG153" s="1393"/>
      <c r="AO153" s="1385"/>
    </row>
    <row r="154" spans="1:41" hidden="1">
      <c r="B154" s="1385" t="s">
        <v>1047</v>
      </c>
      <c r="P154" s="1388"/>
      <c r="Q154" s="1388"/>
      <c r="R154" s="1388"/>
      <c r="S154" s="1388"/>
      <c r="T154" s="1388"/>
      <c r="U154" s="1388"/>
      <c r="V154" s="1388"/>
      <c r="W154" s="1388"/>
      <c r="X154" s="1393"/>
      <c r="Y154" s="1393"/>
      <c r="Z154" s="1393"/>
      <c r="AA154" s="1393"/>
      <c r="AB154" s="1393"/>
      <c r="AC154" s="1393"/>
      <c r="AD154" s="1393"/>
      <c r="AE154" s="1393"/>
      <c r="AF154" s="1393"/>
      <c r="AG154" s="1393"/>
      <c r="AO154" s="1385"/>
    </row>
    <row r="155" spans="1:41" hidden="1">
      <c r="B155" s="1385" t="s">
        <v>49</v>
      </c>
      <c r="P155" s="1388"/>
      <c r="Q155" s="1388"/>
      <c r="R155" s="1388"/>
      <c r="S155" s="1388"/>
      <c r="T155" s="1388"/>
      <c r="U155" s="1388"/>
      <c r="V155" s="1388"/>
      <c r="W155" s="1388"/>
      <c r="X155" s="1393"/>
      <c r="Y155" s="1393"/>
      <c r="Z155" s="1393"/>
      <c r="AA155" s="1393"/>
      <c r="AB155" s="1393"/>
      <c r="AC155" s="1393"/>
      <c r="AD155" s="1393"/>
      <c r="AE155" s="1393"/>
      <c r="AF155" s="1393"/>
      <c r="AG155" s="1393"/>
      <c r="AO155" s="1385"/>
    </row>
    <row r="156" spans="1:41" hidden="1">
      <c r="B156" s="1385" t="s">
        <v>1033</v>
      </c>
      <c r="P156" s="1388"/>
      <c r="Q156" s="1388"/>
      <c r="R156" s="1388"/>
      <c r="S156" s="1388"/>
      <c r="T156" s="1388"/>
      <c r="U156" s="1388"/>
      <c r="V156" s="1388"/>
      <c r="W156" s="1388"/>
      <c r="X156" s="1393"/>
      <c r="Y156" s="1393"/>
      <c r="Z156" s="1393"/>
      <c r="AA156" s="1393"/>
      <c r="AB156" s="1393"/>
      <c r="AC156" s="1393"/>
      <c r="AD156" s="1393"/>
      <c r="AE156" s="1393"/>
      <c r="AF156" s="1393"/>
      <c r="AG156" s="1393"/>
    </row>
    <row r="157" spans="1:41" hidden="1">
      <c r="A157" s="311"/>
      <c r="C157" s="311" t="s">
        <v>1048</v>
      </c>
      <c r="P157" s="1388"/>
      <c r="Q157" s="1388"/>
      <c r="R157" s="1388"/>
      <c r="S157" s="1388"/>
      <c r="T157" s="1388"/>
      <c r="U157" s="1388"/>
      <c r="V157" s="1388"/>
      <c r="W157" s="1388"/>
      <c r="X157" s="1393">
        <v>10</v>
      </c>
      <c r="Y157" s="1393"/>
      <c r="Z157" s="1393"/>
      <c r="AA157" s="1393"/>
      <c r="AB157" s="1393"/>
      <c r="AC157" s="1393"/>
      <c r="AD157" s="1393"/>
      <c r="AE157" s="1393"/>
      <c r="AF157" s="1393"/>
      <c r="AG157" s="1393"/>
    </row>
    <row r="158" spans="1:41" hidden="1">
      <c r="A158" s="311"/>
      <c r="C158" s="311" t="s">
        <v>1049</v>
      </c>
      <c r="P158" s="1388"/>
      <c r="Q158" s="1388"/>
      <c r="R158" s="1388"/>
      <c r="S158" s="1388"/>
      <c r="T158" s="1388"/>
      <c r="U158" s="1388"/>
      <c r="V158" s="1388"/>
      <c r="W158" s="1388"/>
      <c r="X158" s="1393">
        <v>1400</v>
      </c>
      <c r="Y158" s="1393"/>
      <c r="Z158" s="1393"/>
      <c r="AA158" s="1393"/>
      <c r="AB158" s="1393"/>
      <c r="AC158" s="1393"/>
      <c r="AD158" s="1393"/>
      <c r="AE158" s="1393"/>
      <c r="AF158" s="1393"/>
      <c r="AG158" s="1393"/>
    </row>
    <row r="159" spans="1:41" hidden="1">
      <c r="P159" s="1388"/>
      <c r="Q159" s="1388"/>
      <c r="R159" s="1388"/>
      <c r="S159" s="1388"/>
      <c r="T159" s="1388"/>
      <c r="U159" s="1388"/>
      <c r="V159" s="1388"/>
      <c r="W159" s="1388"/>
      <c r="X159" s="1393"/>
      <c r="Y159" s="1393"/>
      <c r="Z159" s="1393"/>
      <c r="AA159" s="1393"/>
      <c r="AB159" s="1393"/>
      <c r="AC159" s="1393"/>
      <c r="AD159" s="1393"/>
      <c r="AE159" s="1393"/>
      <c r="AF159" s="1393"/>
      <c r="AG159" s="1393"/>
    </row>
    <row r="160" spans="1:41" hidden="1">
      <c r="P160" s="1388"/>
      <c r="Q160" s="1388"/>
      <c r="R160" s="1388"/>
      <c r="S160" s="1388"/>
      <c r="T160" s="1388"/>
      <c r="U160" s="1388"/>
      <c r="V160" s="1388"/>
      <c r="W160" s="1388"/>
      <c r="X160" s="1393"/>
      <c r="Y160" s="1393"/>
      <c r="Z160" s="1393"/>
      <c r="AA160" s="1393"/>
      <c r="AB160" s="1393"/>
      <c r="AC160" s="1393"/>
      <c r="AD160" s="1393"/>
      <c r="AE160" s="1393"/>
      <c r="AF160" s="1393"/>
      <c r="AG160" s="1393"/>
    </row>
    <row r="161" spans="2:41" hidden="1">
      <c r="P161" s="1388"/>
      <c r="Q161" s="1388"/>
      <c r="R161" s="1388"/>
      <c r="S161" s="1388"/>
      <c r="T161" s="1388"/>
      <c r="U161" s="1388"/>
      <c r="V161" s="1388"/>
      <c r="W161" s="1388"/>
      <c r="X161" s="1393"/>
      <c r="Y161" s="1393"/>
      <c r="Z161" s="1393"/>
      <c r="AA161" s="1393"/>
      <c r="AB161" s="1393"/>
      <c r="AC161" s="1393"/>
      <c r="AD161" s="1393"/>
      <c r="AE161" s="1393"/>
      <c r="AF161" s="1393"/>
      <c r="AG161" s="1393"/>
    </row>
    <row r="162" spans="2:41" hidden="1">
      <c r="B162" s="1385" t="s">
        <v>1050</v>
      </c>
      <c r="C162" s="1385" t="s">
        <v>1051</v>
      </c>
      <c r="P162" s="1436">
        <f t="shared" ref="P162:V162" si="28">SUM(P163:P168,P172)</f>
        <v>17410</v>
      </c>
      <c r="Q162" s="1436">
        <f t="shared" si="28"/>
        <v>16310</v>
      </c>
      <c r="R162" s="1436">
        <f t="shared" si="28"/>
        <v>17125</v>
      </c>
      <c r="S162" s="1436">
        <f t="shared" si="28"/>
        <v>18030</v>
      </c>
      <c r="T162" s="1436">
        <f t="shared" si="28"/>
        <v>19170</v>
      </c>
      <c r="U162" s="1436">
        <f t="shared" si="28"/>
        <v>22230</v>
      </c>
      <c r="V162" s="1436">
        <f t="shared" si="28"/>
        <v>21480</v>
      </c>
    </row>
    <row r="163" spans="2:41" hidden="1">
      <c r="B163" s="1385" t="s">
        <v>1052</v>
      </c>
      <c r="P163" s="1437">
        <v>7400</v>
      </c>
      <c r="Q163" s="1437">
        <v>7100</v>
      </c>
      <c r="R163" s="1437">
        <v>7500</v>
      </c>
      <c r="S163" s="1437">
        <v>8000</v>
      </c>
      <c r="T163" s="1437">
        <v>8900</v>
      </c>
      <c r="U163" s="1437">
        <v>11400</v>
      </c>
      <c r="V163" s="1437">
        <v>12900</v>
      </c>
    </row>
    <row r="164" spans="2:41" hidden="1">
      <c r="B164" s="1385" t="s">
        <v>1053</v>
      </c>
      <c r="P164" s="1385">
        <v>1600</v>
      </c>
      <c r="Q164" s="1385">
        <v>1700</v>
      </c>
      <c r="R164" s="1385">
        <v>2100</v>
      </c>
      <c r="S164" s="1385">
        <v>2200</v>
      </c>
      <c r="T164" s="1385">
        <v>2500</v>
      </c>
      <c r="U164" s="1385">
        <v>2600</v>
      </c>
      <c r="V164" s="1385" t="s">
        <v>1054</v>
      </c>
    </row>
    <row r="165" spans="2:41" hidden="1">
      <c r="B165" s="1385" t="s">
        <v>1055</v>
      </c>
      <c r="W165" s="1388"/>
      <c r="X165" s="1393"/>
      <c r="Y165" s="1393"/>
      <c r="Z165" s="1393"/>
      <c r="AA165" s="1393"/>
      <c r="AB165" s="1393"/>
      <c r="AC165" s="1393"/>
      <c r="AD165" s="1393"/>
      <c r="AE165" s="1393"/>
      <c r="AF165" s="1393"/>
      <c r="AG165" s="1393"/>
    </row>
    <row r="166" spans="2:41" hidden="1">
      <c r="C166" s="1385" t="s">
        <v>1056</v>
      </c>
      <c r="P166" s="1388">
        <v>810</v>
      </c>
      <c r="Q166" s="1388">
        <v>210</v>
      </c>
      <c r="R166" s="1388">
        <v>225</v>
      </c>
      <c r="S166" s="1388">
        <v>250</v>
      </c>
      <c r="T166" s="1388" t="s">
        <v>1054</v>
      </c>
      <c r="U166" s="1388" t="s">
        <v>1054</v>
      </c>
      <c r="V166" s="1388" t="s">
        <v>1054</v>
      </c>
      <c r="W166" s="1388"/>
      <c r="X166" s="1393"/>
      <c r="Y166" s="1393"/>
      <c r="Z166" s="1393"/>
      <c r="AA166" s="1393"/>
      <c r="AB166" s="1393"/>
      <c r="AC166" s="1393"/>
      <c r="AD166" s="1393"/>
      <c r="AE166" s="1393"/>
      <c r="AF166" s="1393"/>
      <c r="AG166" s="1393"/>
    </row>
    <row r="167" spans="2:41" hidden="1">
      <c r="B167" s="1385" t="s">
        <v>1057</v>
      </c>
      <c r="P167" s="1388"/>
      <c r="Q167" s="1388"/>
      <c r="R167" s="1388"/>
      <c r="S167" s="1388"/>
      <c r="T167" s="1388"/>
      <c r="U167" s="1388"/>
      <c r="V167" s="1388"/>
      <c r="W167" s="1388"/>
      <c r="X167" s="1393"/>
      <c r="Y167" s="1393"/>
      <c r="Z167" s="1393"/>
      <c r="AA167" s="1393"/>
      <c r="AB167" s="1393"/>
      <c r="AC167" s="1393"/>
      <c r="AD167" s="1393"/>
      <c r="AE167" s="1393"/>
      <c r="AF167" s="1393"/>
      <c r="AG167" s="1393"/>
    </row>
    <row r="168" spans="2:41" hidden="1">
      <c r="C168" s="1385" t="s">
        <v>1058</v>
      </c>
      <c r="P168" s="1388">
        <v>7600</v>
      </c>
      <c r="Q168" s="1388">
        <v>7300</v>
      </c>
      <c r="R168" s="1388">
        <v>7300</v>
      </c>
      <c r="S168" s="1388">
        <v>7580</v>
      </c>
      <c r="T168" s="1388">
        <v>7770</v>
      </c>
      <c r="U168" s="1388">
        <v>8010</v>
      </c>
      <c r="V168" s="1388">
        <v>8340</v>
      </c>
      <c r="W168" s="1388"/>
      <c r="X168" s="1393"/>
      <c r="Y168" s="1393"/>
      <c r="Z168" s="1393"/>
      <c r="AA168" s="1393"/>
      <c r="AB168" s="1393"/>
      <c r="AC168" s="1393"/>
      <c r="AD168" s="1393"/>
      <c r="AE168" s="1393"/>
      <c r="AF168" s="1393"/>
      <c r="AG168" s="1393"/>
    </row>
    <row r="169" spans="2:41" hidden="1">
      <c r="C169" s="1385" t="s">
        <v>1059</v>
      </c>
      <c r="P169" s="1388"/>
      <c r="Q169" s="1388"/>
      <c r="R169" s="1388"/>
      <c r="S169" s="1388">
        <v>5540</v>
      </c>
      <c r="T169" s="1388">
        <v>5680</v>
      </c>
      <c r="U169" s="1388">
        <v>5960</v>
      </c>
      <c r="V169" s="1388">
        <v>6180</v>
      </c>
      <c r="W169" s="1388"/>
      <c r="X169" s="1393"/>
      <c r="Y169" s="1393"/>
      <c r="Z169" s="1393"/>
      <c r="AA169" s="1393"/>
      <c r="AB169" s="1393"/>
      <c r="AC169" s="1393"/>
      <c r="AD169" s="1393"/>
      <c r="AE169" s="1393"/>
      <c r="AF169" s="1393"/>
      <c r="AG169" s="1393"/>
    </row>
    <row r="170" spans="2:41" hidden="1">
      <c r="C170" s="1385" t="s">
        <v>1060</v>
      </c>
      <c r="P170" s="1388"/>
      <c r="Q170" s="1388"/>
      <c r="R170" s="1388"/>
      <c r="S170" s="1388">
        <v>2040</v>
      </c>
      <c r="T170" s="1388">
        <v>2090</v>
      </c>
      <c r="U170" s="1388">
        <v>1970</v>
      </c>
      <c r="V170" s="1388">
        <v>2070</v>
      </c>
      <c r="W170" s="1388"/>
      <c r="X170" s="1393"/>
      <c r="Y170" s="1393"/>
      <c r="Z170" s="1393"/>
      <c r="AA170" s="1393"/>
      <c r="AB170" s="1393"/>
      <c r="AC170" s="1393"/>
      <c r="AD170" s="1393"/>
      <c r="AE170" s="1393"/>
      <c r="AF170" s="1393"/>
      <c r="AG170" s="1393"/>
    </row>
    <row r="171" spans="2:41" hidden="1">
      <c r="C171" s="1385" t="s">
        <v>1061</v>
      </c>
      <c r="P171" s="1388"/>
      <c r="Q171" s="1388"/>
      <c r="R171" s="1388"/>
      <c r="S171" s="1388"/>
      <c r="T171" s="1388"/>
      <c r="U171" s="1388">
        <v>80</v>
      </c>
      <c r="V171" s="1388">
        <v>90</v>
      </c>
      <c r="W171" s="1388"/>
      <c r="X171" s="1393"/>
      <c r="Y171" s="1393"/>
      <c r="Z171" s="1393"/>
      <c r="AA171" s="1393"/>
      <c r="AB171" s="1393"/>
      <c r="AC171" s="1393"/>
      <c r="AD171" s="1393"/>
      <c r="AE171" s="1393"/>
      <c r="AF171" s="1393"/>
      <c r="AG171" s="1393"/>
    </row>
    <row r="172" spans="2:41" hidden="1">
      <c r="B172" s="1385" t="s">
        <v>1062</v>
      </c>
      <c r="P172" s="1388"/>
      <c r="Q172" s="1388"/>
      <c r="R172" s="1388"/>
      <c r="S172" s="1388"/>
      <c r="T172" s="1388"/>
      <c r="U172" s="1388">
        <v>220</v>
      </c>
      <c r="V172" s="1388">
        <v>240</v>
      </c>
      <c r="X172" s="1385"/>
      <c r="Y172" s="1385"/>
      <c r="Z172" s="1385"/>
      <c r="AA172" s="1385"/>
      <c r="AB172" s="1385"/>
      <c r="AC172" s="1385"/>
      <c r="AD172" s="1385"/>
      <c r="AE172" s="1385"/>
      <c r="AF172" s="1385"/>
      <c r="AG172" s="1385"/>
      <c r="AH172" s="1385"/>
      <c r="AI172" s="1385"/>
      <c r="AJ172" s="1385"/>
      <c r="AK172" s="1385"/>
      <c r="AL172" s="1385"/>
      <c r="AM172" s="1385"/>
      <c r="AN172" s="1385"/>
      <c r="AO172" s="1385"/>
    </row>
    <row r="173" spans="2:41" hidden="1">
      <c r="X173" s="1385"/>
      <c r="Y173" s="1385"/>
      <c r="Z173" s="1385"/>
      <c r="AA173" s="1385"/>
      <c r="AB173" s="1385"/>
      <c r="AC173" s="1385"/>
      <c r="AD173" s="1385"/>
      <c r="AE173" s="1385"/>
      <c r="AF173" s="1385"/>
      <c r="AG173" s="1385"/>
      <c r="AH173" s="1385"/>
      <c r="AI173" s="1385"/>
      <c r="AJ173" s="1385"/>
      <c r="AK173" s="1385"/>
      <c r="AL173" s="1385"/>
      <c r="AM173" s="1385"/>
      <c r="AN173" s="1385"/>
      <c r="AO173" s="1385"/>
    </row>
    <row r="174" spans="2:41" hidden="1">
      <c r="X174" s="1385"/>
      <c r="Y174" s="1385"/>
      <c r="Z174" s="1385"/>
      <c r="AA174" s="1385"/>
      <c r="AB174" s="1385"/>
      <c r="AC174" s="1385"/>
      <c r="AD174" s="1385"/>
      <c r="AE174" s="1385"/>
      <c r="AF174" s="1385"/>
      <c r="AG174" s="1385"/>
      <c r="AH174" s="1385"/>
      <c r="AI174" s="1385"/>
      <c r="AJ174" s="1385"/>
      <c r="AK174" s="1385"/>
      <c r="AL174" s="1385"/>
      <c r="AM174" s="1385"/>
      <c r="AN174" s="1385"/>
      <c r="AO174" s="1385"/>
    </row>
    <row r="175" spans="2:41" hidden="1">
      <c r="X175" s="1385"/>
      <c r="Y175" s="1385"/>
      <c r="Z175" s="1385"/>
      <c r="AA175" s="1385"/>
      <c r="AB175" s="1385"/>
      <c r="AC175" s="1385"/>
      <c r="AD175" s="1385"/>
      <c r="AE175" s="1385"/>
      <c r="AF175" s="1385"/>
      <c r="AG175" s="1385"/>
      <c r="AH175" s="1385"/>
      <c r="AI175" s="1385"/>
      <c r="AJ175" s="1385"/>
      <c r="AK175" s="1385"/>
      <c r="AL175" s="1385"/>
      <c r="AM175" s="1385"/>
      <c r="AN175" s="1385"/>
      <c r="AO175" s="1385"/>
    </row>
    <row r="176" spans="2:41" hidden="1">
      <c r="X176" s="1385"/>
      <c r="Y176" s="1385"/>
      <c r="Z176" s="1385"/>
      <c r="AA176" s="1385"/>
      <c r="AB176" s="1385"/>
      <c r="AC176" s="1385"/>
      <c r="AD176" s="1385"/>
      <c r="AE176" s="1385"/>
      <c r="AF176" s="1385"/>
      <c r="AG176" s="1385"/>
      <c r="AH176" s="1385"/>
      <c r="AI176" s="1385"/>
      <c r="AJ176" s="1385"/>
      <c r="AK176" s="1385"/>
      <c r="AL176" s="1385"/>
      <c r="AM176" s="1385"/>
      <c r="AN176" s="1385"/>
      <c r="AO176" s="1385"/>
    </row>
    <row r="177" spans="2:41">
      <c r="X177" s="1385"/>
      <c r="Y177" s="1385"/>
      <c r="Z177" s="1385"/>
      <c r="AA177" s="1385"/>
      <c r="AB177" s="1385"/>
      <c r="AC177" s="1385"/>
      <c r="AD177" s="1385"/>
      <c r="AE177" s="1385"/>
      <c r="AF177" s="1385"/>
      <c r="AG177" s="1385"/>
      <c r="AH177" s="1385"/>
      <c r="AI177" s="1385"/>
      <c r="AJ177" s="1385"/>
      <c r="AK177" s="1385"/>
      <c r="AL177" s="1385"/>
      <c r="AM177" s="1385"/>
      <c r="AN177" s="1385"/>
      <c r="AO177" s="1385"/>
    </row>
    <row r="178" spans="2:41">
      <c r="X178" s="1385"/>
      <c r="Y178" s="1385"/>
      <c r="Z178" s="1385"/>
      <c r="AA178" s="1385"/>
      <c r="AB178" s="1385"/>
      <c r="AC178" s="1385"/>
      <c r="AD178" s="1385"/>
      <c r="AE178" s="1385"/>
      <c r="AF178" s="1385"/>
      <c r="AG178" s="1385"/>
      <c r="AH178" s="1385"/>
      <c r="AI178" s="1385"/>
      <c r="AJ178" s="1385"/>
      <c r="AK178" s="1385"/>
      <c r="AL178" s="1385"/>
      <c r="AM178" s="1385"/>
      <c r="AN178" s="1385"/>
      <c r="AO178" s="1385"/>
    </row>
    <row r="179" spans="2:41">
      <c r="X179" s="1385"/>
      <c r="Y179" s="1385"/>
      <c r="Z179" s="1385"/>
      <c r="AA179" s="1385"/>
      <c r="AB179" s="1385"/>
      <c r="AC179" s="1385"/>
      <c r="AD179" s="1385"/>
      <c r="AE179" s="1385"/>
      <c r="AF179" s="1385"/>
      <c r="AG179" s="1385"/>
      <c r="AH179" s="1385"/>
      <c r="AI179" s="1385"/>
      <c r="AJ179" s="1385"/>
      <c r="AK179" s="1385"/>
      <c r="AL179" s="1385"/>
      <c r="AM179" s="1385"/>
      <c r="AN179" s="1385"/>
      <c r="AO179" s="1385"/>
    </row>
    <row r="180" spans="2:41">
      <c r="B180" s="1409"/>
      <c r="X180" s="1385"/>
      <c r="Y180" s="1385"/>
      <c r="Z180" s="1385"/>
      <c r="AA180" s="1385"/>
      <c r="AB180" s="1385"/>
      <c r="AC180" s="1385"/>
      <c r="AD180" s="1385"/>
      <c r="AE180" s="1385"/>
      <c r="AF180" s="1385"/>
      <c r="AG180" s="1385"/>
      <c r="AH180" s="1385"/>
      <c r="AI180" s="1385"/>
      <c r="AJ180" s="1385"/>
      <c r="AK180" s="1385"/>
      <c r="AL180" s="1385"/>
      <c r="AM180" s="1385"/>
      <c r="AN180" s="1385"/>
      <c r="AO180" s="1385"/>
    </row>
    <row r="201" spans="16:41">
      <c r="X201" s="1385"/>
      <c r="Y201" s="1385"/>
      <c r="Z201" s="1385"/>
      <c r="AA201" s="1385"/>
      <c r="AB201" s="1385"/>
      <c r="AC201" s="1385"/>
      <c r="AD201" s="1385"/>
      <c r="AE201" s="1385"/>
      <c r="AF201" s="1385"/>
      <c r="AG201" s="1385"/>
      <c r="AH201" s="1385"/>
      <c r="AI201" s="1385"/>
      <c r="AJ201" s="1385"/>
      <c r="AK201" s="1385"/>
      <c r="AL201" s="1385"/>
      <c r="AM201" s="1385"/>
      <c r="AN201" s="1385"/>
      <c r="AO201" s="1385"/>
    </row>
    <row r="202" spans="16:41">
      <c r="P202" s="1438">
        <f>SUM(P162:P170)</f>
        <v>34820</v>
      </c>
      <c r="Q202" s="1438">
        <f>SUM(Q162:Q170)</f>
        <v>32620</v>
      </c>
      <c r="R202" s="1439">
        <f>SUM(R162:R170)</f>
        <v>34250</v>
      </c>
      <c r="S202" s="1439">
        <f>SUM(S162:S170)</f>
        <v>43640</v>
      </c>
      <c r="T202" s="1439">
        <f>SUM(T162:T170)</f>
        <v>46110</v>
      </c>
      <c r="U202" s="1439">
        <f>SUM(U162:U170)+U173</f>
        <v>52170</v>
      </c>
      <c r="V202" s="1439">
        <f>SUM(V162:V170)+V173</f>
        <v>50970</v>
      </c>
      <c r="X202" s="1385"/>
      <c r="Y202" s="1385"/>
      <c r="Z202" s="1385"/>
      <c r="AA202" s="1385"/>
      <c r="AB202" s="1385"/>
      <c r="AC202" s="1385"/>
      <c r="AD202" s="1385"/>
      <c r="AE202" s="1385"/>
      <c r="AF202" s="1385"/>
      <c r="AG202" s="1385"/>
      <c r="AH202" s="1385"/>
      <c r="AI202" s="1385"/>
      <c r="AJ202" s="1385"/>
      <c r="AK202" s="1385"/>
      <c r="AL202" s="1385"/>
      <c r="AM202" s="1385"/>
      <c r="AN202" s="1385"/>
      <c r="AO202" s="1385"/>
    </row>
    <row r="203" spans="16:41">
      <c r="X203" s="1385"/>
      <c r="Y203" s="1385"/>
      <c r="Z203" s="1385"/>
      <c r="AA203" s="1385"/>
      <c r="AB203" s="1385"/>
      <c r="AC203" s="1385"/>
      <c r="AD203" s="1385"/>
      <c r="AE203" s="1385"/>
      <c r="AF203" s="1385"/>
      <c r="AG203" s="1385"/>
      <c r="AH203" s="1385"/>
      <c r="AI203" s="1385"/>
      <c r="AJ203" s="1385"/>
      <c r="AK203" s="1385"/>
      <c r="AL203" s="1385"/>
      <c r="AM203" s="1385"/>
      <c r="AN203" s="1385"/>
      <c r="AO203" s="1385"/>
    </row>
    <row r="204" spans="16:41">
      <c r="X204" s="1385"/>
      <c r="Y204" s="1385"/>
      <c r="Z204" s="1385"/>
      <c r="AA204" s="1385"/>
      <c r="AB204" s="1385"/>
      <c r="AC204" s="1385"/>
      <c r="AD204" s="1385"/>
      <c r="AE204" s="1385"/>
      <c r="AF204" s="1385"/>
      <c r="AG204" s="1385"/>
      <c r="AH204" s="1385"/>
      <c r="AI204" s="1385"/>
      <c r="AJ204" s="1385"/>
      <c r="AK204" s="1385"/>
      <c r="AL204" s="1385"/>
      <c r="AM204" s="1385"/>
      <c r="AN204" s="1385"/>
      <c r="AO204" s="1385"/>
    </row>
  </sheetData>
  <mergeCells count="5">
    <mergeCell ref="AS21:AT21"/>
    <mergeCell ref="B87:AD87"/>
    <mergeCell ref="AF139:AQ139"/>
    <mergeCell ref="B143:AF143"/>
    <mergeCell ref="B15:AQ15"/>
  </mergeCells>
  <pageMargins left="0.7" right="0.7" top="0.75" bottom="0.75" header="0.3" footer="0.3"/>
  <pageSetup paperSize="9" orientation="portrait" r:id="rId1"/>
  <headerFooter>
    <oddFooter>&amp;C&amp;1#&amp;"Calibri"&amp;10&amp;K000000OFFICIAL</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B119"/>
  <sheetViews>
    <sheetView topLeftCell="B15" zoomScale="70" zoomScaleNormal="70" workbookViewId="0">
      <selection activeCell="B15" sqref="A1:XFD1048576"/>
    </sheetView>
  </sheetViews>
  <sheetFormatPr defaultColWidth="7.109375" defaultRowHeight="12.75" outlineLevelRow="1"/>
  <cols>
    <col min="1" max="1" width="7.5546875" style="369" hidden="1" customWidth="1"/>
    <col min="2" max="2" width="3.5546875" style="369" customWidth="1"/>
    <col min="3" max="3" width="47.88671875" style="369" customWidth="1"/>
    <col min="4" max="15" width="1.6640625" style="369" hidden="1" customWidth="1"/>
    <col min="16" max="18" width="5.33203125" style="369" hidden="1" customWidth="1"/>
    <col min="19" max="19" width="5" style="369" hidden="1" customWidth="1"/>
    <col min="20" max="22" width="6.33203125" style="369" hidden="1" customWidth="1"/>
    <col min="23" max="23" width="7.109375" style="369" hidden="1" customWidth="1"/>
    <col min="24" max="24" width="7.109375" style="1079" hidden="1" customWidth="1"/>
    <col min="25" max="25" width="2.5546875" style="1079" hidden="1" customWidth="1"/>
    <col min="26" max="26" width="7.109375" style="1079" hidden="1" customWidth="1"/>
    <col min="27" max="27" width="2.5546875" style="1079" hidden="1" customWidth="1"/>
    <col min="28" max="28" width="6.6640625" style="1079" hidden="1" customWidth="1"/>
    <col min="29" max="29" width="3" style="1079" hidden="1" customWidth="1"/>
    <col min="30" max="30" width="7.109375" style="1079" hidden="1" customWidth="1"/>
    <col min="31" max="31" width="2.6640625" style="1079" hidden="1" customWidth="1"/>
    <col min="32" max="32" width="5" style="1079" hidden="1" customWidth="1"/>
    <col min="33" max="33" width="7.6640625" style="1440" customWidth="1"/>
    <col min="34" max="34" width="7.109375" style="1440" customWidth="1"/>
    <col min="35" max="35" width="6.77734375" style="1440" customWidth="1"/>
    <col min="36" max="36" width="6.6640625" style="369" customWidth="1"/>
    <col min="37" max="38" width="7.109375" style="369"/>
    <col min="39" max="39" width="7" style="369" customWidth="1"/>
    <col min="40" max="40" width="6.5546875" style="369" bestFit="1" customWidth="1"/>
    <col min="41" max="16384" width="7.109375" style="369"/>
  </cols>
  <sheetData>
    <row r="1" spans="1:54" hidden="1" outlineLevel="1">
      <c r="B1" s="369" t="s">
        <v>1115</v>
      </c>
    </row>
    <row r="2" spans="1:54" hidden="1" outlineLevel="1"/>
    <row r="3" spans="1:54" hidden="1" outlineLevel="1">
      <c r="AK3" s="1440"/>
    </row>
    <row r="4" spans="1:54" hidden="1" outlineLevel="1">
      <c r="B4" s="369" t="s">
        <v>1116</v>
      </c>
      <c r="P4" s="1081">
        <v>1993</v>
      </c>
      <c r="Q4" s="1081">
        <v>1994</v>
      </c>
      <c r="R4" s="1081">
        <v>1995</v>
      </c>
      <c r="S4" s="1081">
        <v>1996</v>
      </c>
      <c r="T4" s="1081">
        <v>1997</v>
      </c>
      <c r="U4" s="1081">
        <v>1998</v>
      </c>
      <c r="V4" s="1081">
        <v>1999</v>
      </c>
      <c r="W4" s="1081">
        <v>2000</v>
      </c>
      <c r="X4" s="1115">
        <v>2001</v>
      </c>
      <c r="Y4" s="1115"/>
      <c r="Z4" s="1115">
        <v>2003</v>
      </c>
      <c r="AA4" s="1115"/>
      <c r="AB4" s="1115">
        <v>2005</v>
      </c>
      <c r="AC4" s="1115"/>
      <c r="AD4" s="1115">
        <v>2007</v>
      </c>
      <c r="AE4" s="1115"/>
      <c r="AF4" s="1115">
        <v>2009</v>
      </c>
      <c r="AG4" s="1115">
        <v>2010</v>
      </c>
      <c r="AH4" s="1115">
        <v>2011</v>
      </c>
      <c r="AI4" s="1115">
        <v>2012</v>
      </c>
      <c r="AJ4" s="1115">
        <v>2013</v>
      </c>
      <c r="AK4" s="1115">
        <v>2014</v>
      </c>
      <c r="AL4" s="1115">
        <v>2015</v>
      </c>
      <c r="AM4" s="1115">
        <v>2016</v>
      </c>
      <c r="AN4" s="1115">
        <v>2017</v>
      </c>
      <c r="AO4" s="1115">
        <v>2018</v>
      </c>
      <c r="AP4" s="1115">
        <v>2019</v>
      </c>
      <c r="AQ4" s="1115">
        <v>2020</v>
      </c>
    </row>
    <row r="5" spans="1:54" hidden="1" outlineLevel="1"/>
    <row r="6" spans="1:54" hidden="1" outlineLevel="1">
      <c r="A6" s="369" t="s">
        <v>2</v>
      </c>
      <c r="B6" s="369" t="s">
        <v>3</v>
      </c>
      <c r="P6" s="1084">
        <f t="shared" ref="P6:V6" si="0">P94</f>
        <v>0</v>
      </c>
      <c r="Q6" s="1084">
        <f t="shared" si="0"/>
        <v>0</v>
      </c>
      <c r="R6" s="1084">
        <f t="shared" si="0"/>
        <v>0</v>
      </c>
      <c r="S6" s="1084">
        <f t="shared" si="0"/>
        <v>0</v>
      </c>
      <c r="T6" s="1084">
        <f t="shared" si="0"/>
        <v>0</v>
      </c>
      <c r="U6" s="1084">
        <f t="shared" si="0"/>
        <v>0</v>
      </c>
      <c r="V6" s="1084">
        <f t="shared" si="0"/>
        <v>0</v>
      </c>
      <c r="W6" s="1084"/>
      <c r="X6" s="1090">
        <f>X94</f>
        <v>0</v>
      </c>
      <c r="Y6" s="1090"/>
      <c r="Z6" s="1090">
        <f>Z94</f>
        <v>0</v>
      </c>
      <c r="AA6" s="1090"/>
      <c r="AB6" s="1090">
        <f>AB94</f>
        <v>0</v>
      </c>
      <c r="AC6" s="1090"/>
      <c r="AD6" s="1090">
        <f>AD94</f>
        <v>0</v>
      </c>
      <c r="AE6" s="1090"/>
      <c r="AF6" s="1090">
        <f t="shared" ref="AF6:AP6" si="1">AF94</f>
        <v>0</v>
      </c>
      <c r="AG6" s="1090">
        <f t="shared" si="1"/>
        <v>0</v>
      </c>
      <c r="AH6" s="1090">
        <f t="shared" si="1"/>
        <v>0</v>
      </c>
      <c r="AI6" s="1090">
        <f t="shared" si="1"/>
        <v>0</v>
      </c>
      <c r="AJ6" s="1090">
        <f t="shared" si="1"/>
        <v>0</v>
      </c>
      <c r="AK6" s="1090">
        <f t="shared" si="1"/>
        <v>0</v>
      </c>
      <c r="AL6" s="1090">
        <f t="shared" si="1"/>
        <v>0</v>
      </c>
      <c r="AM6" s="1090">
        <f t="shared" si="1"/>
        <v>0</v>
      </c>
      <c r="AN6" s="1090">
        <f t="shared" si="1"/>
        <v>0</v>
      </c>
      <c r="AO6" s="1090">
        <f t="shared" si="1"/>
        <v>0</v>
      </c>
      <c r="AP6" s="1090">
        <f t="shared" si="1"/>
        <v>0</v>
      </c>
      <c r="AQ6" s="1090"/>
    </row>
    <row r="7" spans="1:54" hidden="1" outlineLevel="1">
      <c r="A7" s="369" t="s">
        <v>4</v>
      </c>
      <c r="B7" s="369" t="s">
        <v>5</v>
      </c>
      <c r="P7" s="1084">
        <f t="shared" ref="P7:V7" si="2">P98</f>
        <v>0</v>
      </c>
      <c r="Q7" s="1084">
        <f t="shared" si="2"/>
        <v>0</v>
      </c>
      <c r="R7" s="1084">
        <f t="shared" si="2"/>
        <v>0</v>
      </c>
      <c r="S7" s="1084">
        <f t="shared" si="2"/>
        <v>0</v>
      </c>
      <c r="T7" s="1084">
        <f t="shared" si="2"/>
        <v>0</v>
      </c>
      <c r="U7" s="1084">
        <f t="shared" si="2"/>
        <v>0</v>
      </c>
      <c r="V7" s="1084">
        <f t="shared" si="2"/>
        <v>0</v>
      </c>
      <c r="W7" s="1084"/>
      <c r="X7" s="1090">
        <f>X98</f>
        <v>0</v>
      </c>
      <c r="Y7" s="1090"/>
      <c r="Z7" s="1090">
        <f>Z98</f>
        <v>0</v>
      </c>
      <c r="AA7" s="1090"/>
      <c r="AB7" s="1090">
        <f>AB98</f>
        <v>0</v>
      </c>
      <c r="AC7" s="1090"/>
      <c r="AD7" s="1090">
        <f>AD98</f>
        <v>0</v>
      </c>
      <c r="AE7" s="1090"/>
      <c r="AF7" s="1090">
        <f t="shared" ref="AF7:AP7" si="3">AF98</f>
        <v>0</v>
      </c>
      <c r="AG7" s="1090">
        <f t="shared" si="3"/>
        <v>0</v>
      </c>
      <c r="AH7" s="1090">
        <f t="shared" si="3"/>
        <v>0</v>
      </c>
      <c r="AI7" s="1090">
        <f t="shared" si="3"/>
        <v>0</v>
      </c>
      <c r="AJ7" s="1090">
        <f t="shared" si="3"/>
        <v>0</v>
      </c>
      <c r="AK7" s="1090">
        <f t="shared" si="3"/>
        <v>0</v>
      </c>
      <c r="AL7" s="1090">
        <f t="shared" si="3"/>
        <v>0</v>
      </c>
      <c r="AM7" s="1090">
        <f t="shared" si="3"/>
        <v>0</v>
      </c>
      <c r="AN7" s="1090">
        <f t="shared" si="3"/>
        <v>0</v>
      </c>
      <c r="AO7" s="1090">
        <f t="shared" si="3"/>
        <v>0</v>
      </c>
      <c r="AP7" s="1090">
        <f t="shared" si="3"/>
        <v>0</v>
      </c>
      <c r="AQ7" s="1090"/>
    </row>
    <row r="8" spans="1:54" hidden="1" outlineLevel="1">
      <c r="A8" s="311" t="s">
        <v>6</v>
      </c>
      <c r="P8" s="1084">
        <f t="shared" ref="P8:V8" si="4">P7+P6</f>
        <v>0</v>
      </c>
      <c r="Q8" s="1084">
        <f t="shared" si="4"/>
        <v>0</v>
      </c>
      <c r="R8" s="1084">
        <f t="shared" si="4"/>
        <v>0</v>
      </c>
      <c r="S8" s="1084">
        <f t="shared" si="4"/>
        <v>0</v>
      </c>
      <c r="T8" s="1084">
        <f t="shared" si="4"/>
        <v>0</v>
      </c>
      <c r="U8" s="1084">
        <f t="shared" si="4"/>
        <v>0</v>
      </c>
      <c r="V8" s="1084">
        <f t="shared" si="4"/>
        <v>0</v>
      </c>
      <c r="W8" s="1084"/>
      <c r="X8" s="1090">
        <f>X7+X6</f>
        <v>0</v>
      </c>
      <c r="Y8" s="1090"/>
      <c r="Z8" s="1090">
        <f>Z7+Z6</f>
        <v>0</v>
      </c>
      <c r="AA8" s="1090"/>
      <c r="AB8" s="1090">
        <f>AB7+AB6</f>
        <v>0</v>
      </c>
      <c r="AC8" s="1090"/>
      <c r="AD8" s="1090">
        <f>AD7+AD6</f>
        <v>0</v>
      </c>
      <c r="AE8" s="1090"/>
      <c r="AF8" s="1090">
        <f t="shared" ref="AF8:AP8" si="5">AF7+AF6</f>
        <v>0</v>
      </c>
      <c r="AG8" s="1090">
        <f t="shared" si="5"/>
        <v>0</v>
      </c>
      <c r="AH8" s="1090">
        <f t="shared" si="5"/>
        <v>0</v>
      </c>
      <c r="AI8" s="1090">
        <f t="shared" si="5"/>
        <v>0</v>
      </c>
      <c r="AJ8" s="1090">
        <f t="shared" si="5"/>
        <v>0</v>
      </c>
      <c r="AK8" s="1090">
        <f t="shared" si="5"/>
        <v>0</v>
      </c>
      <c r="AL8" s="1090">
        <f t="shared" si="5"/>
        <v>0</v>
      </c>
      <c r="AM8" s="1090">
        <f t="shared" si="5"/>
        <v>0</v>
      </c>
      <c r="AN8" s="1090">
        <f t="shared" si="5"/>
        <v>0</v>
      </c>
      <c r="AO8" s="1090">
        <f t="shared" si="5"/>
        <v>0</v>
      </c>
      <c r="AP8" s="1090">
        <f t="shared" si="5"/>
        <v>0</v>
      </c>
      <c r="AQ8" s="1090"/>
    </row>
    <row r="9" spans="1:54" hidden="1" outlineLevel="1">
      <c r="P9" s="1084"/>
      <c r="Q9" s="1084"/>
      <c r="R9" s="1084"/>
      <c r="S9" s="1084"/>
      <c r="T9" s="1084"/>
      <c r="U9" s="1084"/>
      <c r="V9" s="1084"/>
      <c r="W9" s="1084"/>
      <c r="X9" s="1090"/>
      <c r="Y9" s="1090"/>
      <c r="Z9" s="1090"/>
      <c r="AA9" s="1090"/>
      <c r="AB9" s="1090"/>
      <c r="AC9" s="1090"/>
      <c r="AD9" s="1090"/>
      <c r="AE9" s="1090"/>
      <c r="AF9" s="1090"/>
      <c r="AG9" s="1090"/>
      <c r="AH9" s="1090"/>
      <c r="AI9" s="1090"/>
      <c r="AJ9" s="1090"/>
      <c r="AK9" s="1090"/>
      <c r="AL9" s="1090"/>
      <c r="AM9" s="1090"/>
      <c r="AN9" s="1090"/>
      <c r="AO9" s="1090"/>
      <c r="AP9" s="1090"/>
      <c r="AQ9" s="1090"/>
    </row>
    <row r="10" spans="1:54" hidden="1" outlineLevel="1">
      <c r="B10" s="1099" t="s">
        <v>110</v>
      </c>
      <c r="P10" s="1084">
        <f t="shared" ref="P10:V10" si="6">P101</f>
        <v>0</v>
      </c>
      <c r="Q10" s="1084">
        <f t="shared" si="6"/>
        <v>0</v>
      </c>
      <c r="R10" s="1084">
        <f t="shared" si="6"/>
        <v>0</v>
      </c>
      <c r="S10" s="1084">
        <f t="shared" si="6"/>
        <v>0</v>
      </c>
      <c r="T10" s="1084">
        <f t="shared" si="6"/>
        <v>0</v>
      </c>
      <c r="U10" s="1084">
        <f t="shared" si="6"/>
        <v>0</v>
      </c>
      <c r="V10" s="1084">
        <f t="shared" si="6"/>
        <v>0</v>
      </c>
      <c r="W10" s="1084"/>
      <c r="X10" s="1090">
        <f>X101</f>
        <v>0</v>
      </c>
      <c r="Y10" s="1090"/>
      <c r="Z10" s="1090">
        <f>Z101</f>
        <v>0</v>
      </c>
      <c r="AA10" s="1090"/>
      <c r="AB10" s="1090">
        <f>AB101</f>
        <v>0</v>
      </c>
      <c r="AC10" s="1090"/>
      <c r="AD10" s="1090">
        <f>AD101</f>
        <v>0</v>
      </c>
      <c r="AE10" s="1090"/>
      <c r="AF10" s="1090">
        <f t="shared" ref="AF10:AP10" si="7">AF101</f>
        <v>0</v>
      </c>
      <c r="AG10" s="1090">
        <f t="shared" si="7"/>
        <v>0</v>
      </c>
      <c r="AH10" s="1090">
        <f t="shared" si="7"/>
        <v>0</v>
      </c>
      <c r="AI10" s="1090">
        <f t="shared" si="7"/>
        <v>0</v>
      </c>
      <c r="AJ10" s="1090">
        <f t="shared" si="7"/>
        <v>0</v>
      </c>
      <c r="AK10" s="1090">
        <f t="shared" si="7"/>
        <v>0</v>
      </c>
      <c r="AL10" s="1090">
        <f t="shared" si="7"/>
        <v>0</v>
      </c>
      <c r="AM10" s="1090">
        <f t="shared" si="7"/>
        <v>0</v>
      </c>
      <c r="AN10" s="1090">
        <f t="shared" si="7"/>
        <v>0</v>
      </c>
      <c r="AO10" s="1090">
        <f t="shared" si="7"/>
        <v>0</v>
      </c>
      <c r="AP10" s="1090">
        <f t="shared" si="7"/>
        <v>0</v>
      </c>
      <c r="AQ10" s="1090"/>
    </row>
    <row r="11" spans="1:54" hidden="1" outlineLevel="1">
      <c r="B11" s="1099"/>
      <c r="R11" s="1084"/>
      <c r="S11" s="1084"/>
      <c r="T11" s="1084"/>
      <c r="U11" s="1084"/>
      <c r="V11" s="1084"/>
      <c r="W11" s="1084"/>
      <c r="X11" s="1090"/>
      <c r="Y11" s="1090"/>
      <c r="Z11" s="1090"/>
      <c r="AA11" s="1090"/>
      <c r="AB11" s="1090"/>
      <c r="AC11" s="1090"/>
      <c r="AD11" s="1090"/>
      <c r="AE11" s="1090"/>
      <c r="AF11" s="1090"/>
      <c r="AG11" s="1090"/>
      <c r="AH11" s="1090"/>
      <c r="AI11" s="1090"/>
      <c r="AJ11" s="1090"/>
      <c r="AK11" s="1090"/>
      <c r="AL11" s="1090"/>
      <c r="AM11" s="1090"/>
      <c r="AN11" s="1090"/>
      <c r="AO11" s="1090"/>
      <c r="AP11" s="1090"/>
      <c r="AQ11" s="1090"/>
    </row>
    <row r="12" spans="1:54" hidden="1" outlineLevel="1">
      <c r="B12" s="1099" t="s">
        <v>8</v>
      </c>
      <c r="R12" s="1084"/>
      <c r="S12" s="1084"/>
      <c r="T12" s="1084"/>
      <c r="U12" s="1084"/>
      <c r="V12" s="1084"/>
      <c r="W12" s="1084"/>
      <c r="X12" s="1090">
        <f>X95</f>
        <v>0</v>
      </c>
      <c r="Y12" s="1090"/>
      <c r="Z12" s="1090">
        <f>Z95</f>
        <v>0</v>
      </c>
      <c r="AA12" s="1090"/>
      <c r="AB12" s="1090">
        <f>AB95</f>
        <v>0</v>
      </c>
      <c r="AC12" s="1090"/>
      <c r="AD12" s="1090">
        <f>AD95</f>
        <v>0</v>
      </c>
      <c r="AE12" s="1090"/>
      <c r="AF12" s="1090">
        <f t="shared" ref="AF12:AP12" si="8">AF95</f>
        <v>0</v>
      </c>
      <c r="AG12" s="1090">
        <f t="shared" si="8"/>
        <v>0</v>
      </c>
      <c r="AH12" s="1090">
        <f t="shared" si="8"/>
        <v>0</v>
      </c>
      <c r="AI12" s="1090">
        <f t="shared" si="8"/>
        <v>0</v>
      </c>
      <c r="AJ12" s="1090">
        <f t="shared" si="8"/>
        <v>0</v>
      </c>
      <c r="AK12" s="1090">
        <f t="shared" si="8"/>
        <v>0</v>
      </c>
      <c r="AL12" s="1090">
        <f t="shared" si="8"/>
        <v>0</v>
      </c>
      <c r="AM12" s="1090">
        <f t="shared" si="8"/>
        <v>0</v>
      </c>
      <c r="AN12" s="1090">
        <f t="shared" si="8"/>
        <v>0</v>
      </c>
      <c r="AO12" s="1090">
        <f t="shared" si="8"/>
        <v>0</v>
      </c>
      <c r="AP12" s="1090">
        <f t="shared" si="8"/>
        <v>0</v>
      </c>
      <c r="AQ12" s="1090"/>
    </row>
    <row r="13" spans="1:54" hidden="1" outlineLevel="1">
      <c r="C13" s="369" t="s">
        <v>256</v>
      </c>
      <c r="R13" s="1084"/>
      <c r="S13" s="1084"/>
      <c r="T13" s="1084"/>
      <c r="U13" s="1084"/>
      <c r="V13" s="1084"/>
      <c r="W13" s="1084"/>
      <c r="X13" s="1090"/>
      <c r="Y13" s="1090"/>
      <c r="Z13" s="1090"/>
      <c r="AA13" s="1090"/>
      <c r="AB13" s="1090"/>
      <c r="AC13" s="1090"/>
      <c r="AD13" s="1090"/>
      <c r="AE13" s="1090"/>
      <c r="AF13" s="1090"/>
      <c r="AG13" s="1441"/>
      <c r="AH13" s="1441"/>
    </row>
    <row r="14" spans="1:54" hidden="1" outlineLevel="1">
      <c r="C14" s="369" t="s">
        <v>257</v>
      </c>
      <c r="R14" s="1084"/>
      <c r="S14" s="1084"/>
      <c r="T14" s="1084"/>
      <c r="U14" s="1084"/>
      <c r="V14" s="1084"/>
      <c r="W14" s="1084"/>
      <c r="X14" s="1090"/>
      <c r="Y14" s="1090"/>
      <c r="Z14" s="1090"/>
      <c r="AA14" s="1090"/>
      <c r="AB14" s="1090"/>
      <c r="AC14" s="1090"/>
      <c r="AD14" s="1090"/>
      <c r="AE14" s="1090"/>
      <c r="AF14" s="1090"/>
      <c r="AG14" s="1441"/>
      <c r="AH14" s="1441"/>
    </row>
    <row r="15" spans="1:54" ht="27" customHeight="1" collapsed="1">
      <c r="B15" s="1975" t="s">
        <v>431</v>
      </c>
      <c r="C15" s="1975"/>
      <c r="D15" s="1975"/>
      <c r="E15" s="1975"/>
      <c r="F15" s="1975"/>
      <c r="G15" s="1975"/>
      <c r="H15" s="1975"/>
      <c r="I15" s="1975"/>
      <c r="J15" s="1975"/>
      <c r="K15" s="1975"/>
      <c r="L15" s="1975"/>
      <c r="M15" s="1975"/>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c r="AT15" s="1975"/>
      <c r="AU15" s="1975"/>
      <c r="AV15" s="1975"/>
      <c r="AW15" s="1975"/>
      <c r="AX15" s="1975"/>
      <c r="AY15" s="1975"/>
      <c r="AZ15" s="1975"/>
      <c r="BA15" s="1975"/>
      <c r="BB15" s="1975"/>
    </row>
    <row r="16" spans="1:54">
      <c r="B16" s="1099"/>
      <c r="C16" s="1099"/>
      <c r="D16" s="1099"/>
      <c r="E16" s="1099"/>
      <c r="F16" s="1099"/>
      <c r="G16" s="1099"/>
      <c r="H16" s="1099"/>
      <c r="I16" s="1099"/>
      <c r="J16" s="1099"/>
      <c r="K16" s="1099"/>
      <c r="L16" s="1099"/>
      <c r="M16" s="1099"/>
      <c r="N16" s="1099"/>
      <c r="O16" s="1442"/>
      <c r="P16" s="1442"/>
      <c r="Q16" s="1442"/>
      <c r="R16" s="1442"/>
      <c r="S16" s="1442"/>
      <c r="T16" s="1442"/>
      <c r="U16" s="1442"/>
      <c r="V16" s="1442"/>
      <c r="W16" s="1442"/>
      <c r="X16" s="952"/>
      <c r="Y16" s="947"/>
      <c r="Z16" s="947"/>
      <c r="AA16" s="947"/>
      <c r="AB16" s="947"/>
      <c r="AC16" s="947"/>
      <c r="AD16" s="947"/>
      <c r="AE16" s="947"/>
      <c r="AF16" s="947"/>
      <c r="AG16" s="1441"/>
      <c r="AH16" s="1441"/>
    </row>
    <row r="17" spans="2:54">
      <c r="B17" s="1102" t="s">
        <v>1115</v>
      </c>
      <c r="C17" s="1443"/>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3"/>
      <c r="AA17" s="1443"/>
      <c r="AB17" s="1443"/>
      <c r="AC17" s="1443"/>
      <c r="AD17" s="1443"/>
      <c r="AE17" s="1443"/>
      <c r="AF17" s="1443"/>
      <c r="AG17" s="1441"/>
      <c r="AH17" s="1441"/>
    </row>
    <row r="18" spans="2:54">
      <c r="B18" s="1099"/>
      <c r="C18" s="1099"/>
      <c r="D18" s="1099"/>
      <c r="E18" s="1099"/>
      <c r="F18" s="1099"/>
      <c r="G18" s="1099"/>
      <c r="H18" s="1099"/>
      <c r="I18" s="1099"/>
      <c r="J18" s="1099"/>
      <c r="K18" s="1099"/>
      <c r="L18" s="1099"/>
      <c r="M18" s="1099"/>
      <c r="N18" s="1099"/>
      <c r="O18" s="1442"/>
      <c r="P18" s="1442"/>
      <c r="Q18" s="1442"/>
      <c r="R18" s="1442"/>
      <c r="S18" s="1442"/>
      <c r="T18" s="1442"/>
      <c r="U18" s="1442"/>
      <c r="V18" s="1442"/>
      <c r="W18" s="1442"/>
      <c r="X18" s="952"/>
      <c r="Y18" s="947"/>
      <c r="Z18" s="947"/>
      <c r="AA18" s="947"/>
      <c r="AB18" s="947"/>
      <c r="AC18" s="947"/>
      <c r="AD18" s="947"/>
      <c r="AE18" s="947"/>
      <c r="AF18" s="947"/>
      <c r="AG18" s="1441"/>
      <c r="AH18" s="1441"/>
    </row>
    <row r="19" spans="2:54">
      <c r="B19" s="1444" t="s">
        <v>1117</v>
      </c>
      <c r="C19" s="1443"/>
      <c r="D19" s="1443"/>
      <c r="E19" s="1443"/>
      <c r="F19" s="1443"/>
      <c r="G19" s="1443"/>
      <c r="H19" s="1443"/>
      <c r="I19" s="1443"/>
      <c r="J19" s="1443"/>
      <c r="K19" s="1443"/>
      <c r="L19" s="1443"/>
      <c r="M19" s="1443"/>
      <c r="N19" s="1443"/>
      <c r="O19" s="1443"/>
      <c r="P19" s="1443"/>
      <c r="Q19" s="1443"/>
      <c r="R19" s="1443"/>
      <c r="S19" s="1443"/>
      <c r="T19" s="1443"/>
      <c r="U19" s="1443"/>
      <c r="V19" s="1443"/>
      <c r="W19" s="1443"/>
      <c r="X19" s="1443"/>
      <c r="Y19" s="1443"/>
      <c r="Z19" s="1443"/>
      <c r="AA19" s="1443"/>
      <c r="AB19" s="1443"/>
      <c r="AC19" s="1443"/>
      <c r="AD19" s="1443"/>
      <c r="AE19" s="1443"/>
      <c r="AF19" s="1443"/>
      <c r="AG19" s="1441"/>
      <c r="AH19" s="1441"/>
    </row>
    <row r="20" spans="2:54" ht="7.5" customHeight="1">
      <c r="B20" s="1445"/>
      <c r="C20" s="1445"/>
      <c r="D20" s="1445"/>
      <c r="E20" s="1445"/>
      <c r="F20" s="1445"/>
      <c r="G20" s="1445"/>
      <c r="H20" s="1445"/>
      <c r="I20" s="1445"/>
      <c r="J20" s="1445"/>
      <c r="K20" s="1445"/>
      <c r="L20" s="1445"/>
      <c r="M20" s="1445"/>
      <c r="N20" s="1445"/>
      <c r="O20" s="1446"/>
      <c r="P20" s="1446"/>
      <c r="Q20" s="1446"/>
      <c r="R20" s="1446"/>
      <c r="S20" s="1446"/>
      <c r="T20" s="1446"/>
      <c r="U20" s="1446"/>
      <c r="V20" s="1446"/>
      <c r="W20" s="1446"/>
      <c r="X20" s="961"/>
      <c r="Y20" s="961"/>
      <c r="Z20" s="961"/>
      <c r="AA20" s="961"/>
      <c r="AB20" s="961"/>
      <c r="AC20" s="961"/>
      <c r="AD20" s="961"/>
      <c r="AE20" s="961"/>
      <c r="AF20" s="961"/>
      <c r="AG20" s="1441"/>
      <c r="AH20" s="1441"/>
    </row>
    <row r="21" spans="2:54">
      <c r="B21" s="1099"/>
      <c r="C21" s="1099"/>
      <c r="D21" s="1099"/>
      <c r="E21" s="1099"/>
      <c r="F21" s="1099"/>
      <c r="G21" s="1099"/>
      <c r="H21" s="1099"/>
      <c r="I21" s="1099"/>
      <c r="J21" s="1099"/>
      <c r="K21" s="1099"/>
      <c r="L21" s="1099"/>
      <c r="M21" s="1099"/>
      <c r="N21" s="1099"/>
      <c r="O21" s="1442"/>
      <c r="P21" s="1442"/>
      <c r="Q21" s="1442"/>
      <c r="R21" s="1442"/>
      <c r="S21" s="1442"/>
      <c r="T21" s="1442"/>
      <c r="U21" s="1442"/>
      <c r="V21" s="1442"/>
      <c r="W21" s="1442"/>
      <c r="X21" s="1447">
        <v>2001</v>
      </c>
      <c r="Y21" s="1448"/>
      <c r="Z21" s="1449">
        <v>2003</v>
      </c>
      <c r="AA21" s="1448"/>
      <c r="AB21" s="1449">
        <v>2005</v>
      </c>
      <c r="AC21" s="1448"/>
      <c r="AD21" s="1449">
        <v>2007</v>
      </c>
      <c r="AE21" s="1448"/>
      <c r="AF21" s="1449">
        <v>2009</v>
      </c>
      <c r="AG21" s="1450">
        <v>2010</v>
      </c>
      <c r="AH21" s="1449" t="s">
        <v>1118</v>
      </c>
      <c r="AI21" s="1450">
        <v>2011</v>
      </c>
      <c r="AJ21" s="1449" t="s">
        <v>1118</v>
      </c>
      <c r="AK21" s="1450">
        <v>2012</v>
      </c>
      <c r="AL21" s="1449" t="s">
        <v>1118</v>
      </c>
      <c r="AM21" s="1450">
        <v>2013</v>
      </c>
      <c r="AN21" s="1449" t="s">
        <v>1118</v>
      </c>
      <c r="AO21" s="1450">
        <v>2014</v>
      </c>
      <c r="AP21" s="1449" t="s">
        <v>1118</v>
      </c>
      <c r="AQ21" s="1450">
        <v>2015</v>
      </c>
      <c r="AR21" s="1449" t="s">
        <v>1118</v>
      </c>
      <c r="AS21" s="1450">
        <v>2016</v>
      </c>
      <c r="AT21" s="1449" t="s">
        <v>1118</v>
      </c>
      <c r="AU21" s="1450">
        <v>2017</v>
      </c>
      <c r="AV21" s="1449" t="s">
        <v>1118</v>
      </c>
      <c r="AW21" s="1450">
        <v>2018</v>
      </c>
      <c r="AX21" s="1449" t="s">
        <v>1118</v>
      </c>
      <c r="AY21" s="1450">
        <v>2019</v>
      </c>
      <c r="AZ21" s="1449" t="s">
        <v>1118</v>
      </c>
      <c r="BA21" s="1450">
        <v>2020</v>
      </c>
      <c r="BB21" s="1449" t="s">
        <v>1118</v>
      </c>
    </row>
    <row r="22" spans="2:54" ht="7.5" customHeight="1">
      <c r="B22" s="1451"/>
      <c r="C22" s="1452"/>
      <c r="D22" s="1099"/>
      <c r="E22" s="1099"/>
      <c r="F22" s="1099"/>
      <c r="G22" s="1099"/>
      <c r="H22" s="1099"/>
      <c r="I22" s="1099"/>
      <c r="J22" s="1099"/>
      <c r="K22" s="1099"/>
      <c r="L22" s="1099"/>
      <c r="M22" s="1099"/>
      <c r="N22" s="1099"/>
      <c r="O22" s="1442"/>
      <c r="P22" s="1442"/>
      <c r="Q22" s="1442"/>
      <c r="R22" s="1442"/>
      <c r="S22" s="1442"/>
      <c r="T22" s="1442"/>
      <c r="U22" s="1442"/>
      <c r="V22" s="1442"/>
      <c r="W22" s="1442"/>
      <c r="X22" s="952"/>
      <c r="Y22" s="952"/>
      <c r="Z22" s="952"/>
      <c r="AA22" s="952"/>
      <c r="AB22" s="952"/>
      <c r="AC22" s="952"/>
      <c r="AD22" s="952"/>
      <c r="AE22" s="952"/>
      <c r="AF22" s="952"/>
      <c r="AG22" s="1441"/>
      <c r="AH22" s="1441"/>
    </row>
    <row r="23" spans="2:54">
      <c r="B23" s="1453" t="s">
        <v>436</v>
      </c>
      <c r="C23" s="880"/>
      <c r="D23" s="1099"/>
      <c r="E23" s="1099"/>
      <c r="F23" s="1099"/>
      <c r="G23" s="1099"/>
      <c r="H23" s="1099"/>
      <c r="I23" s="1099"/>
      <c r="J23" s="1099"/>
      <c r="K23" s="1099"/>
      <c r="L23" s="1099"/>
      <c r="M23" s="1099"/>
      <c r="N23" s="1099"/>
      <c r="O23" s="1442"/>
      <c r="P23" s="1442"/>
      <c r="Q23" s="1442"/>
      <c r="R23" s="1442"/>
      <c r="S23" s="1442"/>
      <c r="T23" s="1442"/>
      <c r="U23" s="1442"/>
      <c r="V23" s="1442"/>
      <c r="W23" s="1442"/>
      <c r="X23" s="1454"/>
      <c r="Y23" s="952"/>
      <c r="Z23" s="1454"/>
      <c r="AA23" s="952"/>
      <c r="AB23" s="1454"/>
      <c r="AC23" s="952"/>
      <c r="AD23" s="1454"/>
      <c r="AE23" s="952"/>
      <c r="AF23" s="1454"/>
      <c r="AG23" s="1441">
        <v>2667.3296386957099</v>
      </c>
      <c r="AH23" s="1441"/>
      <c r="AI23" s="1441">
        <v>2998.0406021928911</v>
      </c>
      <c r="AK23" s="1441">
        <v>3023.42859237523</v>
      </c>
      <c r="AM23" s="1441">
        <v>2392.2186897587999</v>
      </c>
      <c r="AO23" s="1441">
        <f>SUM(AO24:AO49)</f>
        <v>2323.5749374916168</v>
      </c>
      <c r="AQ23" s="1441">
        <f>SUM(AQ24:AQ49)</f>
        <v>2181.7880866646187</v>
      </c>
      <c r="AS23" s="1441">
        <f>SUM(AS24:AS50)</f>
        <v>2959.5853723254463</v>
      </c>
      <c r="AU23" s="1441">
        <f>SUM(AU24:AU50)</f>
        <v>2910.4435645203444</v>
      </c>
      <c r="AW23" s="1441">
        <f>SUM(AW24:AW50)</f>
        <v>4656.8020002593721</v>
      </c>
      <c r="AY23" s="1441">
        <f>SUM(AY24:AY50)</f>
        <v>4947.9487491440741</v>
      </c>
      <c r="BA23" s="1441"/>
    </row>
    <row r="24" spans="2:54">
      <c r="B24" s="304"/>
      <c r="C24" s="1455" t="s">
        <v>410</v>
      </c>
      <c r="D24" s="1099"/>
      <c r="E24" s="1099"/>
      <c r="F24" s="1099"/>
      <c r="G24" s="1099"/>
      <c r="H24" s="1099"/>
      <c r="I24" s="1099"/>
      <c r="J24" s="1099"/>
      <c r="K24" s="1099"/>
      <c r="L24" s="1099"/>
      <c r="M24" s="1099"/>
      <c r="N24" s="1099"/>
      <c r="O24" s="1442"/>
      <c r="P24" s="1442"/>
      <c r="Q24" s="1442"/>
      <c r="R24" s="1442"/>
      <c r="S24" s="1442"/>
      <c r="T24" s="1442"/>
      <c r="U24" s="1442"/>
      <c r="V24" s="1442"/>
      <c r="W24" s="1442"/>
      <c r="X24" s="952"/>
      <c r="Y24" s="952"/>
      <c r="Z24" s="952"/>
      <c r="AA24" s="952"/>
      <c r="AB24" s="952"/>
      <c r="AC24" s="952"/>
      <c r="AD24" s="952"/>
      <c r="AE24" s="952"/>
      <c r="AF24" s="952"/>
      <c r="AG24" s="1456">
        <f>2116191240.25346/1000000</f>
        <v>2116.1912402534599</v>
      </c>
      <c r="AH24" s="1457">
        <v>6.1706659085701379</v>
      </c>
      <c r="AI24" s="1456">
        <f>2412737230.31238/1000000</f>
        <v>2412.7372303123798</v>
      </c>
      <c r="AJ24" s="1458">
        <v>7.8949916813918328</v>
      </c>
      <c r="AK24" s="1456">
        <f>2378176864.50273/1000000</f>
        <v>2378.17686450273</v>
      </c>
      <c r="AL24" s="1458">
        <v>7.5230915591681837</v>
      </c>
      <c r="AM24" s="1456">
        <f>1834198609.4834/1000000</f>
        <v>1834.1986094834001</v>
      </c>
      <c r="AN24" s="1458">
        <v>5.7676854562231501</v>
      </c>
      <c r="AO24" s="1456">
        <f>1838195643.50705/1000000</f>
        <v>1838.1956435070501</v>
      </c>
      <c r="AP24" s="1458">
        <v>5.8083337033846316</v>
      </c>
      <c r="AQ24" s="1456">
        <f>1719701101.59647/1000000</f>
        <v>1719.7011015964702</v>
      </c>
      <c r="AR24" s="1458">
        <v>5.3561948442740608</v>
      </c>
      <c r="AS24" s="1456">
        <f>2287697297.82392/1000000</f>
        <v>2287.6972978239196</v>
      </c>
      <c r="AT24" s="1459">
        <v>6.944429283602263</v>
      </c>
      <c r="AU24" s="1456">
        <f>2237744573.87684/1000000</f>
        <v>2237.7445738768401</v>
      </c>
      <c r="AV24" s="1458">
        <v>6.8360750371150028</v>
      </c>
      <c r="AW24" s="1456">
        <f>3791208128.28264/1000000</f>
        <v>3791.2081282826398</v>
      </c>
      <c r="AX24" s="1458">
        <v>8.0150325224178776</v>
      </c>
      <c r="AY24" s="1460">
        <f>4022168823.62134/1000000</f>
        <v>4022.1688236213399</v>
      </c>
      <c r="AZ24" s="1458">
        <v>8.4603341216933803</v>
      </c>
      <c r="BA24" s="1460"/>
      <c r="BB24" s="1458"/>
    </row>
    <row r="25" spans="2:54" ht="14.25">
      <c r="B25" s="880"/>
      <c r="C25" s="1135" t="s">
        <v>1635</v>
      </c>
      <c r="D25" s="1099"/>
      <c r="E25" s="1099"/>
      <c r="F25" s="1099"/>
      <c r="G25" s="1099"/>
      <c r="H25" s="1099"/>
      <c r="I25" s="1099"/>
      <c r="J25" s="1099"/>
      <c r="K25" s="1099"/>
      <c r="L25" s="1099"/>
      <c r="M25" s="1099"/>
      <c r="N25" s="1099"/>
      <c r="O25" s="1442"/>
      <c r="P25" s="1442"/>
      <c r="Q25" s="1442"/>
      <c r="R25" s="1442"/>
      <c r="S25" s="1442"/>
      <c r="T25" s="1442"/>
      <c r="U25" s="1442"/>
      <c r="V25" s="1442"/>
      <c r="W25" s="1442"/>
      <c r="X25" s="1461"/>
      <c r="Y25" s="952"/>
      <c r="Z25" s="1461"/>
      <c r="AA25" s="952"/>
      <c r="AB25" s="1461"/>
      <c r="AC25" s="952"/>
      <c r="AD25" s="1461"/>
      <c r="AE25" s="952"/>
      <c r="AF25" s="1461"/>
      <c r="AG25" s="1462"/>
      <c r="AH25" s="1463"/>
      <c r="AI25" s="1462"/>
      <c r="AJ25" s="1464"/>
      <c r="AK25" s="1464"/>
      <c r="AL25" s="1464"/>
      <c r="AM25" s="1464"/>
      <c r="AN25" s="1464"/>
      <c r="AO25" s="1464"/>
      <c r="AP25" s="1464"/>
      <c r="AQ25" s="1464"/>
      <c r="AR25" s="1464"/>
      <c r="AS25" s="1464"/>
      <c r="AT25" s="1465"/>
      <c r="AU25" s="1464"/>
      <c r="AV25" s="1464"/>
      <c r="AW25" s="1464"/>
      <c r="AX25" s="1464"/>
      <c r="AY25" s="1464"/>
      <c r="AZ25" s="1464"/>
      <c r="BA25" s="1464"/>
      <c r="BB25" s="1464"/>
    </row>
    <row r="26" spans="2:54">
      <c r="B26" s="880"/>
      <c r="C26" s="1135" t="s">
        <v>506</v>
      </c>
      <c r="D26" s="1099"/>
      <c r="E26" s="1099"/>
      <c r="F26" s="1099"/>
      <c r="G26" s="1099"/>
      <c r="H26" s="1099"/>
      <c r="I26" s="1099"/>
      <c r="J26" s="1099"/>
      <c r="K26" s="1099"/>
      <c r="L26" s="1099"/>
      <c r="M26" s="1099"/>
      <c r="N26" s="1099"/>
      <c r="O26" s="1442"/>
      <c r="P26" s="1442"/>
      <c r="Q26" s="1442"/>
      <c r="R26" s="1442"/>
      <c r="S26" s="1442"/>
      <c r="T26" s="1442"/>
      <c r="U26" s="1442"/>
      <c r="V26" s="1442"/>
      <c r="W26" s="1442"/>
      <c r="X26" s="1461"/>
      <c r="Y26" s="952"/>
      <c r="Z26" s="1461"/>
      <c r="AA26" s="952"/>
      <c r="AB26" s="1461"/>
      <c r="AC26" s="952"/>
      <c r="AD26" s="1461"/>
      <c r="AE26" s="952"/>
      <c r="AF26" s="1461"/>
      <c r="AG26" s="1462"/>
      <c r="AH26" s="1463"/>
      <c r="AI26" s="1462"/>
      <c r="AJ26" s="1463"/>
      <c r="AT26" s="1466"/>
    </row>
    <row r="27" spans="2:54" ht="14.25">
      <c r="B27" s="1467"/>
      <c r="C27" s="1135" t="s">
        <v>1636</v>
      </c>
      <c r="D27" s="1099"/>
      <c r="E27" s="1099"/>
      <c r="F27" s="1099"/>
      <c r="G27" s="1099"/>
      <c r="H27" s="1099"/>
      <c r="I27" s="1099"/>
      <c r="J27" s="1099"/>
      <c r="K27" s="1099"/>
      <c r="L27" s="1099"/>
      <c r="M27" s="1099"/>
      <c r="N27" s="1099"/>
      <c r="O27" s="1442"/>
      <c r="P27" s="1442"/>
      <c r="Q27" s="1442"/>
      <c r="R27" s="1442"/>
      <c r="S27" s="1442"/>
      <c r="T27" s="1442"/>
      <c r="U27" s="1442"/>
      <c r="V27" s="1442"/>
      <c r="W27" s="1442"/>
      <c r="X27" s="1461"/>
      <c r="Y27" s="952"/>
      <c r="Z27" s="1461"/>
      <c r="AA27" s="952"/>
      <c r="AB27" s="1461"/>
      <c r="AC27" s="952"/>
      <c r="AD27" s="1461"/>
      <c r="AE27" s="952"/>
      <c r="AF27" s="1461"/>
      <c r="AG27" s="1462"/>
      <c r="AH27" s="1463"/>
      <c r="AI27" s="1462"/>
      <c r="AJ27" s="1463"/>
      <c r="AT27" s="1466"/>
    </row>
    <row r="28" spans="2:54" ht="6" customHeight="1">
      <c r="B28" s="304"/>
      <c r="C28" s="1135"/>
      <c r="D28" s="1445"/>
      <c r="E28" s="1445"/>
      <c r="F28" s="1445"/>
      <c r="G28" s="1445"/>
      <c r="H28" s="1445"/>
      <c r="I28" s="1445"/>
      <c r="J28" s="1445"/>
      <c r="K28" s="1445"/>
      <c r="L28" s="1445"/>
      <c r="M28" s="1445"/>
      <c r="N28" s="1445"/>
      <c r="O28" s="1446"/>
      <c r="P28" s="1446"/>
      <c r="Q28" s="1446"/>
      <c r="R28" s="1446"/>
      <c r="S28" s="1446"/>
      <c r="T28" s="1446"/>
      <c r="U28" s="1446"/>
      <c r="V28" s="1446"/>
      <c r="W28" s="1446"/>
      <c r="X28" s="952"/>
      <c r="Y28" s="952"/>
      <c r="Z28" s="952"/>
      <c r="AA28" s="952"/>
      <c r="AB28" s="952"/>
      <c r="AC28" s="952"/>
      <c r="AD28" s="952"/>
      <c r="AE28" s="952"/>
      <c r="AF28" s="952"/>
      <c r="AG28" s="1462"/>
      <c r="AH28" s="1463"/>
      <c r="AI28" s="1462"/>
      <c r="AJ28" s="1463"/>
      <c r="AT28" s="1466"/>
    </row>
    <row r="29" spans="2:54">
      <c r="B29" s="1099"/>
      <c r="C29" s="1455" t="s">
        <v>413</v>
      </c>
      <c r="D29" s="1099"/>
      <c r="E29" s="1099"/>
      <c r="F29" s="1099"/>
      <c r="G29" s="1099"/>
      <c r="H29" s="1099"/>
      <c r="I29" s="1099"/>
      <c r="J29" s="1099"/>
      <c r="K29" s="1099"/>
      <c r="L29" s="1099"/>
      <c r="M29" s="1099"/>
      <c r="N29" s="1099"/>
      <c r="O29" s="1442"/>
      <c r="P29" s="1442"/>
      <c r="Q29" s="1442"/>
      <c r="R29" s="1442"/>
      <c r="S29" s="1442"/>
      <c r="T29" s="1442"/>
      <c r="U29" s="1442"/>
      <c r="V29" s="1442"/>
      <c r="W29" s="1442"/>
      <c r="X29" s="952"/>
      <c r="Y29" s="952"/>
      <c r="Z29" s="952"/>
      <c r="AA29" s="952"/>
      <c r="AB29" s="952"/>
      <c r="AC29" s="952"/>
      <c r="AD29" s="952"/>
      <c r="AE29" s="952"/>
      <c r="AF29" s="952"/>
      <c r="AG29" s="1456">
        <f>353822096.318031/1000000</f>
        <v>353.82209631803102</v>
      </c>
      <c r="AH29" s="1457">
        <v>8.5398259737757094</v>
      </c>
      <c r="AI29" s="1456">
        <f>316421200.574375/1000000</f>
        <v>316.42120057437495</v>
      </c>
      <c r="AJ29" s="1458">
        <v>10.756651824455842</v>
      </c>
      <c r="AK29" s="1456">
        <f>407282100.771048/1000000</f>
        <v>407.28210077104802</v>
      </c>
      <c r="AL29" s="1458">
        <v>10.459775796419898</v>
      </c>
      <c r="AM29" s="1456">
        <f>381351728.886333/1000000</f>
        <v>381.35172888633298</v>
      </c>
      <c r="AN29" s="1458">
        <v>9.9835339244935799</v>
      </c>
      <c r="AO29" s="1456">
        <f>351301891.299821/1000000</f>
        <v>351.30189129982102</v>
      </c>
      <c r="AP29" s="1458">
        <v>9.554195863553927</v>
      </c>
      <c r="AQ29" s="1456">
        <f>334681523.254256/1000000</f>
        <v>334.68152325425604</v>
      </c>
      <c r="AR29" s="1458">
        <v>9.1948554347387059</v>
      </c>
      <c r="AS29" s="1456">
        <f>470076547.823111/1000000</f>
        <v>470.07654782311101</v>
      </c>
      <c r="AT29" s="1459">
        <v>11.60314947276955</v>
      </c>
      <c r="AU29" s="1456">
        <f>482637426.961361/1000000</f>
        <v>482.63742696136097</v>
      </c>
      <c r="AV29" s="1458">
        <v>11.33230432006793</v>
      </c>
      <c r="AW29" s="1460">
        <f>706745632.074504/1000000</f>
        <v>706.74563207450399</v>
      </c>
      <c r="AX29" s="1458">
        <v>12.368627422715722</v>
      </c>
      <c r="AY29" s="1460">
        <f>752428998.121925/1000000</f>
        <v>752.42899812192502</v>
      </c>
      <c r="AZ29" s="1458">
        <v>13.201950218380196</v>
      </c>
      <c r="BA29" s="1460"/>
      <c r="BB29" s="1458"/>
    </row>
    <row r="30" spans="2:54" ht="14.25">
      <c r="B30" s="1094"/>
      <c r="C30" s="1135" t="s">
        <v>1635</v>
      </c>
      <c r="D30" s="1099"/>
      <c r="E30" s="1099"/>
      <c r="F30" s="1099"/>
      <c r="G30" s="1099"/>
      <c r="H30" s="1099"/>
      <c r="I30" s="1099"/>
      <c r="J30" s="1099"/>
      <c r="K30" s="1099"/>
      <c r="L30" s="1099"/>
      <c r="M30" s="1099"/>
      <c r="N30" s="1099"/>
      <c r="O30" s="1442"/>
      <c r="P30" s="1442"/>
      <c r="Q30" s="1442"/>
      <c r="R30" s="1442"/>
      <c r="S30" s="1442"/>
      <c r="T30" s="1442"/>
      <c r="U30" s="1442"/>
      <c r="V30" s="1442"/>
      <c r="W30" s="1442"/>
      <c r="X30" s="952"/>
      <c r="Y30" s="952"/>
      <c r="Z30" s="952"/>
      <c r="AA30" s="952"/>
      <c r="AB30" s="952"/>
      <c r="AC30" s="952"/>
      <c r="AD30" s="952"/>
      <c r="AE30" s="952"/>
      <c r="AF30" s="952"/>
      <c r="AG30" s="1462"/>
      <c r="AH30" s="1463"/>
      <c r="AI30" s="1462"/>
      <c r="AJ30" s="1464"/>
      <c r="AK30" s="1464"/>
      <c r="AL30" s="1464"/>
      <c r="AM30" s="1464"/>
      <c r="AN30" s="1464"/>
      <c r="AO30" s="1464"/>
      <c r="AP30" s="1464"/>
      <c r="AQ30" s="1464"/>
      <c r="AR30" s="1464"/>
      <c r="AS30" s="1464"/>
      <c r="AT30" s="1465"/>
      <c r="AU30" s="1464"/>
      <c r="AV30" s="1464"/>
      <c r="AW30" s="1464"/>
      <c r="AX30" s="1464"/>
      <c r="AY30" s="1464"/>
      <c r="AZ30" s="1464"/>
      <c r="BA30" s="1464"/>
      <c r="BB30" s="1464"/>
    </row>
    <row r="31" spans="2:54" ht="14.25">
      <c r="C31" s="1135" t="s">
        <v>1636</v>
      </c>
      <c r="R31" s="1084"/>
      <c r="S31" s="1084"/>
      <c r="T31" s="1084"/>
      <c r="U31" s="1084"/>
      <c r="V31" s="1084"/>
      <c r="W31" s="1084"/>
      <c r="X31" s="1106"/>
      <c r="Y31" s="1106"/>
      <c r="Z31" s="1106"/>
      <c r="AA31" s="1106"/>
      <c r="AB31" s="1106"/>
      <c r="AC31" s="1106"/>
      <c r="AD31" s="1106"/>
      <c r="AE31" s="1106"/>
      <c r="AF31" s="1106"/>
      <c r="AG31" s="1462"/>
      <c r="AH31" s="1463"/>
      <c r="AI31" s="1462"/>
      <c r="AJ31" s="1463"/>
      <c r="AT31" s="1466"/>
    </row>
    <row r="32" spans="2:54" ht="6" customHeight="1">
      <c r="C32" s="1135"/>
      <c r="R32" s="1084"/>
      <c r="S32" s="1084"/>
      <c r="T32" s="1084"/>
      <c r="U32" s="1084"/>
      <c r="V32" s="1084"/>
      <c r="W32" s="1084"/>
      <c r="X32" s="1106"/>
      <c r="Y32" s="1106"/>
      <c r="Z32" s="1106"/>
      <c r="AA32" s="1106"/>
      <c r="AB32" s="1106"/>
      <c r="AC32" s="1106"/>
      <c r="AD32" s="1106"/>
      <c r="AE32" s="1106"/>
      <c r="AF32" s="1106"/>
      <c r="AG32" s="1462"/>
      <c r="AH32" s="1463"/>
      <c r="AI32" s="1462"/>
      <c r="AJ32" s="1463"/>
      <c r="AT32" s="1466"/>
    </row>
    <row r="33" spans="2:54">
      <c r="C33" s="1455" t="s">
        <v>14</v>
      </c>
      <c r="R33" s="1084"/>
      <c r="S33" s="1084"/>
      <c r="T33" s="1084"/>
      <c r="U33" s="1084"/>
      <c r="V33" s="1084"/>
      <c r="W33" s="1084"/>
      <c r="X33" s="1106"/>
      <c r="Y33" s="1106"/>
      <c r="Z33" s="1106"/>
      <c r="AA33" s="1106"/>
      <c r="AB33" s="1106"/>
      <c r="AC33" s="1106"/>
      <c r="AD33" s="1106"/>
      <c r="AE33" s="1106"/>
      <c r="AF33" s="1106"/>
      <c r="AG33" s="1456">
        <f>93464231.9206925/1000000</f>
        <v>93.464231920692498</v>
      </c>
      <c r="AH33" s="1457">
        <v>6.0706634508999322</v>
      </c>
      <c r="AI33" s="1456">
        <f>110610186.498749/1000000</f>
        <v>110.610186498749</v>
      </c>
      <c r="AJ33" s="1458">
        <v>8.5635659325727733</v>
      </c>
      <c r="AK33" s="1456">
        <f>101153250.774415/1000000</f>
        <v>101.153250774415</v>
      </c>
      <c r="AL33" s="1458">
        <v>9.1121352177934121</v>
      </c>
      <c r="AM33" s="1456">
        <f>81982031.1180274/1000000</f>
        <v>81.982031118027408</v>
      </c>
      <c r="AN33" s="1458">
        <v>7.7373230837555704</v>
      </c>
      <c r="AO33" s="1456">
        <f>88887897.7073165/1000000</f>
        <v>88.887897707316498</v>
      </c>
      <c r="AP33" s="1458">
        <v>7.6161611507447731</v>
      </c>
      <c r="AQ33" s="1456">
        <f>77341516.7573919/1000000</f>
        <v>77.341516757391901</v>
      </c>
      <c r="AR33" s="1458">
        <v>6.9705081530838031</v>
      </c>
      <c r="AS33" s="1456">
        <f>105348376.443616/1000000</f>
        <v>105.348376443616</v>
      </c>
      <c r="AT33" s="1459">
        <v>8.9036511451395608</v>
      </c>
      <c r="AU33" s="1456">
        <f>104956523.815522/1000000</f>
        <v>104.956523815522</v>
      </c>
      <c r="AV33" s="1459">
        <v>8.7738224674989862</v>
      </c>
      <c r="AW33" s="1460">
        <f>90740909.3776809/1000000</f>
        <v>90.740909377680893</v>
      </c>
      <c r="AX33" s="1458">
        <v>5.6650307537992282</v>
      </c>
      <c r="AY33" s="1460">
        <f>88620444.0108391/1000000</f>
        <v>88.620444010839108</v>
      </c>
      <c r="AZ33" s="1458">
        <v>5.988979798183613</v>
      </c>
      <c r="BA33" s="1460"/>
      <c r="BB33" s="1458"/>
    </row>
    <row r="34" spans="2:54">
      <c r="C34" s="1135" t="s">
        <v>15</v>
      </c>
      <c r="R34" s="1084"/>
      <c r="S34" s="1084"/>
      <c r="T34" s="1084"/>
      <c r="U34" s="1084"/>
      <c r="V34" s="1084"/>
      <c r="W34" s="1084"/>
      <c r="X34" s="1106"/>
      <c r="Y34" s="1106"/>
      <c r="Z34" s="1106"/>
      <c r="AA34" s="1106"/>
      <c r="AB34" s="1106"/>
      <c r="AC34" s="1106"/>
      <c r="AD34" s="1106"/>
      <c r="AE34" s="1106"/>
      <c r="AF34" s="1106"/>
      <c r="AG34" s="1462"/>
      <c r="AH34" s="1463"/>
      <c r="AI34" s="1462"/>
      <c r="AJ34" s="1464"/>
      <c r="AK34" s="1464"/>
      <c r="AL34" s="1464"/>
      <c r="AM34" s="1464"/>
      <c r="AN34" s="1464"/>
      <c r="AO34" s="1464"/>
      <c r="AP34" s="1464"/>
      <c r="AQ34" s="1464"/>
      <c r="AR34" s="1464"/>
      <c r="AS34" s="1464"/>
      <c r="AT34" s="1465"/>
      <c r="AU34" s="1464"/>
      <c r="AV34" s="1464"/>
      <c r="AW34" s="1464"/>
      <c r="AX34" s="1464"/>
      <c r="AY34" s="1464"/>
      <c r="AZ34" s="1464"/>
      <c r="BA34" s="1464"/>
      <c r="BB34" s="1464"/>
    </row>
    <row r="35" spans="2:54">
      <c r="C35" s="1135" t="s">
        <v>16</v>
      </c>
      <c r="R35" s="1084"/>
      <c r="S35" s="1084"/>
      <c r="T35" s="1084"/>
      <c r="U35" s="1084"/>
      <c r="V35" s="1084"/>
      <c r="W35" s="1084"/>
      <c r="X35" s="1106"/>
      <c r="Y35" s="1106"/>
      <c r="Z35" s="1106"/>
      <c r="AA35" s="1106"/>
      <c r="AB35" s="1106"/>
      <c r="AC35" s="1106"/>
      <c r="AD35" s="1106"/>
      <c r="AE35" s="1106"/>
      <c r="AF35" s="1106"/>
      <c r="AG35" s="1462"/>
      <c r="AH35" s="1463"/>
      <c r="AI35" s="1462"/>
      <c r="AJ35" s="1463"/>
      <c r="AT35" s="1466"/>
    </row>
    <row r="36" spans="2:54" ht="14.25">
      <c r="C36" s="1135" t="s">
        <v>1637</v>
      </c>
      <c r="R36" s="1084"/>
      <c r="S36" s="1084"/>
      <c r="T36" s="1084"/>
      <c r="U36" s="1084"/>
      <c r="V36" s="1084"/>
      <c r="W36" s="1084"/>
      <c r="X36" s="1090"/>
      <c r="Y36" s="1090"/>
      <c r="Z36" s="1090"/>
      <c r="AA36" s="1090"/>
      <c r="AB36" s="1090"/>
      <c r="AC36" s="1090"/>
      <c r="AD36" s="1090"/>
      <c r="AE36" s="1090"/>
      <c r="AF36" s="1090"/>
      <c r="AG36" s="1462"/>
      <c r="AH36" s="1463"/>
      <c r="AI36" s="1462"/>
      <c r="AJ36" s="1463"/>
      <c r="AT36" s="1466"/>
    </row>
    <row r="37" spans="2:54" ht="6" customHeight="1">
      <c r="C37" s="1135"/>
      <c r="R37" s="1084"/>
      <c r="S37" s="1084"/>
      <c r="T37" s="1084"/>
      <c r="U37" s="1084"/>
      <c r="V37" s="1084"/>
      <c r="W37" s="1084"/>
      <c r="X37" s="1090"/>
      <c r="Y37" s="1090"/>
      <c r="Z37" s="1090"/>
      <c r="AA37" s="1090"/>
      <c r="AB37" s="1090"/>
      <c r="AC37" s="1090"/>
      <c r="AD37" s="1090"/>
      <c r="AE37" s="1090"/>
      <c r="AF37" s="1090"/>
      <c r="AG37" s="1462"/>
      <c r="AH37" s="1463"/>
      <c r="AI37" s="1462"/>
      <c r="AJ37" s="1463"/>
      <c r="AT37" s="1466"/>
    </row>
    <row r="38" spans="2:54">
      <c r="C38" s="1455" t="s">
        <v>419</v>
      </c>
      <c r="R38" s="1084"/>
      <c r="S38" s="1084"/>
      <c r="T38" s="1084"/>
      <c r="U38" s="1084"/>
      <c r="V38" s="1084"/>
      <c r="W38" s="1084"/>
      <c r="X38" s="1090"/>
      <c r="Y38" s="1090"/>
      <c r="Z38" s="1090"/>
      <c r="AA38" s="1090"/>
      <c r="AB38" s="1090"/>
      <c r="AC38" s="1090"/>
      <c r="AD38" s="1090"/>
      <c r="AE38" s="1090"/>
      <c r="AF38" s="1090"/>
      <c r="AG38" s="1456">
        <f>39275119.6113889/1000000</f>
        <v>39.275119611388902</v>
      </c>
      <c r="AH38" s="1457">
        <v>3.9993969141764056</v>
      </c>
      <c r="AI38" s="1456">
        <f>50113293.1842469/1000000</f>
        <v>50.113293184246899</v>
      </c>
      <c r="AJ38" s="1458">
        <v>6.1288617690903031</v>
      </c>
      <c r="AK38" s="1456">
        <f>38331702.8891328/1000000</f>
        <v>38.331702889132799</v>
      </c>
      <c r="AL38" s="1458">
        <v>4.7767869612477076</v>
      </c>
      <c r="AM38" s="1456">
        <f>45136152.7079653/1000000</f>
        <v>45.136152707965302</v>
      </c>
      <c r="AN38" s="1458">
        <v>6.5864620610183904</v>
      </c>
      <c r="AO38" s="1456">
        <f>23798021.4799204/1000000</f>
        <v>23.798021479920397</v>
      </c>
      <c r="AP38" s="1458">
        <v>3.6115873560281555</v>
      </c>
      <c r="AQ38" s="1456">
        <f>29345362.315632/1000000</f>
        <v>29.345362315632002</v>
      </c>
      <c r="AR38" s="1458">
        <v>3.4459062361669712</v>
      </c>
      <c r="AS38" s="1456">
        <f>71556274.3631378/1000000</f>
        <v>71.556274363137803</v>
      </c>
      <c r="AT38" s="1459">
        <v>3.0156444311277224</v>
      </c>
      <c r="AU38" s="1456">
        <f>56294735.2190795/1000000</f>
        <v>56.294735219079499</v>
      </c>
      <c r="AV38" s="1458">
        <v>5.9490186555922984</v>
      </c>
      <c r="AW38" s="1460">
        <f>51910798.8626053/1000000</f>
        <v>51.910798862605304</v>
      </c>
      <c r="AX38" s="1458">
        <v>5.0005685350606086</v>
      </c>
      <c r="AY38" s="1460">
        <f>70041340.1866882/1000000</f>
        <v>70.041340186688203</v>
      </c>
      <c r="AZ38" s="1458">
        <v>6.5864100830631944</v>
      </c>
      <c r="BA38" s="1460"/>
      <c r="BB38" s="1458"/>
    </row>
    <row r="39" spans="2:54">
      <c r="C39" s="1135" t="s">
        <v>420</v>
      </c>
      <c r="R39" s="1084"/>
      <c r="S39" s="1084"/>
      <c r="T39" s="1084"/>
      <c r="U39" s="1084"/>
      <c r="V39" s="1084"/>
      <c r="W39" s="1084"/>
      <c r="X39" s="1090"/>
      <c r="Y39" s="1090"/>
      <c r="Z39" s="1090"/>
      <c r="AA39" s="1090"/>
      <c r="AB39" s="1090"/>
      <c r="AC39" s="1090"/>
      <c r="AD39" s="1090"/>
      <c r="AE39" s="1090"/>
      <c r="AF39" s="1090"/>
      <c r="AG39" s="1462"/>
      <c r="AH39" s="1463"/>
      <c r="AI39" s="1462"/>
      <c r="AJ39" s="1464"/>
      <c r="AK39" s="1080"/>
      <c r="AL39" s="1080"/>
      <c r="AM39" s="1080"/>
      <c r="AN39" s="1080"/>
      <c r="AO39" s="1080"/>
      <c r="AP39" s="1080"/>
      <c r="AQ39" s="1080"/>
      <c r="AR39" s="1080"/>
      <c r="AS39" s="1080"/>
      <c r="AT39" s="1468"/>
      <c r="AU39" s="1080"/>
      <c r="AV39" s="1080"/>
      <c r="AW39" s="1080"/>
      <c r="AX39" s="1080"/>
      <c r="AY39" s="1080"/>
      <c r="AZ39" s="1080"/>
      <c r="BA39" s="1080"/>
      <c r="BB39" s="1080"/>
    </row>
    <row r="40" spans="2:54">
      <c r="C40" s="1135" t="s">
        <v>421</v>
      </c>
      <c r="R40" s="1084"/>
      <c r="S40" s="1084"/>
      <c r="T40" s="1084"/>
      <c r="U40" s="1084"/>
      <c r="V40" s="1084"/>
      <c r="W40" s="1084"/>
      <c r="X40" s="1090"/>
      <c r="Y40" s="1090"/>
      <c r="Z40" s="1090"/>
      <c r="AA40" s="1090"/>
      <c r="AB40" s="1090"/>
      <c r="AC40" s="1090"/>
      <c r="AD40" s="1090"/>
      <c r="AE40" s="1090"/>
      <c r="AF40" s="1090"/>
      <c r="AG40" s="1462"/>
      <c r="AH40" s="1463"/>
      <c r="AI40" s="1462"/>
      <c r="AJ40" s="1463"/>
      <c r="AT40" s="1466"/>
    </row>
    <row r="41" spans="2:54">
      <c r="C41" s="1135" t="s">
        <v>508</v>
      </c>
      <c r="R41" s="1084"/>
      <c r="S41" s="1084"/>
      <c r="T41" s="1084"/>
      <c r="U41" s="1084"/>
      <c r="V41" s="1084"/>
      <c r="W41" s="1084"/>
      <c r="X41" s="1090"/>
      <c r="Y41" s="1090"/>
      <c r="Z41" s="1090"/>
      <c r="AA41" s="1090"/>
      <c r="AB41" s="1090"/>
      <c r="AC41" s="1090"/>
      <c r="AD41" s="1090"/>
      <c r="AE41" s="1090"/>
      <c r="AF41" s="1090"/>
      <c r="AG41" s="1462"/>
      <c r="AH41" s="1463"/>
      <c r="AI41" s="1462"/>
      <c r="AJ41" s="1463"/>
      <c r="AT41" s="1466"/>
    </row>
    <row r="42" spans="2:54" ht="6" customHeight="1">
      <c r="C42" s="1135"/>
      <c r="R42" s="1084"/>
      <c r="S42" s="1084"/>
      <c r="T42" s="1084"/>
      <c r="U42" s="1084"/>
      <c r="V42" s="1084"/>
      <c r="W42" s="1084"/>
      <c r="X42" s="1090"/>
      <c r="Y42" s="1090"/>
      <c r="Z42" s="1090"/>
      <c r="AA42" s="1090"/>
      <c r="AB42" s="1090"/>
      <c r="AC42" s="1090"/>
      <c r="AD42" s="1090"/>
      <c r="AE42" s="1090"/>
      <c r="AF42" s="1090"/>
      <c r="AG42" s="1462"/>
      <c r="AH42" s="1463"/>
      <c r="AI42" s="1462"/>
      <c r="AJ42" s="1463"/>
      <c r="AT42" s="1466"/>
    </row>
    <row r="43" spans="2:54">
      <c r="C43" s="1455" t="s">
        <v>422</v>
      </c>
      <c r="R43" s="1084"/>
      <c r="S43" s="1084"/>
      <c r="T43" s="1084"/>
      <c r="U43" s="1084"/>
      <c r="V43" s="1084"/>
      <c r="W43" s="1084"/>
      <c r="X43" s="1090"/>
      <c r="Y43" s="1090"/>
      <c r="Z43" s="1090"/>
      <c r="AA43" s="1090"/>
      <c r="AB43" s="1090"/>
      <c r="AC43" s="1090"/>
      <c r="AD43" s="1090"/>
      <c r="AE43" s="1090"/>
      <c r="AF43" s="1090"/>
      <c r="AG43" s="1469">
        <f>11316732.5013801/1000000</f>
        <v>11.3167325013801</v>
      </c>
      <c r="AH43" s="1470">
        <v>1.8844948061255269</v>
      </c>
      <c r="AI43" s="1469">
        <f>27070355.1075717/1000000</f>
        <v>27.0703551075717</v>
      </c>
      <c r="AJ43" s="1471">
        <v>4.8052429325031758</v>
      </c>
      <c r="AK43" s="1469">
        <f>25497838.5211182/1000000</f>
        <v>25.497838521118201</v>
      </c>
      <c r="AL43" s="1471">
        <v>5.3382403936565241</v>
      </c>
      <c r="AM43" s="1469">
        <f>16529965.5292989/1000000</f>
        <v>16.529965529298899</v>
      </c>
      <c r="AN43" s="1471">
        <v>4.5087229596799903</v>
      </c>
      <c r="AO43" s="1469">
        <f>8704695.80170692/1000000</f>
        <v>8.7046958017069187</v>
      </c>
      <c r="AP43" s="1471">
        <v>2.7316854720236101</v>
      </c>
      <c r="AQ43" s="1469">
        <f>7383625.07148281/1000000</f>
        <v>7.3836250714828102</v>
      </c>
      <c r="AR43" s="1458">
        <v>2.5273483779116939</v>
      </c>
      <c r="AS43" s="1456">
        <f>12459819.4480894/1000000</f>
        <v>12.4598194480894</v>
      </c>
      <c r="AT43" s="1459">
        <v>2.2115683247539217</v>
      </c>
      <c r="AU43" s="1456">
        <f>14174534.1107432/1000000</f>
        <v>14.174534110743201</v>
      </c>
      <c r="AV43" s="1458">
        <v>4.0666303239051222</v>
      </c>
      <c r="AW43" s="1460">
        <f>10037136.3615515/1000000</f>
        <v>10.0371363615515</v>
      </c>
      <c r="AX43" s="1458">
        <v>1.5676202854154928</v>
      </c>
      <c r="AY43" s="1460">
        <f>8268356.12306904/1000000</f>
        <v>8.2683561230690401</v>
      </c>
      <c r="AZ43" s="1458">
        <v>1.4865003420710814</v>
      </c>
      <c r="BA43" s="1460"/>
      <c r="BB43" s="1458"/>
    </row>
    <row r="44" spans="2:54">
      <c r="C44" s="1135" t="s">
        <v>424</v>
      </c>
      <c r="R44" s="1084"/>
      <c r="S44" s="1084"/>
      <c r="T44" s="1084"/>
      <c r="U44" s="1084"/>
      <c r="V44" s="1084"/>
      <c r="W44" s="1084"/>
      <c r="X44" s="1090"/>
      <c r="Y44" s="1090"/>
      <c r="Z44" s="1090"/>
      <c r="AA44" s="1090"/>
      <c r="AB44" s="1090"/>
      <c r="AC44" s="1090"/>
      <c r="AD44" s="1090"/>
      <c r="AE44" s="1090"/>
      <c r="AF44" s="1090"/>
      <c r="AG44" s="1462"/>
      <c r="AH44" s="1463"/>
      <c r="AI44" s="1462"/>
      <c r="AJ44" s="1464"/>
      <c r="AK44" s="1080"/>
      <c r="AL44" s="1080"/>
      <c r="AM44" s="1080"/>
      <c r="AN44" s="1080"/>
      <c r="AO44" s="1080"/>
      <c r="AP44" s="1080"/>
      <c r="AQ44" s="1080"/>
      <c r="AR44" s="1080"/>
      <c r="AS44" s="1080"/>
      <c r="AT44" s="1468"/>
      <c r="AU44" s="1080"/>
      <c r="AV44" s="1080"/>
      <c r="AW44" s="1080"/>
      <c r="AX44" s="1080"/>
      <c r="AY44" s="1080"/>
      <c r="AZ44" s="1080"/>
      <c r="BA44" s="1080"/>
      <c r="BB44" s="1080"/>
    </row>
    <row r="45" spans="2:54" ht="6" customHeight="1">
      <c r="B45" s="1440"/>
      <c r="C45" s="1135"/>
      <c r="D45" s="1440"/>
      <c r="E45" s="1440"/>
      <c r="F45" s="1440"/>
      <c r="G45" s="1440"/>
      <c r="H45" s="1440"/>
      <c r="I45" s="1440"/>
      <c r="J45" s="1440"/>
      <c r="K45" s="1440"/>
      <c r="L45" s="1440"/>
      <c r="M45" s="1440"/>
      <c r="N45" s="1440"/>
      <c r="O45" s="1440"/>
      <c r="P45" s="1440"/>
      <c r="Q45" s="1440"/>
      <c r="R45" s="1441"/>
      <c r="S45" s="1441"/>
      <c r="T45" s="1441"/>
      <c r="U45" s="1441"/>
      <c r="V45" s="1441"/>
      <c r="W45" s="1441"/>
      <c r="X45" s="1090"/>
      <c r="Y45" s="1090"/>
      <c r="Z45" s="1090"/>
      <c r="AA45" s="1090"/>
      <c r="AB45" s="1090"/>
      <c r="AC45" s="1090"/>
      <c r="AD45" s="1090"/>
      <c r="AE45" s="1090"/>
      <c r="AF45" s="1090"/>
      <c r="AG45" s="1472"/>
      <c r="AH45" s="1134"/>
      <c r="AI45" s="1472"/>
      <c r="AJ45" s="1134"/>
      <c r="AT45" s="1466"/>
    </row>
    <row r="46" spans="2:54">
      <c r="B46" s="1440"/>
      <c r="C46" s="1455" t="s">
        <v>425</v>
      </c>
      <c r="D46" s="1440"/>
      <c r="E46" s="1440"/>
      <c r="F46" s="1440"/>
      <c r="G46" s="1440"/>
      <c r="H46" s="1440"/>
      <c r="I46" s="1440"/>
      <c r="J46" s="1440"/>
      <c r="K46" s="1440"/>
      <c r="L46" s="1440"/>
      <c r="M46" s="1440"/>
      <c r="N46" s="1440"/>
      <c r="O46" s="1440"/>
      <c r="P46" s="1440"/>
      <c r="Q46" s="1440"/>
      <c r="R46" s="1441"/>
      <c r="S46" s="1441"/>
      <c r="T46" s="1441"/>
      <c r="U46" s="1441"/>
      <c r="V46" s="1441"/>
      <c r="W46" s="1441"/>
      <c r="X46" s="1090"/>
      <c r="Y46" s="1090"/>
      <c r="Z46" s="1090"/>
      <c r="AA46" s="1090"/>
      <c r="AB46" s="1090"/>
      <c r="AC46" s="1090"/>
      <c r="AD46" s="1090"/>
      <c r="AE46" s="1090"/>
      <c r="AF46" s="1090"/>
      <c r="AG46" s="1469">
        <f>48963026.5066857/1000000</f>
        <v>48.963026506685694</v>
      </c>
      <c r="AH46" s="1470">
        <v>2.5241808597716964</v>
      </c>
      <c r="AI46" s="1469">
        <f>79214848.6615008/1000000</f>
        <v>79.214848661500795</v>
      </c>
      <c r="AJ46" s="1471">
        <v>4.9867236508084387</v>
      </c>
      <c r="AK46" s="1469">
        <f>71575151.535147/1000000</f>
        <v>71.575151535147</v>
      </c>
      <c r="AL46" s="1471">
        <v>4.7215124866461791</v>
      </c>
      <c r="AM46" s="1469">
        <f>31940783.6649507/1000000</f>
        <v>31.940783664950697</v>
      </c>
      <c r="AN46" s="1471">
        <v>2.7723486074940502</v>
      </c>
      <c r="AO46" s="1469">
        <f>12686787.6958022/1000000</f>
        <v>12.686787695802201</v>
      </c>
      <c r="AP46" s="1471">
        <v>1.5640369025906713</v>
      </c>
      <c r="AQ46" s="1469">
        <f>13334957.6693863/1000000</f>
        <v>13.334957669386299</v>
      </c>
      <c r="AR46" s="1471">
        <v>1.6913694599662017</v>
      </c>
      <c r="AS46" s="1456">
        <f>11482222.372325/1000000</f>
        <v>11.482222372324999</v>
      </c>
      <c r="AT46" s="1459">
        <v>1.397652364180876</v>
      </c>
      <c r="AU46" s="1456">
        <f>13782998.6575058/1000000</f>
        <v>13.782998657505798</v>
      </c>
      <c r="AV46" s="1458">
        <v>2.0424053929170993</v>
      </c>
      <c r="AW46" s="1460">
        <f>5584968.30039207/1000000</f>
        <v>5.5849683003920703</v>
      </c>
      <c r="AX46" s="1458">
        <v>1.4621760440702696</v>
      </c>
      <c r="AY46" s="1460">
        <f>5810082.50386178/1000000</f>
        <v>5.8100825038617803</v>
      </c>
      <c r="AZ46" s="1458">
        <v>1.4018584920114736</v>
      </c>
      <c r="BA46" s="1460"/>
      <c r="BB46" s="1458"/>
    </row>
    <row r="47" spans="2:54">
      <c r="B47" s="1440"/>
      <c r="C47" s="1135" t="s">
        <v>427</v>
      </c>
      <c r="D47" s="1440"/>
      <c r="E47" s="1440"/>
      <c r="F47" s="1440"/>
      <c r="G47" s="1440"/>
      <c r="H47" s="1440"/>
      <c r="I47" s="1440"/>
      <c r="J47" s="1440"/>
      <c r="K47" s="1440"/>
      <c r="L47" s="1440"/>
      <c r="M47" s="1440"/>
      <c r="N47" s="1440"/>
      <c r="O47" s="1440"/>
      <c r="P47" s="1440"/>
      <c r="Q47" s="1440"/>
      <c r="R47" s="1441"/>
      <c r="S47" s="1441"/>
      <c r="T47" s="1441"/>
      <c r="U47" s="1441"/>
      <c r="V47" s="1441"/>
      <c r="W47" s="1441"/>
      <c r="X47" s="1090"/>
      <c r="Y47" s="1090"/>
      <c r="Z47" s="1090"/>
      <c r="AA47" s="1090"/>
      <c r="AB47" s="1090"/>
      <c r="AC47" s="1090"/>
      <c r="AD47" s="1090"/>
      <c r="AE47" s="1090"/>
      <c r="AF47" s="1090"/>
      <c r="AG47" s="1462"/>
      <c r="AH47" s="1463"/>
      <c r="AI47" s="1462"/>
      <c r="AJ47" s="1464"/>
      <c r="AK47" s="1080"/>
      <c r="AL47" s="1080"/>
      <c r="AM47" s="1080"/>
      <c r="AN47" s="1080"/>
      <c r="AO47" s="1080"/>
      <c r="AP47" s="1080"/>
      <c r="AQ47" s="1080"/>
      <c r="AR47" s="1080"/>
      <c r="AS47" s="1080"/>
      <c r="AT47" s="1468"/>
      <c r="AU47" s="1080"/>
      <c r="AV47" s="1080"/>
      <c r="AW47" s="1080"/>
      <c r="AX47" s="1080"/>
      <c r="AY47" s="1080"/>
      <c r="AZ47" s="1080"/>
      <c r="BA47" s="1080"/>
      <c r="BB47" s="1080"/>
    </row>
    <row r="48" spans="2:54" ht="15">
      <c r="B48" s="548"/>
      <c r="C48" s="1135" t="s">
        <v>429</v>
      </c>
      <c r="D48" s="1473"/>
      <c r="E48" s="1473"/>
      <c r="F48" s="1473"/>
      <c r="G48" s="1473"/>
      <c r="H48" s="1473"/>
      <c r="I48" s="1473"/>
      <c r="J48" s="1473"/>
      <c r="K48" s="1473"/>
      <c r="L48" s="1473"/>
      <c r="M48" s="1473"/>
      <c r="N48" s="1473"/>
      <c r="O48" s="1473"/>
      <c r="P48" s="1473"/>
      <c r="Q48" s="1473"/>
      <c r="R48" s="1473"/>
      <c r="S48" s="1473"/>
      <c r="T48" s="1473"/>
      <c r="U48" s="1473"/>
      <c r="V48" s="1473"/>
      <c r="W48" s="1473"/>
      <c r="X48" s="1473"/>
      <c r="Y48" s="1473"/>
      <c r="Z48" s="1473"/>
      <c r="AA48" s="1090"/>
      <c r="AB48" s="1090"/>
      <c r="AC48" s="1090"/>
      <c r="AD48" s="1090"/>
      <c r="AE48" s="1090"/>
      <c r="AF48" s="1090"/>
      <c r="AG48" s="1462"/>
      <c r="AH48" s="1463"/>
      <c r="AI48" s="1462"/>
      <c r="AJ48" s="1463"/>
    </row>
    <row r="49" spans="2:54" ht="15">
      <c r="B49" s="548"/>
      <c r="C49" s="1135"/>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090"/>
      <c r="AB49" s="1090"/>
      <c r="AC49" s="1090"/>
      <c r="AD49" s="1090"/>
      <c r="AE49" s="1090"/>
      <c r="AF49" s="1090"/>
      <c r="AG49" s="1472"/>
      <c r="AH49" s="1134"/>
      <c r="AI49" s="1472"/>
      <c r="AJ49" s="1134"/>
    </row>
    <row r="50" spans="2:54" ht="15">
      <c r="B50" s="548"/>
      <c r="C50" s="1455" t="s">
        <v>432</v>
      </c>
      <c r="D50" s="1473"/>
      <c r="E50" s="1473"/>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090"/>
      <c r="AB50" s="1090"/>
      <c r="AC50" s="1090"/>
      <c r="AD50" s="1090"/>
      <c r="AE50" s="1090"/>
      <c r="AF50" s="1090"/>
      <c r="AG50" s="1469">
        <f>4297191.58406854/1000000</f>
        <v>4.29719158406854</v>
      </c>
      <c r="AH50" s="1470">
        <v>7.7443010541411299</v>
      </c>
      <c r="AI50" s="1469">
        <f>1873487.85406868/1000000</f>
        <v>1.8734878540686799</v>
      </c>
      <c r="AJ50" s="1471">
        <v>10.756902572993457</v>
      </c>
      <c r="AK50" s="1469">
        <f>1411683.3816383/1000000</f>
        <v>1.4116833816382999</v>
      </c>
      <c r="AL50" s="1471">
        <v>8.6808575171511588</v>
      </c>
      <c r="AM50" s="1469">
        <f>1079418.36882753/1000000</f>
        <v>1.0794183688275298</v>
      </c>
      <c r="AN50" s="1471">
        <v>12.344855188149101</v>
      </c>
      <c r="AO50" s="1469">
        <f>557931.653560907/1000000</f>
        <v>0.55793165356090701</v>
      </c>
      <c r="AP50" s="1471">
        <v>6.9842961541091801</v>
      </c>
      <c r="AQ50" s="1469">
        <f>673170.474885717/1000000</f>
        <v>0.67317047488571702</v>
      </c>
      <c r="AR50" s="1471">
        <v>8.3163462857281392</v>
      </c>
      <c r="AS50" s="1456">
        <f>964834.051247853/1000000</f>
        <v>0.96483405124785293</v>
      </c>
      <c r="AT50" s="1458">
        <v>7.4381393766677695</v>
      </c>
      <c r="AU50" s="1456">
        <f>85277.187929313/100000</f>
        <v>0.85277187929313003</v>
      </c>
      <c r="AV50" s="1458" t="s">
        <v>269</v>
      </c>
      <c r="AW50" s="1460">
        <f>574427/1000000</f>
        <v>0.57442700000000002</v>
      </c>
      <c r="AX50" s="1458" t="s">
        <v>269</v>
      </c>
      <c r="AY50" s="1460">
        <f>610704.57635094/1000000</f>
        <v>0.61070457635094</v>
      </c>
      <c r="AZ50" s="1458" t="s">
        <v>269</v>
      </c>
      <c r="BA50" s="1460"/>
      <c r="BB50" s="1458"/>
    </row>
    <row r="51" spans="2:54">
      <c r="B51" s="1440"/>
      <c r="C51" s="1135" t="s">
        <v>510</v>
      </c>
      <c r="D51" s="1440"/>
      <c r="E51" s="1440"/>
      <c r="F51" s="1440"/>
      <c r="G51" s="1440"/>
      <c r="H51" s="1440"/>
      <c r="I51" s="1440"/>
      <c r="J51" s="1440"/>
      <c r="K51" s="1440"/>
      <c r="L51" s="1440"/>
      <c r="M51" s="1440"/>
      <c r="N51" s="1440"/>
      <c r="O51" s="1440"/>
      <c r="P51" s="1440"/>
      <c r="Q51" s="1440"/>
      <c r="R51" s="1441"/>
      <c r="S51" s="1441"/>
      <c r="T51" s="1441"/>
      <c r="U51" s="1441"/>
      <c r="V51" s="1441"/>
      <c r="W51" s="1441"/>
      <c r="X51" s="1090"/>
      <c r="Y51" s="1090"/>
      <c r="Z51" s="1090"/>
      <c r="AA51" s="1090"/>
      <c r="AB51" s="1090"/>
      <c r="AC51" s="1090"/>
      <c r="AD51" s="1090"/>
      <c r="AE51" s="1090"/>
      <c r="AF51" s="1090"/>
      <c r="AG51" s="1462"/>
      <c r="AH51" s="1463"/>
      <c r="AI51" s="1462"/>
      <c r="AJ51" s="1464"/>
      <c r="AK51" s="1464"/>
      <c r="AL51" s="1464"/>
      <c r="AM51" s="1464"/>
      <c r="AN51" s="1464"/>
      <c r="AO51" s="1464"/>
      <c r="AP51" s="1464"/>
      <c r="AQ51" s="1464"/>
      <c r="AR51" s="1464"/>
      <c r="AS51" s="1464"/>
      <c r="AT51" s="1464"/>
      <c r="AU51" s="1464"/>
      <c r="AV51" s="1464"/>
      <c r="AW51" s="1464"/>
      <c r="AX51" s="1464"/>
      <c r="AY51" s="1464"/>
      <c r="AZ51" s="1464"/>
      <c r="BA51" s="1464"/>
      <c r="BB51" s="1464"/>
    </row>
    <row r="52" spans="2:54">
      <c r="B52" s="1440"/>
      <c r="C52" s="1135"/>
      <c r="D52" s="1440"/>
      <c r="E52" s="1440"/>
      <c r="F52" s="1440"/>
      <c r="G52" s="1440"/>
      <c r="H52" s="1440"/>
      <c r="I52" s="1440"/>
      <c r="J52" s="1440"/>
      <c r="K52" s="1440"/>
      <c r="L52" s="1440"/>
      <c r="M52" s="1440"/>
      <c r="N52" s="1440"/>
      <c r="O52" s="1440"/>
      <c r="P52" s="1440"/>
      <c r="Q52" s="1440"/>
      <c r="R52" s="1441"/>
      <c r="S52" s="1441"/>
      <c r="T52" s="1441"/>
      <c r="U52" s="1441"/>
      <c r="V52" s="1441"/>
      <c r="W52" s="1441"/>
      <c r="X52" s="1090"/>
      <c r="Y52" s="1090"/>
      <c r="Z52" s="1090"/>
      <c r="AA52" s="1090"/>
      <c r="AB52" s="1090"/>
      <c r="AC52" s="1090"/>
      <c r="AD52" s="1090"/>
      <c r="AE52" s="1090"/>
      <c r="AF52" s="1090"/>
      <c r="AG52" s="1462"/>
      <c r="AH52" s="1463"/>
      <c r="AI52" s="1462"/>
      <c r="AJ52" s="1463"/>
      <c r="AK52" s="1463"/>
      <c r="AL52" s="1463"/>
      <c r="AM52" s="1463"/>
      <c r="AN52" s="1463"/>
      <c r="AO52" s="1463"/>
      <c r="AP52" s="1463"/>
      <c r="AQ52" s="1463"/>
      <c r="AR52" s="1463"/>
      <c r="AS52" s="1463"/>
      <c r="AT52" s="1463"/>
      <c r="AU52" s="1463"/>
      <c r="AV52" s="1463"/>
      <c r="AW52" s="1463"/>
      <c r="AX52" s="1463"/>
      <c r="AY52" s="1463"/>
      <c r="AZ52" s="1463"/>
      <c r="BA52" s="1463"/>
      <c r="BB52" s="1463"/>
    </row>
    <row r="53" spans="2:54">
      <c r="B53" s="1440"/>
      <c r="C53" s="1455" t="s">
        <v>511</v>
      </c>
      <c r="D53" s="1440"/>
      <c r="E53" s="1440"/>
      <c r="F53" s="1440"/>
      <c r="G53" s="1440"/>
      <c r="H53" s="1440"/>
      <c r="I53" s="1440"/>
      <c r="J53" s="1440"/>
      <c r="K53" s="1440"/>
      <c r="L53" s="1440"/>
      <c r="M53" s="1440"/>
      <c r="N53" s="1440"/>
      <c r="O53" s="1440"/>
      <c r="P53" s="1440"/>
      <c r="Q53" s="1440"/>
      <c r="R53" s="1441"/>
      <c r="S53" s="1441"/>
      <c r="T53" s="1441"/>
      <c r="U53" s="1441"/>
      <c r="V53" s="1441"/>
      <c r="W53" s="1441"/>
      <c r="X53" s="1090"/>
      <c r="Y53" s="1090"/>
      <c r="Z53" s="1090"/>
      <c r="AA53" s="1090"/>
      <c r="AB53" s="1090"/>
      <c r="AC53" s="1090"/>
      <c r="AD53" s="1090"/>
      <c r="AE53" s="1090"/>
      <c r="AF53" s="1090"/>
      <c r="AG53" s="1456"/>
      <c r="AH53" s="1457"/>
      <c r="AI53" s="1456"/>
      <c r="AJ53" s="1457"/>
      <c r="AK53" s="1457"/>
      <c r="AL53" s="1457"/>
      <c r="AM53" s="1457"/>
      <c r="AN53" s="1457"/>
      <c r="AO53" s="1457"/>
      <c r="AP53" s="1457"/>
      <c r="AQ53" s="1457"/>
      <c r="AR53" s="1457"/>
      <c r="AS53" s="1457"/>
      <c r="AT53" s="1457"/>
      <c r="AU53" s="1457"/>
      <c r="AV53" s="1457"/>
      <c r="AW53" s="1457"/>
      <c r="AX53" s="1457"/>
      <c r="AY53" s="1457"/>
      <c r="AZ53" s="1457"/>
      <c r="BA53" s="1457"/>
      <c r="BB53" s="1457"/>
    </row>
    <row r="54" spans="2:54">
      <c r="C54" s="1135" t="s">
        <v>513</v>
      </c>
      <c r="R54" s="1084"/>
      <c r="S54" s="1084"/>
      <c r="T54" s="1084"/>
      <c r="U54" s="1084"/>
      <c r="V54" s="1084"/>
      <c r="W54" s="1084"/>
      <c r="X54" s="1090"/>
      <c r="Y54" s="1090"/>
      <c r="Z54" s="1090"/>
      <c r="AA54" s="1090"/>
      <c r="AB54" s="1090"/>
      <c r="AC54" s="1090"/>
      <c r="AD54" s="1090"/>
      <c r="AE54" s="1090"/>
      <c r="AF54" s="1090"/>
      <c r="AQ54" s="1084"/>
    </row>
    <row r="55" spans="2:54" ht="15">
      <c r="B55" s="548"/>
      <c r="C55" s="1455"/>
      <c r="D55" s="1473"/>
      <c r="E55" s="1473"/>
      <c r="F55" s="1473"/>
      <c r="G55" s="1473"/>
      <c r="H55" s="1473"/>
      <c r="I55" s="1473"/>
      <c r="J55" s="1473"/>
      <c r="K55" s="1473"/>
      <c r="L55" s="1473"/>
      <c r="M55" s="1473"/>
      <c r="N55" s="1473"/>
      <c r="O55" s="1473"/>
      <c r="P55" s="1473"/>
      <c r="Q55" s="1473"/>
      <c r="R55" s="1473"/>
      <c r="S55" s="1473"/>
      <c r="T55" s="1473"/>
      <c r="U55" s="1473"/>
      <c r="V55" s="1473"/>
      <c r="W55" s="1473"/>
      <c r="X55" s="1473"/>
      <c r="Y55" s="1473"/>
      <c r="Z55" s="1473"/>
      <c r="AA55" s="1090"/>
      <c r="AB55" s="1090"/>
      <c r="AC55" s="1090"/>
      <c r="AD55" s="1090"/>
      <c r="AE55" s="1090"/>
      <c r="AF55" s="1090"/>
      <c r="AG55" s="1456"/>
      <c r="AH55" s="1457"/>
      <c r="AI55" s="1456"/>
      <c r="AJ55" s="1458"/>
      <c r="AK55" s="1456"/>
      <c r="AL55" s="1458"/>
      <c r="AM55" s="1456"/>
      <c r="AN55" s="1458"/>
      <c r="AO55" s="1456"/>
      <c r="AP55" s="1458"/>
      <c r="AQ55" s="1456"/>
      <c r="AR55" s="1458"/>
      <c r="AS55" s="1456"/>
      <c r="AT55" s="1458"/>
      <c r="AU55" s="1456"/>
      <c r="AV55" s="1458"/>
      <c r="AW55" s="1460"/>
      <c r="AX55" s="1458"/>
      <c r="AY55" s="1460"/>
      <c r="AZ55" s="1458"/>
      <c r="BA55" s="1460"/>
      <c r="BB55" s="1458"/>
    </row>
    <row r="56" spans="2:54">
      <c r="B56" s="1440"/>
      <c r="C56" s="1135"/>
      <c r="D56" s="1440"/>
      <c r="E56" s="1440"/>
      <c r="F56" s="1440"/>
      <c r="G56" s="1440"/>
      <c r="H56" s="1440"/>
      <c r="I56" s="1440"/>
      <c r="J56" s="1440"/>
      <c r="K56" s="1440"/>
      <c r="L56" s="1440"/>
      <c r="M56" s="1440"/>
      <c r="N56" s="1440"/>
      <c r="O56" s="1440"/>
      <c r="P56" s="1440"/>
      <c r="Q56" s="1440"/>
      <c r="R56" s="1441"/>
      <c r="S56" s="1441"/>
      <c r="T56" s="1441"/>
      <c r="U56" s="1441"/>
      <c r="V56" s="1441"/>
      <c r="W56" s="1441"/>
      <c r="X56" s="1090"/>
      <c r="Y56" s="1090"/>
      <c r="Z56" s="1090"/>
      <c r="AA56" s="1090"/>
      <c r="AB56" s="1090"/>
      <c r="AC56" s="1090"/>
      <c r="AD56" s="1090"/>
      <c r="AE56" s="1090"/>
      <c r="AF56" s="1090"/>
      <c r="AG56" s="1462"/>
      <c r="AH56" s="1463"/>
      <c r="AI56" s="1462"/>
      <c r="AJ56" s="1464"/>
      <c r="AK56" s="1464"/>
      <c r="AL56" s="1464"/>
      <c r="AM56" s="1464"/>
      <c r="AN56" s="1464"/>
      <c r="AO56" s="1464"/>
      <c r="AP56" s="1464"/>
      <c r="AQ56" s="1464"/>
      <c r="AR56" s="1464"/>
      <c r="AS56" s="1464"/>
      <c r="AT56" s="1464"/>
      <c r="AU56" s="1464"/>
      <c r="AV56" s="1464"/>
      <c r="AW56" s="1464"/>
      <c r="AX56" s="1464"/>
      <c r="AY56" s="1464"/>
      <c r="AZ56" s="1464"/>
      <c r="BA56" s="1464"/>
      <c r="BB56" s="1464"/>
    </row>
    <row r="57" spans="2:54" ht="6" customHeight="1">
      <c r="B57" s="1440"/>
      <c r="C57" s="1135"/>
      <c r="D57" s="1440"/>
      <c r="E57" s="1440"/>
      <c r="F57" s="1440"/>
      <c r="G57" s="1440"/>
      <c r="H57" s="1440"/>
      <c r="I57" s="1440"/>
      <c r="J57" s="1440"/>
      <c r="K57" s="1440"/>
      <c r="L57" s="1440"/>
      <c r="M57" s="1440"/>
      <c r="N57" s="1440"/>
      <c r="O57" s="1440"/>
      <c r="P57" s="1440"/>
      <c r="Q57" s="1440"/>
      <c r="R57" s="1441"/>
      <c r="S57" s="1441"/>
      <c r="T57" s="1441"/>
      <c r="U57" s="1441"/>
      <c r="V57" s="1441"/>
      <c r="W57" s="1441"/>
      <c r="X57" s="1090"/>
      <c r="Y57" s="1090"/>
      <c r="Z57" s="1090"/>
      <c r="AA57" s="1090"/>
      <c r="AB57" s="1090"/>
      <c r="AC57" s="1090"/>
      <c r="AD57" s="1090"/>
      <c r="AE57" s="1090"/>
      <c r="AF57" s="1090"/>
      <c r="AG57" s="1462"/>
      <c r="AH57" s="1463"/>
      <c r="AI57" s="1462"/>
      <c r="AJ57" s="1463"/>
      <c r="AK57" s="1463"/>
      <c r="AL57" s="1463"/>
      <c r="AM57" s="1463"/>
      <c r="AN57" s="1463"/>
      <c r="AO57" s="1463"/>
      <c r="AP57" s="1463"/>
      <c r="AQ57" s="1463"/>
      <c r="AR57" s="1463"/>
      <c r="AS57" s="1463"/>
      <c r="AT57" s="1463"/>
      <c r="AU57" s="1463"/>
      <c r="AV57" s="1463"/>
      <c r="AW57" s="1463"/>
      <c r="AX57" s="1463"/>
      <c r="AY57" s="1463"/>
      <c r="AZ57" s="1463"/>
      <c r="BA57" s="1463"/>
      <c r="BB57" s="1463"/>
    </row>
    <row r="58" spans="2:54">
      <c r="B58" s="1440"/>
      <c r="C58" s="1455"/>
      <c r="D58" s="1440"/>
      <c r="E58" s="1440"/>
      <c r="F58" s="1440"/>
      <c r="G58" s="1440"/>
      <c r="H58" s="1440"/>
      <c r="I58" s="1440"/>
      <c r="J58" s="1440"/>
      <c r="K58" s="1440"/>
      <c r="L58" s="1440"/>
      <c r="M58" s="1440"/>
      <c r="N58" s="1440"/>
      <c r="O58" s="1440"/>
      <c r="P58" s="1440"/>
      <c r="Q58" s="1440"/>
      <c r="R58" s="1441"/>
      <c r="S58" s="1441"/>
      <c r="T58" s="1441"/>
      <c r="U58" s="1441"/>
      <c r="V58" s="1441"/>
      <c r="W58" s="1441"/>
      <c r="X58" s="1090"/>
      <c r="Y58" s="1090"/>
      <c r="Z58" s="1090"/>
      <c r="AA58" s="1090"/>
      <c r="AB58" s="1090"/>
      <c r="AC58" s="1090"/>
      <c r="AD58" s="1090"/>
      <c r="AE58" s="1090"/>
      <c r="AF58" s="1090"/>
      <c r="AG58" s="1456"/>
      <c r="AH58" s="1457"/>
      <c r="AI58" s="1456"/>
      <c r="AJ58" s="1457"/>
      <c r="AK58" s="1457"/>
      <c r="AL58" s="1457"/>
      <c r="AM58" s="1457"/>
      <c r="AN58" s="1457"/>
      <c r="AO58" s="1457"/>
      <c r="AP58" s="1457"/>
      <c r="AQ58" s="1457"/>
      <c r="AR58" s="1457"/>
      <c r="AS58" s="1457"/>
      <c r="AT58" s="1457"/>
      <c r="AU58" s="1457"/>
      <c r="AV58" s="1457"/>
      <c r="AW58" s="1457"/>
      <c r="AX58" s="1457"/>
      <c r="AY58" s="1457"/>
      <c r="AZ58" s="1457"/>
      <c r="BA58" s="1457"/>
      <c r="BB58" s="1457"/>
    </row>
    <row r="59" spans="2:54">
      <c r="C59" s="1135"/>
      <c r="R59" s="1084"/>
      <c r="S59" s="1084"/>
      <c r="T59" s="1084"/>
      <c r="U59" s="1084"/>
      <c r="V59" s="1084"/>
      <c r="W59" s="1084"/>
      <c r="X59" s="1090"/>
      <c r="Y59" s="1090"/>
      <c r="Z59" s="1090"/>
      <c r="AA59" s="1090"/>
      <c r="AB59" s="1090"/>
      <c r="AC59" s="1090"/>
      <c r="AD59" s="1090"/>
      <c r="AE59" s="1090"/>
      <c r="AF59" s="1090"/>
      <c r="AQ59" s="1084"/>
    </row>
    <row r="60" spans="2:54" ht="19.5" customHeight="1" outlineLevel="1">
      <c r="B60" s="1444" t="s">
        <v>26</v>
      </c>
      <c r="C60" s="1443"/>
      <c r="D60" s="1443"/>
      <c r="E60" s="1443"/>
      <c r="F60" s="1443"/>
      <c r="G60" s="1443"/>
      <c r="H60" s="1443"/>
      <c r="I60" s="1443"/>
      <c r="J60" s="1443"/>
      <c r="K60" s="1443"/>
      <c r="L60" s="1443"/>
      <c r="M60" s="1443"/>
      <c r="N60" s="1443"/>
      <c r="O60" s="1443"/>
      <c r="P60" s="1443"/>
      <c r="Q60" s="1443"/>
      <c r="R60" s="1443"/>
      <c r="S60" s="1443"/>
      <c r="T60" s="1443"/>
      <c r="U60" s="1443"/>
      <c r="V60" s="1443"/>
      <c r="W60" s="1443"/>
      <c r="X60" s="1443"/>
      <c r="Y60" s="1443"/>
      <c r="Z60" s="1443"/>
      <c r="AA60" s="1443"/>
      <c r="AB60" s="1443"/>
      <c r="AC60" s="1443"/>
      <c r="AD60" s="1443"/>
      <c r="AE60" s="1443"/>
      <c r="AF60" s="1443"/>
      <c r="AG60" s="1462"/>
      <c r="AH60" s="1463"/>
      <c r="AI60" s="1462"/>
    </row>
    <row r="61" spans="2:54" outlineLevel="1">
      <c r="B61" s="190" t="s">
        <v>1119</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462"/>
      <c r="AH61" s="1463"/>
      <c r="AI61" s="1462"/>
      <c r="AJ61" s="1462"/>
      <c r="AK61" s="1462"/>
    </row>
    <row r="62" spans="2:54"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474"/>
      <c r="AI62" s="1462"/>
      <c r="AJ62" s="1462"/>
      <c r="AK62" s="1462"/>
    </row>
    <row r="63" spans="2:54" outlineLevel="1">
      <c r="B63" s="1099" t="s">
        <v>1765</v>
      </c>
      <c r="C63" s="1099"/>
      <c r="D63" s="1099"/>
      <c r="E63" s="167"/>
      <c r="F63" s="167"/>
      <c r="G63" s="167"/>
      <c r="H63" s="167"/>
      <c r="I63" s="167"/>
      <c r="J63" s="167"/>
      <c r="K63" s="167"/>
      <c r="L63" s="167"/>
      <c r="M63" s="167"/>
      <c r="N63" s="167"/>
      <c r="O63" s="197"/>
      <c r="P63" s="198"/>
      <c r="Q63" s="199"/>
      <c r="R63" s="198"/>
      <c r="S63" s="198"/>
      <c r="T63" s="198"/>
      <c r="U63" s="198"/>
      <c r="V63" s="198"/>
      <c r="W63" s="198"/>
      <c r="X63" s="1475">
        <v>2001</v>
      </c>
      <c r="Y63" s="1476"/>
      <c r="Z63" s="1477">
        <v>2003</v>
      </c>
      <c r="AA63" s="1476"/>
      <c r="AB63" s="1477">
        <v>2005</v>
      </c>
      <c r="AC63" s="1476"/>
      <c r="AD63" s="1477">
        <v>2007</v>
      </c>
      <c r="AE63" s="1476"/>
      <c r="AF63" s="1477">
        <v>2009</v>
      </c>
      <c r="AG63" s="1477">
        <v>2010</v>
      </c>
      <c r="AH63" s="1477">
        <v>2011</v>
      </c>
      <c r="AI63" s="1477">
        <v>2012</v>
      </c>
      <c r="AJ63" s="1477">
        <v>2013</v>
      </c>
      <c r="AK63" s="1477">
        <v>2014</v>
      </c>
      <c r="AL63" s="1477">
        <v>2015</v>
      </c>
      <c r="AM63" s="1477">
        <v>2016</v>
      </c>
      <c r="AN63" s="1477">
        <v>2017</v>
      </c>
      <c r="AO63" s="1477">
        <v>2018</v>
      </c>
      <c r="AP63" s="1477">
        <v>2019</v>
      </c>
      <c r="AQ63" s="1477">
        <v>2020</v>
      </c>
    </row>
    <row r="64" spans="2:54" outlineLevel="1">
      <c r="B64" s="1099" t="s">
        <v>1766</v>
      </c>
      <c r="C64" s="1099"/>
      <c r="D64" s="1099"/>
      <c r="E64" s="167"/>
      <c r="F64" s="167"/>
      <c r="G64" s="167"/>
      <c r="H64" s="167"/>
      <c r="I64" s="167"/>
      <c r="J64" s="167"/>
      <c r="K64" s="167"/>
      <c r="L64" s="167"/>
      <c r="M64" s="167"/>
      <c r="N64" s="167"/>
      <c r="O64" s="197"/>
      <c r="P64" s="198"/>
      <c r="Q64" s="199"/>
      <c r="R64" s="198"/>
      <c r="S64" s="198"/>
      <c r="T64" s="198"/>
      <c r="U64" s="198"/>
      <c r="V64" s="198"/>
      <c r="W64" s="198"/>
      <c r="X64" s="1478"/>
      <c r="Y64" s="1479"/>
      <c r="Z64" s="1478"/>
      <c r="AA64" s="1479"/>
      <c r="AB64" s="1479"/>
      <c r="AC64" s="1479"/>
      <c r="AD64" s="1478"/>
      <c r="AE64" s="1479"/>
      <c r="AF64" s="1478"/>
      <c r="AG64" s="1478"/>
      <c r="AH64" s="1478"/>
      <c r="AI64" s="1478"/>
      <c r="AJ64" s="1478"/>
      <c r="AK64" s="1478"/>
      <c r="AL64" s="1478"/>
      <c r="AM64" s="1478"/>
      <c r="AN64" s="1478"/>
      <c r="AO64" s="1478"/>
      <c r="AP64" s="1478"/>
      <c r="AQ64" s="1478"/>
    </row>
    <row r="65" spans="2:43" outlineLevel="1">
      <c r="B65" s="1480" t="s">
        <v>28</v>
      </c>
      <c r="C65" s="1099" t="s">
        <v>29</v>
      </c>
      <c r="D65" s="1099"/>
      <c r="E65" s="167"/>
      <c r="F65" s="167"/>
      <c r="G65" s="167"/>
      <c r="H65" s="167"/>
      <c r="I65" s="167"/>
      <c r="J65" s="167"/>
      <c r="K65" s="167"/>
      <c r="L65" s="167"/>
      <c r="M65" s="167"/>
      <c r="N65" s="167"/>
      <c r="O65" s="197"/>
      <c r="P65" s="198"/>
      <c r="Q65" s="199"/>
      <c r="R65" s="198"/>
      <c r="S65" s="198"/>
      <c r="T65" s="198"/>
      <c r="U65" s="198"/>
      <c r="V65" s="198"/>
      <c r="W65" s="198"/>
      <c r="X65" s="166">
        <v>161838.12640000001</v>
      </c>
      <c r="Y65" s="166"/>
      <c r="Z65" s="166">
        <v>161838.12640000001</v>
      </c>
      <c r="AA65" s="166"/>
      <c r="AB65" s="166">
        <v>161838.12640000001</v>
      </c>
      <c r="AC65" s="166"/>
      <c r="AD65" s="166">
        <v>161838.12640000001</v>
      </c>
      <c r="AE65" s="166"/>
      <c r="AF65" s="166">
        <v>161838.12640000001</v>
      </c>
      <c r="AG65" s="166">
        <v>150741.15</v>
      </c>
      <c r="AH65" s="166">
        <v>141761.47700000001</v>
      </c>
      <c r="AI65" s="166">
        <v>132276.17800000001</v>
      </c>
      <c r="AJ65" s="166">
        <v>125549.129</v>
      </c>
      <c r="AK65" s="166">
        <v>122427.974</v>
      </c>
      <c r="AL65" s="166">
        <v>120454.41</v>
      </c>
      <c r="AM65" s="166">
        <v>118646.909</v>
      </c>
      <c r="AN65" s="166">
        <v>122054.12699999999</v>
      </c>
      <c r="AO65" s="166">
        <v>124323.25</v>
      </c>
      <c r="AP65" s="166">
        <v>126602.11199999999</v>
      </c>
      <c r="AQ65" s="166">
        <v>115470.25199999999</v>
      </c>
    </row>
    <row r="66" spans="2:43" ht="5.0999999999999996" customHeight="1" outlineLevel="1">
      <c r="B66" s="1478"/>
      <c r="C66" s="1099"/>
      <c r="D66" s="1099"/>
      <c r="E66" s="167"/>
      <c r="F66" s="167"/>
      <c r="G66" s="167"/>
      <c r="H66" s="167"/>
      <c r="I66" s="167"/>
      <c r="J66" s="167"/>
      <c r="K66" s="167"/>
      <c r="L66" s="167"/>
      <c r="M66" s="167"/>
      <c r="N66" s="167"/>
      <c r="O66" s="197"/>
      <c r="P66" s="198"/>
      <c r="Q66" s="199"/>
      <c r="R66" s="198"/>
      <c r="S66" s="198"/>
      <c r="T66" s="198"/>
      <c r="U66" s="198"/>
      <c r="V66" s="198"/>
      <c r="W66" s="198"/>
      <c r="X66" s="166"/>
      <c r="Y66" s="166"/>
      <c r="Z66" s="166"/>
      <c r="AA66" s="166"/>
      <c r="AB66" s="166"/>
      <c r="AC66" s="166"/>
      <c r="AD66" s="166"/>
      <c r="AE66" s="166"/>
      <c r="AF66" s="166"/>
      <c r="AG66" s="166"/>
      <c r="AH66" s="166"/>
      <c r="AI66" s="166"/>
      <c r="AJ66" s="166"/>
      <c r="AK66" s="166"/>
      <c r="AL66" s="166"/>
      <c r="AM66" s="166"/>
      <c r="AN66" s="166"/>
      <c r="AO66" s="166"/>
      <c r="AP66" s="166"/>
      <c r="AQ66" s="166"/>
    </row>
    <row r="67" spans="2:43" outlineLevel="1">
      <c r="B67" s="1480" t="s">
        <v>30</v>
      </c>
      <c r="C67" s="1099" t="s">
        <v>31</v>
      </c>
      <c r="D67" s="1099"/>
      <c r="E67" s="167"/>
      <c r="F67" s="167"/>
      <c r="G67" s="167"/>
      <c r="H67" s="167"/>
      <c r="I67" s="167"/>
      <c r="J67" s="167"/>
      <c r="K67" s="167"/>
      <c r="L67" s="167"/>
      <c r="M67" s="167"/>
      <c r="N67" s="167"/>
      <c r="O67" s="197"/>
      <c r="P67" s="198"/>
      <c r="Q67" s="199"/>
      <c r="R67" s="198"/>
      <c r="S67" s="198"/>
      <c r="T67" s="198"/>
      <c r="U67" s="198"/>
      <c r="V67" s="198"/>
      <c r="W67" s="198"/>
      <c r="X67" s="166">
        <v>186144.9987</v>
      </c>
      <c r="Y67" s="166"/>
      <c r="Z67" s="166">
        <v>186144.9987</v>
      </c>
      <c r="AA67" s="166"/>
      <c r="AB67" s="166">
        <v>186144.9987</v>
      </c>
      <c r="AC67" s="166"/>
      <c r="AD67" s="166">
        <v>186144.9987</v>
      </c>
      <c r="AE67" s="166"/>
      <c r="AF67" s="166">
        <v>186144.9987</v>
      </c>
      <c r="AG67" s="166">
        <v>172782.35199999998</v>
      </c>
      <c r="AH67" s="166">
        <v>160583.31</v>
      </c>
      <c r="AI67" s="166">
        <v>149699.01300000001</v>
      </c>
      <c r="AJ67" s="166">
        <v>140892.99799999999</v>
      </c>
      <c r="AK67" s="166">
        <v>137047.82800000001</v>
      </c>
      <c r="AL67" s="166">
        <v>135344.74400000001</v>
      </c>
      <c r="AM67" s="166">
        <v>133187.74100000001</v>
      </c>
      <c r="AN67" s="166">
        <v>136791.46799999999</v>
      </c>
      <c r="AO67" s="166">
        <v>138104.76500000001</v>
      </c>
      <c r="AP67" s="166">
        <v>141413.77799999999</v>
      </c>
      <c r="AQ67" s="166">
        <v>130858.12400000001</v>
      </c>
    </row>
    <row r="68" spans="2:43" ht="5.0999999999999996" customHeight="1" outlineLevel="1">
      <c r="B68" s="1478"/>
      <c r="C68" s="1099"/>
      <c r="D68" s="1099"/>
      <c r="E68" s="167"/>
      <c r="F68" s="167"/>
      <c r="G68" s="167"/>
      <c r="H68" s="167"/>
      <c r="I68" s="167"/>
      <c r="J68" s="167"/>
      <c r="K68" s="167"/>
      <c r="L68" s="167"/>
      <c r="M68" s="167"/>
      <c r="N68" s="167"/>
      <c r="O68" s="197"/>
      <c r="P68" s="198"/>
      <c r="Q68" s="199"/>
      <c r="R68" s="198"/>
      <c r="S68" s="198"/>
      <c r="T68" s="198"/>
      <c r="U68" s="198"/>
      <c r="V68" s="198"/>
      <c r="W68" s="198"/>
      <c r="X68" s="75"/>
      <c r="Y68" s="75"/>
      <c r="Z68" s="75"/>
      <c r="AA68" s="75"/>
      <c r="AB68" s="75"/>
      <c r="AC68" s="75"/>
      <c r="AD68" s="75"/>
      <c r="AE68" s="75"/>
      <c r="AF68" s="75"/>
      <c r="AG68" s="75"/>
      <c r="AH68" s="75"/>
      <c r="AI68" s="166"/>
      <c r="AJ68" s="75"/>
      <c r="AK68" s="166"/>
      <c r="AL68" s="75"/>
      <c r="AM68" s="166"/>
      <c r="AN68" s="75"/>
      <c r="AO68" s="75"/>
      <c r="AP68" s="75"/>
      <c r="AQ68" s="75"/>
    </row>
    <row r="69" spans="2:43" outlineLevel="1">
      <c r="B69" s="1480" t="s">
        <v>32</v>
      </c>
      <c r="C69" s="1099" t="s">
        <v>33</v>
      </c>
      <c r="D69" s="1099"/>
      <c r="E69" s="167"/>
      <c r="F69" s="167"/>
      <c r="G69" s="167"/>
      <c r="H69" s="167"/>
      <c r="I69" s="167"/>
      <c r="J69" s="167"/>
      <c r="K69" s="167"/>
      <c r="L69" s="167"/>
      <c r="M69" s="167"/>
      <c r="N69" s="167"/>
      <c r="O69" s="197"/>
      <c r="P69" s="198"/>
      <c r="Q69" s="199"/>
      <c r="R69" s="198"/>
      <c r="S69" s="198"/>
      <c r="T69" s="198"/>
      <c r="U69" s="198"/>
      <c r="V69" s="198"/>
      <c r="W69" s="198"/>
      <c r="X69" s="166">
        <v>21657</v>
      </c>
      <c r="Y69" s="166"/>
      <c r="Z69" s="166">
        <v>21657</v>
      </c>
      <c r="AA69" s="166"/>
      <c r="AB69" s="166">
        <v>21657</v>
      </c>
      <c r="AC69" s="166"/>
      <c r="AD69" s="166">
        <v>21657</v>
      </c>
      <c r="AE69" s="166"/>
      <c r="AF69" s="166">
        <v>21657</v>
      </c>
      <c r="AG69" s="166">
        <f t="shared" ref="AG69:AQ69" si="9">SUM(AG71:AG72)</f>
        <v>24071</v>
      </c>
      <c r="AH69" s="166">
        <f t="shared" si="9"/>
        <v>23574</v>
      </c>
      <c r="AI69" s="166">
        <f t="shared" si="9"/>
        <v>21377</v>
      </c>
      <c r="AJ69" s="166">
        <f t="shared" si="9"/>
        <v>20097</v>
      </c>
      <c r="AK69" s="166">
        <f t="shared" si="9"/>
        <v>20091</v>
      </c>
      <c r="AL69" s="166">
        <f t="shared" si="9"/>
        <v>20006</v>
      </c>
      <c r="AM69" s="166">
        <f t="shared" si="9"/>
        <v>21579</v>
      </c>
      <c r="AN69" s="166">
        <f t="shared" si="9"/>
        <v>21621</v>
      </c>
      <c r="AO69" s="166">
        <f t="shared" si="9"/>
        <v>22519</v>
      </c>
      <c r="AP69" s="166">
        <f>SUM(AP71:AP72)</f>
        <v>22689</v>
      </c>
      <c r="AQ69" s="166">
        <f t="shared" si="9"/>
        <v>0</v>
      </c>
    </row>
    <row r="70" spans="2:43" ht="5.0999999999999996" customHeight="1" outlineLevel="1">
      <c r="B70" s="1478"/>
      <c r="C70" s="1099"/>
      <c r="D70" s="1099"/>
      <c r="E70" s="167"/>
      <c r="F70" s="167"/>
      <c r="G70" s="167"/>
      <c r="H70" s="167"/>
      <c r="I70" s="167"/>
      <c r="J70" s="167"/>
      <c r="K70" s="167"/>
      <c r="L70" s="167"/>
      <c r="M70" s="167"/>
      <c r="N70" s="167"/>
      <c r="O70" s="197"/>
      <c r="P70" s="198"/>
      <c r="Q70" s="199"/>
      <c r="R70" s="198"/>
      <c r="S70" s="198"/>
      <c r="T70" s="198"/>
      <c r="U70" s="198"/>
      <c r="V70" s="198"/>
      <c r="W70" s="198"/>
      <c r="X70" s="75"/>
      <c r="Y70" s="75"/>
      <c r="Z70" s="75"/>
      <c r="AA70" s="75"/>
      <c r="AB70" s="75"/>
      <c r="AC70" s="75"/>
      <c r="AD70" s="75"/>
      <c r="AE70" s="75"/>
      <c r="AF70" s="75"/>
      <c r="AG70" s="75"/>
      <c r="AH70" s="75"/>
      <c r="AI70" s="166"/>
      <c r="AJ70" s="75"/>
      <c r="AK70" s="166"/>
      <c r="AL70" s="75"/>
      <c r="AM70" s="166"/>
      <c r="AN70" s="75"/>
      <c r="AO70" s="75"/>
      <c r="AP70" s="75"/>
      <c r="AQ70" s="75"/>
    </row>
    <row r="71" spans="2:43" outlineLevel="1">
      <c r="B71" s="1478"/>
      <c r="C71" s="1099" t="s">
        <v>34</v>
      </c>
      <c r="D71" s="1099"/>
      <c r="E71" s="167"/>
      <c r="F71" s="167"/>
      <c r="G71" s="167"/>
      <c r="H71" s="167"/>
      <c r="I71" s="167"/>
      <c r="J71" s="167"/>
      <c r="K71" s="167"/>
      <c r="L71" s="167"/>
      <c r="M71" s="167"/>
      <c r="N71" s="167"/>
      <c r="O71" s="197"/>
      <c r="P71" s="198"/>
      <c r="Q71" s="199"/>
      <c r="R71" s="198"/>
      <c r="S71" s="198"/>
      <c r="T71" s="198"/>
      <c r="U71" s="198"/>
      <c r="V71" s="198"/>
      <c r="W71" s="198"/>
      <c r="X71" s="166">
        <v>15700</v>
      </c>
      <c r="Y71" s="166"/>
      <c r="Z71" s="166">
        <v>15700</v>
      </c>
      <c r="AA71" s="166"/>
      <c r="AB71" s="166">
        <v>15700</v>
      </c>
      <c r="AC71" s="166"/>
      <c r="AD71" s="166">
        <v>15700</v>
      </c>
      <c r="AE71" s="166"/>
      <c r="AF71" s="166">
        <v>15700</v>
      </c>
      <c r="AG71" s="166">
        <v>16504</v>
      </c>
      <c r="AH71" s="166">
        <v>15551</v>
      </c>
      <c r="AI71" s="166">
        <v>14202</v>
      </c>
      <c r="AJ71" s="166">
        <v>13100</v>
      </c>
      <c r="AK71" s="166">
        <v>13231</v>
      </c>
      <c r="AL71" s="166">
        <v>13077</v>
      </c>
      <c r="AM71" s="166">
        <v>14448</v>
      </c>
      <c r="AN71" s="166">
        <v>14743</v>
      </c>
      <c r="AO71" s="166">
        <v>15385</v>
      </c>
      <c r="AP71" s="166">
        <v>15474</v>
      </c>
      <c r="AQ71" s="166">
        <v>0</v>
      </c>
    </row>
    <row r="72" spans="2:43" outlineLevel="1">
      <c r="B72" s="1478"/>
      <c r="C72" s="1099" t="s">
        <v>35</v>
      </c>
      <c r="D72" s="1099"/>
      <c r="E72" s="167"/>
      <c r="F72" s="167"/>
      <c r="G72" s="167"/>
      <c r="H72" s="167"/>
      <c r="I72" s="167"/>
      <c r="J72" s="167"/>
      <c r="K72" s="167"/>
      <c r="L72" s="167"/>
      <c r="M72" s="167"/>
      <c r="N72" s="167"/>
      <c r="O72" s="197"/>
      <c r="P72" s="198"/>
      <c r="Q72" s="199"/>
      <c r="R72" s="198"/>
      <c r="S72" s="198"/>
      <c r="T72" s="198"/>
      <c r="U72" s="198"/>
      <c r="V72" s="198"/>
      <c r="W72" s="198"/>
      <c r="X72" s="166">
        <v>5957</v>
      </c>
      <c r="Y72" s="166"/>
      <c r="Z72" s="166">
        <v>5957</v>
      </c>
      <c r="AA72" s="166"/>
      <c r="AB72" s="166">
        <v>5957</v>
      </c>
      <c r="AC72" s="166"/>
      <c r="AD72" s="166">
        <v>5957</v>
      </c>
      <c r="AE72" s="166"/>
      <c r="AF72" s="166">
        <v>5957</v>
      </c>
      <c r="AG72" s="166">
        <v>7567</v>
      </c>
      <c r="AH72" s="166">
        <v>8023</v>
      </c>
      <c r="AI72" s="166">
        <v>7175</v>
      </c>
      <c r="AJ72" s="166">
        <v>6997</v>
      </c>
      <c r="AK72" s="166">
        <v>6860</v>
      </c>
      <c r="AL72" s="166">
        <v>6929</v>
      </c>
      <c r="AM72" s="166">
        <v>7131</v>
      </c>
      <c r="AN72" s="166">
        <v>6878</v>
      </c>
      <c r="AO72" s="166">
        <v>7134</v>
      </c>
      <c r="AP72" s="166">
        <v>7215</v>
      </c>
      <c r="AQ72" s="166">
        <v>0</v>
      </c>
    </row>
    <row r="73" spans="2:43" ht="5.0999999999999996" customHeight="1" outlineLevel="1">
      <c r="B73" s="1478"/>
      <c r="C73" s="1099"/>
      <c r="D73" s="1099"/>
      <c r="E73" s="167"/>
      <c r="F73" s="167"/>
      <c r="G73" s="167"/>
      <c r="H73" s="167"/>
      <c r="I73" s="167"/>
      <c r="J73" s="167"/>
      <c r="K73" s="167"/>
      <c r="L73" s="167"/>
      <c r="M73" s="167"/>
      <c r="N73" s="167"/>
      <c r="O73" s="197"/>
      <c r="P73" s="198"/>
      <c r="Q73" s="199"/>
      <c r="R73" s="198"/>
      <c r="S73" s="198"/>
      <c r="T73" s="198"/>
      <c r="U73" s="198"/>
      <c r="V73" s="198"/>
      <c r="W73" s="198"/>
      <c r="X73" s="166"/>
      <c r="Y73" s="166"/>
      <c r="Z73" s="166"/>
      <c r="AA73" s="166"/>
      <c r="AB73" s="166"/>
      <c r="AC73" s="166"/>
      <c r="AD73" s="166"/>
      <c r="AE73" s="166"/>
      <c r="AF73" s="166"/>
      <c r="AG73" s="166"/>
      <c r="AH73" s="166"/>
      <c r="AI73" s="166"/>
      <c r="AJ73" s="166"/>
      <c r="AK73" s="166"/>
      <c r="AL73" s="166"/>
      <c r="AM73" s="166"/>
      <c r="AN73" s="166"/>
      <c r="AO73" s="166"/>
      <c r="AP73" s="166"/>
      <c r="AQ73" s="166"/>
    </row>
    <row r="74" spans="2:43" outlineLevel="1">
      <c r="B74" s="1480" t="s">
        <v>36</v>
      </c>
      <c r="C74" s="1099" t="s">
        <v>37</v>
      </c>
      <c r="D74" s="1099"/>
      <c r="E74" s="167"/>
      <c r="F74" s="167"/>
      <c r="G74" s="167"/>
      <c r="H74" s="167"/>
      <c r="I74" s="167"/>
      <c r="J74" s="167"/>
      <c r="K74" s="167"/>
      <c r="L74" s="167"/>
      <c r="M74" s="167"/>
      <c r="N74" s="167"/>
      <c r="O74" s="197"/>
      <c r="P74" s="198"/>
      <c r="Q74" s="199"/>
      <c r="R74" s="198"/>
      <c r="S74" s="198"/>
      <c r="T74" s="198"/>
      <c r="U74" s="198"/>
      <c r="V74" s="198"/>
      <c r="W74" s="198"/>
      <c r="X74" s="166">
        <v>22961</v>
      </c>
      <c r="Y74" s="166"/>
      <c r="Z74" s="166">
        <v>22961</v>
      </c>
      <c r="AA74" s="166"/>
      <c r="AB74" s="166">
        <v>22961</v>
      </c>
      <c r="AC74" s="166"/>
      <c r="AD74" s="166">
        <v>22961</v>
      </c>
      <c r="AE74" s="166"/>
      <c r="AF74" s="166">
        <v>22961</v>
      </c>
      <c r="AG74" s="166">
        <v>25505</v>
      </c>
      <c r="AH74" s="166">
        <v>24785</v>
      </c>
      <c r="AI74" s="166">
        <v>22488</v>
      </c>
      <c r="AJ74" s="166">
        <v>21536</v>
      </c>
      <c r="AK74" s="166">
        <v>21507</v>
      </c>
      <c r="AL74" s="166">
        <v>21480</v>
      </c>
      <c r="AM74" s="166">
        <v>23302</v>
      </c>
      <c r="AN74" s="166">
        <v>23461</v>
      </c>
      <c r="AO74" s="166">
        <v>24670</v>
      </c>
      <c r="AP74" s="166">
        <v>24892</v>
      </c>
      <c r="AQ74" s="166">
        <v>342</v>
      </c>
    </row>
    <row r="75" spans="2:43" ht="5.0999999999999996" customHeight="1" outlineLevel="1">
      <c r="B75" s="1478"/>
      <c r="C75" s="1099"/>
      <c r="D75" s="1099"/>
      <c r="E75" s="167"/>
      <c r="F75" s="167"/>
      <c r="G75" s="167"/>
      <c r="H75" s="167"/>
      <c r="I75" s="167"/>
      <c r="J75" s="167"/>
      <c r="K75" s="167"/>
      <c r="L75" s="167"/>
      <c r="M75" s="167"/>
      <c r="N75" s="167"/>
      <c r="O75" s="197"/>
      <c r="P75" s="198"/>
      <c r="Q75" s="199"/>
      <c r="R75" s="198"/>
      <c r="S75" s="198"/>
      <c r="T75" s="198"/>
      <c r="U75" s="198"/>
      <c r="V75" s="198"/>
      <c r="W75" s="198"/>
      <c r="X75" s="166"/>
      <c r="Y75" s="166"/>
      <c r="Z75" s="166"/>
      <c r="AA75" s="166"/>
      <c r="AB75" s="166"/>
      <c r="AC75" s="166"/>
      <c r="AD75" s="166"/>
      <c r="AE75" s="166"/>
      <c r="AF75" s="166"/>
      <c r="AG75" s="166"/>
      <c r="AH75" s="166"/>
      <c r="AI75" s="166"/>
      <c r="AJ75" s="166"/>
      <c r="AK75" s="166"/>
      <c r="AL75" s="166"/>
      <c r="AM75" s="166"/>
      <c r="AN75" s="166"/>
      <c r="AO75" s="166"/>
      <c r="AP75" s="166"/>
      <c r="AQ75" s="166"/>
    </row>
    <row r="76" spans="2:43" outlineLevel="1">
      <c r="B76" s="1480" t="s">
        <v>38</v>
      </c>
      <c r="C76" s="1099" t="s">
        <v>39</v>
      </c>
      <c r="D76" s="1099"/>
      <c r="E76" s="167"/>
      <c r="F76" s="167"/>
      <c r="G76" s="167"/>
      <c r="H76" s="167"/>
      <c r="I76" s="167"/>
      <c r="J76" s="167"/>
      <c r="K76" s="167"/>
      <c r="L76" s="167"/>
      <c r="M76" s="167"/>
      <c r="N76" s="167"/>
      <c r="O76" s="197"/>
      <c r="P76" s="198"/>
      <c r="Q76" s="199"/>
      <c r="R76" s="198"/>
      <c r="S76" s="198"/>
      <c r="T76" s="198"/>
      <c r="U76" s="198"/>
      <c r="V76" s="198"/>
      <c r="W76" s="198"/>
      <c r="X76" s="166">
        <v>26051</v>
      </c>
      <c r="Y76" s="166"/>
      <c r="Z76" s="166">
        <v>26051</v>
      </c>
      <c r="AA76" s="166"/>
      <c r="AB76" s="166">
        <v>26051</v>
      </c>
      <c r="AC76" s="166"/>
      <c r="AD76" s="166">
        <v>26051</v>
      </c>
      <c r="AE76" s="166"/>
      <c r="AF76" s="166">
        <v>26051</v>
      </c>
      <c r="AG76" s="166">
        <v>27972</v>
      </c>
      <c r="AH76" s="166">
        <v>27430</v>
      </c>
      <c r="AI76" s="166">
        <v>26133</v>
      </c>
      <c r="AJ76" s="166">
        <v>25493</v>
      </c>
      <c r="AK76" s="166">
        <v>25461</v>
      </c>
      <c r="AL76" s="166">
        <v>25699</v>
      </c>
      <c r="AM76" s="166">
        <v>27358</v>
      </c>
      <c r="AN76" s="166">
        <v>27697</v>
      </c>
      <c r="AO76" s="166">
        <v>28394</v>
      </c>
      <c r="AP76" s="166">
        <v>28882</v>
      </c>
      <c r="AQ76" s="166">
        <v>24733.03</v>
      </c>
    </row>
    <row r="77" spans="2:43" ht="7.5" customHeight="1" outlineLevel="1">
      <c r="B77" s="1480"/>
      <c r="C77" s="1099"/>
      <c r="D77" s="1099"/>
      <c r="E77" s="167"/>
      <c r="F77" s="167"/>
      <c r="G77" s="167"/>
      <c r="H77" s="167"/>
      <c r="I77" s="167"/>
      <c r="J77" s="167"/>
      <c r="K77" s="167"/>
      <c r="L77" s="167"/>
      <c r="M77" s="167"/>
      <c r="N77" s="167"/>
      <c r="O77" s="197"/>
      <c r="P77" s="198"/>
      <c r="Q77" s="199"/>
      <c r="R77" s="198"/>
      <c r="S77" s="198"/>
      <c r="T77" s="198"/>
      <c r="U77" s="198"/>
      <c r="V77" s="198"/>
      <c r="W77" s="198"/>
      <c r="X77" s="166"/>
      <c r="Y77" s="166"/>
      <c r="Z77" s="166"/>
      <c r="AA77" s="166"/>
      <c r="AB77" s="166"/>
      <c r="AC77" s="166"/>
      <c r="AD77" s="166"/>
      <c r="AE77" s="166"/>
      <c r="AF77" s="166"/>
      <c r="AG77" s="166"/>
      <c r="AH77" s="166"/>
      <c r="AI77" s="166"/>
      <c r="AJ77" s="166"/>
      <c r="AK77" s="166"/>
      <c r="AL77" s="166"/>
      <c r="AM77" s="166"/>
      <c r="AN77" s="166"/>
      <c r="AO77" s="166"/>
      <c r="AP77" s="166"/>
      <c r="AQ77" s="166"/>
    </row>
    <row r="78" spans="2:43" outlineLevel="1">
      <c r="B78" s="1099" t="s">
        <v>40</v>
      </c>
      <c r="D78" s="1099"/>
      <c r="E78" s="167"/>
      <c r="F78" s="167"/>
      <c r="G78" s="167"/>
      <c r="H78" s="167"/>
      <c r="I78" s="167"/>
      <c r="J78" s="167"/>
      <c r="K78" s="167"/>
      <c r="L78" s="167"/>
      <c r="M78" s="167"/>
      <c r="N78" s="167"/>
      <c r="O78" s="197"/>
      <c r="P78" s="198"/>
      <c r="Q78" s="199"/>
      <c r="R78" s="198"/>
      <c r="S78" s="198"/>
      <c r="T78" s="198"/>
      <c r="U78" s="198"/>
      <c r="V78" s="198"/>
      <c r="W78" s="198"/>
      <c r="X78" s="166"/>
      <c r="Y78" s="166"/>
      <c r="Z78" s="166"/>
      <c r="AA78" s="166"/>
      <c r="AB78" s="166"/>
      <c r="AC78" s="166"/>
      <c r="AD78" s="166"/>
      <c r="AE78" s="166"/>
      <c r="AF78" s="166"/>
      <c r="AG78" s="166"/>
      <c r="AH78" s="166"/>
      <c r="AI78" s="166"/>
      <c r="AJ78" s="166"/>
      <c r="AK78" s="166"/>
      <c r="AL78" s="166"/>
      <c r="AM78" s="166"/>
      <c r="AN78" s="166"/>
      <c r="AO78" s="166"/>
      <c r="AP78" s="166"/>
      <c r="AQ78" s="166"/>
    </row>
    <row r="79" spans="2:43" ht="6" customHeight="1" outlineLevel="1">
      <c r="B79" s="1478"/>
      <c r="C79" s="1099"/>
      <c r="D79" s="1099"/>
      <c r="E79" s="167"/>
      <c r="F79" s="167"/>
      <c r="G79" s="167"/>
      <c r="H79" s="167"/>
      <c r="I79" s="167"/>
      <c r="J79" s="167"/>
      <c r="K79" s="167"/>
      <c r="L79" s="167"/>
      <c r="M79" s="167"/>
      <c r="N79" s="167"/>
      <c r="O79" s="197"/>
      <c r="P79" s="198"/>
      <c r="Q79" s="199"/>
      <c r="R79" s="198"/>
      <c r="S79" s="198"/>
      <c r="T79" s="198"/>
      <c r="U79" s="198"/>
      <c r="V79" s="198"/>
      <c r="W79" s="198"/>
      <c r="X79" s="166"/>
      <c r="Y79" s="166"/>
      <c r="Z79" s="166"/>
      <c r="AA79" s="166"/>
      <c r="AB79" s="166"/>
      <c r="AC79" s="166"/>
      <c r="AD79" s="166"/>
      <c r="AE79" s="166"/>
      <c r="AF79" s="166"/>
      <c r="AG79" s="166"/>
      <c r="AH79" s="166"/>
      <c r="AI79" s="166"/>
      <c r="AJ79" s="166"/>
      <c r="AK79" s="166"/>
      <c r="AL79" s="166"/>
      <c r="AM79" s="166"/>
      <c r="AN79" s="166"/>
      <c r="AO79" s="166"/>
      <c r="AP79" s="166"/>
      <c r="AQ79" s="166"/>
    </row>
    <row r="80" spans="2:43" outlineLevel="1">
      <c r="B80" s="1481" t="s">
        <v>41</v>
      </c>
      <c r="C80" s="1482" t="s">
        <v>42</v>
      </c>
      <c r="D80" s="1482"/>
      <c r="E80" s="167"/>
      <c r="F80" s="167"/>
      <c r="G80" s="167"/>
      <c r="H80" s="167"/>
      <c r="I80" s="167"/>
      <c r="J80" s="167"/>
      <c r="K80" s="167"/>
      <c r="L80" s="167"/>
      <c r="M80" s="167"/>
      <c r="N80" s="167"/>
      <c r="O80" s="197"/>
      <c r="P80" s="198"/>
      <c r="Q80" s="199"/>
      <c r="R80" s="198"/>
      <c r="S80" s="198"/>
      <c r="T80" s="198"/>
      <c r="U80" s="198"/>
      <c r="V80" s="198"/>
      <c r="W80" s="198"/>
      <c r="X80" s="207">
        <v>0.11634478579198056</v>
      </c>
      <c r="Y80" s="207"/>
      <c r="Z80" s="207">
        <v>0.11634478579198056</v>
      </c>
      <c r="AA80" s="207"/>
      <c r="AB80" s="207">
        <v>0.11634478579198056</v>
      </c>
      <c r="AC80" s="207"/>
      <c r="AD80" s="207">
        <v>0.11634478579198056</v>
      </c>
      <c r="AE80" s="207"/>
      <c r="AF80" s="207">
        <v>0.11634478579198056</v>
      </c>
      <c r="AG80" s="207">
        <f t="shared" ref="AG80:AQ80" si="10">AG69/AG67</f>
        <v>0.13931399660539406</v>
      </c>
      <c r="AH80" s="207">
        <f t="shared" si="10"/>
        <v>0.14680230467288288</v>
      </c>
      <c r="AI80" s="207">
        <f t="shared" si="10"/>
        <v>0.14279987270189951</v>
      </c>
      <c r="AJ80" s="207">
        <f t="shared" si="10"/>
        <v>0.14264016157850515</v>
      </c>
      <c r="AK80" s="166">
        <f t="shared" si="10"/>
        <v>0.14659845612438308</v>
      </c>
      <c r="AL80" s="207">
        <f t="shared" si="10"/>
        <v>0.14781512313474102</v>
      </c>
      <c r="AM80" s="207">
        <f t="shared" si="10"/>
        <v>0.16201941588603111</v>
      </c>
      <c r="AN80" s="207">
        <f t="shared" si="10"/>
        <v>0.15805810344838175</v>
      </c>
      <c r="AO80" s="207">
        <f t="shared" si="10"/>
        <v>0.16305737169894172</v>
      </c>
      <c r="AP80" s="207">
        <f t="shared" si="10"/>
        <v>0.16044405517544408</v>
      </c>
      <c r="AQ80" s="207">
        <f t="shared" si="10"/>
        <v>0</v>
      </c>
    </row>
    <row r="81" spans="2:43" ht="5.0999999999999996" customHeight="1" outlineLevel="1">
      <c r="B81" s="1478"/>
      <c r="C81" s="1099"/>
      <c r="D81" s="1099"/>
      <c r="E81" s="167"/>
      <c r="F81" s="167"/>
      <c r="G81" s="167"/>
      <c r="H81" s="167"/>
      <c r="I81" s="167"/>
      <c r="J81" s="167"/>
      <c r="K81" s="167"/>
      <c r="L81" s="167"/>
      <c r="M81" s="167"/>
      <c r="N81" s="167"/>
      <c r="O81" s="197"/>
      <c r="P81" s="198"/>
      <c r="Q81" s="199"/>
      <c r="R81" s="198"/>
      <c r="S81" s="198"/>
      <c r="T81" s="198"/>
      <c r="U81" s="198"/>
      <c r="V81" s="198"/>
      <c r="W81" s="198"/>
      <c r="X81" s="166"/>
      <c r="Y81" s="166"/>
      <c r="Z81" s="166"/>
      <c r="AA81" s="166"/>
      <c r="AB81" s="166"/>
      <c r="AC81" s="166"/>
      <c r="AD81" s="166"/>
      <c r="AE81" s="166"/>
      <c r="AF81" s="166"/>
      <c r="AG81" s="166"/>
      <c r="AH81" s="166"/>
      <c r="AI81" s="166"/>
      <c r="AJ81" s="166"/>
      <c r="AK81" s="166"/>
      <c r="AL81" s="166"/>
      <c r="AM81" s="166"/>
      <c r="AN81" s="166"/>
      <c r="AO81" s="166"/>
      <c r="AP81" s="166"/>
      <c r="AQ81" s="166"/>
    </row>
    <row r="82" spans="2:43" outlineLevel="1">
      <c r="B82" s="1480" t="s">
        <v>43</v>
      </c>
      <c r="C82" s="1099" t="s">
        <v>44</v>
      </c>
      <c r="D82" s="1099"/>
      <c r="E82" s="167"/>
      <c r="F82" s="167"/>
      <c r="G82" s="167"/>
      <c r="H82" s="167"/>
      <c r="I82" s="167"/>
      <c r="J82" s="167"/>
      <c r="K82" s="167"/>
      <c r="L82" s="167"/>
      <c r="M82" s="167"/>
      <c r="N82" s="167"/>
      <c r="O82" s="197"/>
      <c r="P82" s="198"/>
      <c r="Q82" s="199"/>
      <c r="R82" s="198"/>
      <c r="S82" s="198"/>
      <c r="T82" s="198"/>
      <c r="U82" s="198"/>
      <c r="V82" s="198"/>
      <c r="W82" s="198"/>
      <c r="X82" s="208">
        <v>0.13995003992551533</v>
      </c>
      <c r="Y82" s="208"/>
      <c r="Z82" s="208">
        <v>0.13995003992551533</v>
      </c>
      <c r="AA82" s="208"/>
      <c r="AB82" s="208">
        <v>0.13995003992551533</v>
      </c>
      <c r="AC82" s="208"/>
      <c r="AD82" s="208">
        <v>0.13995003992551533</v>
      </c>
      <c r="AE82" s="208"/>
      <c r="AF82" s="208">
        <v>0.13995003992551533</v>
      </c>
      <c r="AG82" s="208">
        <f t="shared" ref="AG82:AQ82" si="11">AG76/AG67</f>
        <v>0.16189153392239969</v>
      </c>
      <c r="AH82" s="208">
        <f t="shared" si="11"/>
        <v>0.17081476275461005</v>
      </c>
      <c r="AI82" s="208">
        <f t="shared" si="11"/>
        <v>0.17457028925100526</v>
      </c>
      <c r="AJ82" s="208">
        <f t="shared" si="11"/>
        <v>0.18093872911981049</v>
      </c>
      <c r="AK82" s="166">
        <f t="shared" si="11"/>
        <v>0.18578185711925327</v>
      </c>
      <c r="AL82" s="208">
        <f t="shared" si="11"/>
        <v>0.18987807904827098</v>
      </c>
      <c r="AM82" s="208">
        <f t="shared" si="11"/>
        <v>0.2054092951392576</v>
      </c>
      <c r="AN82" s="208">
        <f t="shared" si="11"/>
        <v>0.20247607840570878</v>
      </c>
      <c r="AO82" s="208">
        <f t="shared" si="11"/>
        <v>0.2055975403889938</v>
      </c>
      <c r="AP82" s="208">
        <f t="shared" si="11"/>
        <v>0.20423752486126212</v>
      </c>
      <c r="AQ82" s="208">
        <f t="shared" si="11"/>
        <v>0.18900645404331179</v>
      </c>
    </row>
    <row r="83" spans="2:43" ht="5.0999999999999996" customHeight="1" outlineLevel="1">
      <c r="B83" s="1478"/>
      <c r="C83" s="1099"/>
      <c r="D83" s="1099"/>
      <c r="E83" s="167"/>
      <c r="F83" s="167"/>
      <c r="G83" s="167"/>
      <c r="H83" s="167"/>
      <c r="I83" s="167"/>
      <c r="J83" s="167"/>
      <c r="K83" s="167"/>
      <c r="L83" s="167"/>
      <c r="M83" s="167"/>
      <c r="N83" s="167"/>
      <c r="O83" s="197"/>
      <c r="P83" s="198"/>
      <c r="Q83" s="199"/>
      <c r="R83" s="198"/>
      <c r="S83" s="198"/>
      <c r="T83" s="198"/>
      <c r="U83" s="198"/>
      <c r="V83" s="198"/>
      <c r="W83" s="198"/>
      <c r="X83" s="166"/>
      <c r="Y83" s="166"/>
      <c r="Z83" s="166"/>
      <c r="AA83" s="166"/>
      <c r="AB83" s="166"/>
      <c r="AC83" s="166"/>
      <c r="AD83" s="166"/>
      <c r="AE83" s="166"/>
      <c r="AF83" s="166"/>
      <c r="AG83" s="166"/>
      <c r="AH83" s="166"/>
      <c r="AI83" s="166"/>
      <c r="AJ83" s="166"/>
      <c r="AK83" s="166"/>
      <c r="AL83" s="166"/>
      <c r="AM83" s="166"/>
      <c r="AN83" s="166"/>
      <c r="AO83" s="166"/>
      <c r="AP83" s="166"/>
      <c r="AQ83" s="166"/>
    </row>
    <row r="84" spans="2:43" outlineLevel="1">
      <c r="B84" s="1480" t="s">
        <v>45</v>
      </c>
      <c r="C84" s="1099" t="s">
        <v>46</v>
      </c>
      <c r="D84" s="1099"/>
      <c r="E84" s="167"/>
      <c r="F84" s="167"/>
      <c r="G84" s="167"/>
      <c r="H84" s="167"/>
      <c r="I84" s="167"/>
      <c r="J84" s="167"/>
      <c r="K84" s="167"/>
      <c r="L84" s="167"/>
      <c r="M84" s="167"/>
      <c r="N84" s="167"/>
      <c r="O84" s="197"/>
      <c r="P84" s="198"/>
      <c r="Q84" s="199"/>
      <c r="R84" s="198"/>
      <c r="S84" s="198"/>
      <c r="T84" s="198"/>
      <c r="U84" s="198"/>
      <c r="V84" s="198"/>
      <c r="W84" s="198"/>
      <c r="X84" s="208">
        <v>0.16096948586522933</v>
      </c>
      <c r="Y84" s="208"/>
      <c r="Z84" s="208">
        <v>0.16096948586522933</v>
      </c>
      <c r="AA84" s="208"/>
      <c r="AB84" s="208">
        <v>0.16096948586522933</v>
      </c>
      <c r="AC84" s="208"/>
      <c r="AD84" s="208">
        <v>0.16096948586522933</v>
      </c>
      <c r="AE84" s="208"/>
      <c r="AF84" s="208">
        <v>0.16096948586522933</v>
      </c>
      <c r="AG84" s="208">
        <f t="shared" ref="AG84:AQ84" si="12">AG76/AG65</f>
        <v>0.18556313256201112</v>
      </c>
      <c r="AH84" s="208">
        <f t="shared" si="12"/>
        <v>0.19349403364356874</v>
      </c>
      <c r="AI84" s="208">
        <f t="shared" si="12"/>
        <v>0.19756391812288376</v>
      </c>
      <c r="AJ84" s="208">
        <f t="shared" si="12"/>
        <v>0.20305198612727932</v>
      </c>
      <c r="AK84" s="166">
        <f t="shared" si="12"/>
        <v>0.20796717586782903</v>
      </c>
      <c r="AL84" s="208">
        <f t="shared" si="12"/>
        <v>0.21335042859784045</v>
      </c>
      <c r="AM84" s="208">
        <f t="shared" si="12"/>
        <v>0.2305833352978458</v>
      </c>
      <c r="AN84" s="208">
        <f t="shared" si="12"/>
        <v>0.22692391220822875</v>
      </c>
      <c r="AO84" s="208">
        <f t="shared" si="12"/>
        <v>0.22838849531362798</v>
      </c>
      <c r="AP84" s="208">
        <f t="shared" si="12"/>
        <v>0.22813205517456139</v>
      </c>
      <c r="AQ84" s="208">
        <f t="shared" si="12"/>
        <v>0.21419395534011651</v>
      </c>
    </row>
    <row r="85" spans="2:43" ht="5.0999999999999996" customHeight="1" outlineLevel="1">
      <c r="B85" s="1445"/>
      <c r="C85" s="1445"/>
      <c r="D85" s="1445"/>
      <c r="E85" s="562"/>
      <c r="F85" s="562"/>
      <c r="G85" s="562"/>
      <c r="H85" s="562"/>
      <c r="I85" s="562"/>
      <c r="J85" s="562"/>
      <c r="K85" s="562"/>
      <c r="L85" s="562"/>
      <c r="M85" s="562"/>
      <c r="N85" s="562"/>
      <c r="O85" s="561"/>
      <c r="P85" s="194"/>
      <c r="Q85" s="194"/>
      <c r="R85" s="194"/>
      <c r="S85" s="194"/>
      <c r="T85" s="194"/>
      <c r="U85" s="194"/>
      <c r="V85" s="194"/>
      <c r="W85" s="194"/>
      <c r="X85" s="1475"/>
      <c r="Y85" s="1475"/>
      <c r="Z85" s="1475"/>
      <c r="AA85" s="1475"/>
      <c r="AB85" s="1475"/>
      <c r="AC85" s="1475"/>
      <c r="AD85" s="1475"/>
      <c r="AE85" s="1475"/>
      <c r="AF85" s="1475"/>
      <c r="AG85" s="1475"/>
      <c r="AH85" s="1475"/>
      <c r="AI85" s="1475"/>
      <c r="AJ85" s="1475"/>
      <c r="AK85" s="1475"/>
      <c r="AL85" s="1475"/>
      <c r="AM85" s="1475"/>
      <c r="AN85" s="1475"/>
      <c r="AO85" s="1475"/>
      <c r="AP85" s="1475"/>
      <c r="AQ85" s="1475"/>
    </row>
    <row r="86" spans="2:43" ht="6" customHeight="1" outlineLevel="1">
      <c r="B86" s="1099"/>
      <c r="C86" s="1099"/>
      <c r="D86" s="1099"/>
      <c r="E86" s="167"/>
      <c r="F86" s="167"/>
      <c r="G86" s="167"/>
      <c r="H86" s="167"/>
      <c r="I86" s="167"/>
      <c r="J86" s="167"/>
      <c r="K86" s="167"/>
      <c r="L86" s="167"/>
      <c r="M86" s="167"/>
      <c r="N86" s="167"/>
      <c r="O86" s="197"/>
      <c r="P86" s="198"/>
      <c r="Q86" s="199"/>
      <c r="R86" s="198"/>
      <c r="S86" s="198"/>
      <c r="T86" s="198"/>
      <c r="U86" s="198"/>
      <c r="V86" s="198"/>
      <c r="W86" s="198"/>
      <c r="X86" s="1478"/>
      <c r="Y86" s="1478"/>
      <c r="Z86" s="1478"/>
      <c r="AA86" s="1478"/>
      <c r="AB86" s="1478"/>
      <c r="AC86" s="1478"/>
      <c r="AD86" s="1478"/>
      <c r="AE86" s="1478"/>
      <c r="AF86" s="1478"/>
      <c r="AG86" s="1441"/>
      <c r="AI86" s="1462"/>
      <c r="AJ86" s="1462"/>
      <c r="AK86" s="1462"/>
    </row>
    <row r="87" spans="2:43" ht="30" customHeight="1" outlineLevel="1">
      <c r="B87" s="1970" t="s">
        <v>47</v>
      </c>
      <c r="C87" s="1971"/>
      <c r="D87" s="1971"/>
      <c r="E87" s="1971"/>
      <c r="F87" s="1971"/>
      <c r="G87" s="1971"/>
      <c r="H87" s="1971"/>
      <c r="I87" s="1971"/>
      <c r="J87" s="1971"/>
      <c r="K87" s="1971"/>
      <c r="L87" s="1971"/>
      <c r="M87" s="1971"/>
      <c r="N87" s="1971"/>
      <c r="O87" s="1971"/>
      <c r="P87" s="1971"/>
      <c r="Q87" s="1971"/>
      <c r="R87" s="1971"/>
      <c r="S87" s="1971"/>
      <c r="T87" s="1971"/>
      <c r="U87" s="1971"/>
      <c r="V87" s="1971"/>
      <c r="W87" s="1971"/>
      <c r="X87" s="1971"/>
      <c r="Y87" s="1971"/>
      <c r="Z87" s="1971"/>
      <c r="AA87" s="1971"/>
      <c r="AB87" s="1971"/>
      <c r="AC87" s="1971"/>
      <c r="AD87" s="1971"/>
      <c r="AE87" s="1971"/>
      <c r="AF87" s="1971"/>
      <c r="AG87" s="1441"/>
      <c r="AI87" s="369"/>
    </row>
    <row r="88" spans="2:43">
      <c r="R88" s="1084"/>
      <c r="S88" s="1084"/>
      <c r="T88" s="1084"/>
      <c r="U88" s="1084"/>
      <c r="V88" s="1084"/>
      <c r="W88" s="1084"/>
      <c r="X88" s="1090"/>
      <c r="Y88" s="1090"/>
      <c r="Z88" s="1090"/>
      <c r="AA88" s="1090"/>
      <c r="AB88" s="1090"/>
      <c r="AC88" s="1090"/>
      <c r="AD88" s="1090"/>
      <c r="AE88" s="1090"/>
      <c r="AF88" s="1090"/>
      <c r="AG88" s="1441"/>
      <c r="AI88" s="369"/>
    </row>
    <row r="89" spans="2:43">
      <c r="R89" s="1084"/>
      <c r="S89" s="1084"/>
      <c r="T89" s="1084"/>
      <c r="U89" s="1084"/>
      <c r="V89" s="1084"/>
      <c r="W89" s="1084"/>
      <c r="X89" s="1090"/>
      <c r="Y89" s="1090"/>
      <c r="Z89" s="1090"/>
      <c r="AA89" s="1090"/>
      <c r="AB89" s="1090"/>
      <c r="AC89" s="1090"/>
      <c r="AD89" s="1090"/>
      <c r="AE89" s="1090"/>
      <c r="AF89" s="1090"/>
      <c r="AG89" s="1441"/>
      <c r="AI89" s="369"/>
    </row>
    <row r="90" spans="2:43">
      <c r="B90" s="1444" t="s">
        <v>1120</v>
      </c>
      <c r="C90" s="1443"/>
      <c r="D90" s="1443"/>
      <c r="E90" s="1443"/>
      <c r="F90" s="1443"/>
      <c r="G90" s="1443"/>
      <c r="H90" s="1443"/>
      <c r="I90" s="1443"/>
      <c r="J90" s="1443"/>
      <c r="K90" s="1443"/>
      <c r="L90" s="1443"/>
      <c r="M90" s="1443"/>
      <c r="N90" s="1443"/>
      <c r="O90" s="1443"/>
      <c r="P90" s="1443"/>
      <c r="Q90" s="1443"/>
      <c r="R90" s="1443"/>
      <c r="S90" s="1443"/>
      <c r="T90" s="1443"/>
      <c r="U90" s="1443"/>
      <c r="V90" s="1443"/>
      <c r="W90" s="1443"/>
      <c r="X90" s="1443"/>
      <c r="Y90" s="1443"/>
      <c r="Z90" s="1443"/>
      <c r="AA90" s="1443"/>
      <c r="AB90" s="1443"/>
      <c r="AC90" s="1443"/>
      <c r="AD90" s="1443"/>
      <c r="AE90" s="1443"/>
      <c r="AF90" s="1443"/>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1441"/>
      <c r="AI91" s="369"/>
    </row>
    <row r="92" spans="2:43">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196"/>
      <c r="AF92" s="211">
        <v>2009</v>
      </c>
      <c r="AG92" s="211">
        <v>2010</v>
      </c>
      <c r="AH92" s="211">
        <v>2011</v>
      </c>
      <c r="AI92" s="211">
        <v>2012</v>
      </c>
      <c r="AJ92" s="211">
        <v>2013</v>
      </c>
      <c r="AK92" s="211">
        <v>2014</v>
      </c>
      <c r="AL92" s="211">
        <v>2015</v>
      </c>
      <c r="AM92" s="211">
        <v>2016</v>
      </c>
      <c r="AN92" s="211">
        <v>2017</v>
      </c>
      <c r="AO92" s="211">
        <v>2018</v>
      </c>
      <c r="AP92" s="211">
        <v>2019</v>
      </c>
      <c r="AQ92" s="211">
        <v>2020</v>
      </c>
    </row>
    <row r="93" spans="2:43">
      <c r="B93" s="1099"/>
      <c r="C93" s="1099"/>
      <c r="D93" s="1099"/>
      <c r="E93" s="1099"/>
      <c r="F93" s="1099"/>
      <c r="G93" s="1099"/>
      <c r="H93" s="1099"/>
      <c r="I93" s="1099"/>
      <c r="J93" s="1099"/>
      <c r="K93" s="1099"/>
      <c r="L93" s="1099"/>
      <c r="M93" s="1099"/>
      <c r="N93" s="1099"/>
      <c r="O93" s="1099"/>
      <c r="P93" s="1099"/>
      <c r="Q93" s="1099"/>
      <c r="R93" s="1100"/>
      <c r="S93" s="1100"/>
      <c r="T93" s="1100"/>
      <c r="U93" s="1100"/>
      <c r="V93" s="1100"/>
      <c r="W93" s="1100"/>
      <c r="X93" s="1101"/>
      <c r="Y93" s="1101"/>
      <c r="Z93" s="1101"/>
      <c r="AA93" s="1101"/>
      <c r="AB93" s="1101"/>
      <c r="AC93" s="1101"/>
      <c r="AD93" s="1101"/>
      <c r="AE93" s="1101"/>
      <c r="AF93" s="1101"/>
      <c r="AG93" s="1090"/>
      <c r="AH93" s="1079"/>
      <c r="AI93" s="1079"/>
    </row>
    <row r="94" spans="2:43" s="1102" customFormat="1">
      <c r="B94" s="217" t="s">
        <v>49</v>
      </c>
      <c r="P94" s="1103">
        <v>0</v>
      </c>
      <c r="Q94" s="1103">
        <v>0</v>
      </c>
      <c r="R94" s="1103">
        <v>0</v>
      </c>
      <c r="S94" s="1103">
        <v>0</v>
      </c>
      <c r="T94" s="1103">
        <v>0</v>
      </c>
      <c r="U94" s="1103">
        <v>0</v>
      </c>
      <c r="V94" s="1103">
        <v>0</v>
      </c>
      <c r="W94" s="1103"/>
      <c r="X94" s="1104">
        <v>0</v>
      </c>
      <c r="Y94" s="1104"/>
      <c r="Z94" s="1104">
        <v>0</v>
      </c>
      <c r="AA94" s="1104"/>
      <c r="AB94" s="1104">
        <v>0</v>
      </c>
      <c r="AC94" s="1104"/>
      <c r="AD94" s="1104">
        <v>0</v>
      </c>
      <c r="AE94" s="1104"/>
      <c r="AF94" s="1104">
        <v>0</v>
      </c>
      <c r="AG94" s="1104">
        <v>0</v>
      </c>
      <c r="AH94" s="1104">
        <v>0</v>
      </c>
      <c r="AI94" s="1104">
        <v>0</v>
      </c>
      <c r="AJ94" s="1104">
        <v>0</v>
      </c>
      <c r="AK94" s="1104">
        <v>0</v>
      </c>
      <c r="AL94" s="1104">
        <v>0</v>
      </c>
      <c r="AM94" s="1104">
        <v>0</v>
      </c>
      <c r="AN94" s="1104">
        <v>0</v>
      </c>
      <c r="AO94" s="1102">
        <v>0</v>
      </c>
      <c r="AP94" s="1102">
        <v>0</v>
      </c>
      <c r="AQ94" s="1102">
        <v>0</v>
      </c>
    </row>
    <row r="95" spans="2:43">
      <c r="B95" s="369" t="s">
        <v>375</v>
      </c>
      <c r="R95" s="1084"/>
      <c r="S95" s="1084"/>
      <c r="T95" s="1084"/>
      <c r="U95" s="1084"/>
      <c r="V95" s="1084"/>
      <c r="W95" s="1084"/>
      <c r="X95" s="1085"/>
      <c r="Y95" s="1085"/>
      <c r="Z95" s="1085"/>
      <c r="AA95" s="1085"/>
      <c r="AB95" s="1085"/>
      <c r="AC95" s="1085"/>
      <c r="AD95" s="1085"/>
      <c r="AE95" s="1085"/>
      <c r="AF95" s="1105"/>
      <c r="AG95" s="1105"/>
      <c r="AH95" s="1105"/>
      <c r="AI95" s="369"/>
    </row>
    <row r="96" spans="2:43">
      <c r="B96" s="369" t="s">
        <v>393</v>
      </c>
      <c r="R96" s="1084"/>
      <c r="S96" s="1084"/>
      <c r="T96" s="1084"/>
      <c r="U96" s="1084"/>
      <c r="V96" s="1084"/>
      <c r="W96" s="1084"/>
      <c r="X96" s="1085"/>
      <c r="Y96" s="1085"/>
      <c r="Z96" s="1085"/>
      <c r="AA96" s="1085"/>
      <c r="AB96" s="1085"/>
      <c r="AC96" s="1085"/>
      <c r="AD96" s="1085"/>
      <c r="AE96" s="1085"/>
      <c r="AF96" s="1105"/>
      <c r="AG96" s="1105"/>
      <c r="AH96" s="1105"/>
      <c r="AI96" s="369"/>
    </row>
    <row r="97" spans="2:43">
      <c r="R97" s="1084"/>
      <c r="S97" s="1084"/>
      <c r="T97" s="1084"/>
      <c r="U97" s="1084"/>
      <c r="V97" s="1084"/>
      <c r="W97" s="1084"/>
      <c r="X97" s="1085"/>
      <c r="Y97" s="1085"/>
      <c r="Z97" s="1085"/>
      <c r="AA97" s="1085"/>
      <c r="AB97" s="1085"/>
      <c r="AC97" s="1085"/>
      <c r="AD97" s="1085"/>
      <c r="AE97" s="1085"/>
      <c r="AF97" s="1105"/>
      <c r="AG97" s="1105"/>
      <c r="AH97" s="1105"/>
      <c r="AI97" s="369"/>
    </row>
    <row r="98" spans="2:43" s="1102" customFormat="1">
      <c r="B98" s="217" t="s">
        <v>78</v>
      </c>
      <c r="P98" s="1103">
        <v>0</v>
      </c>
      <c r="Q98" s="1103">
        <v>0</v>
      </c>
      <c r="R98" s="1103">
        <v>0</v>
      </c>
      <c r="S98" s="1103">
        <v>0</v>
      </c>
      <c r="T98" s="1103">
        <v>0</v>
      </c>
      <c r="U98" s="1103">
        <v>0</v>
      </c>
      <c r="V98" s="1103">
        <v>0</v>
      </c>
      <c r="W98" s="1103"/>
      <c r="X98" s="1104">
        <v>0</v>
      </c>
      <c r="Y98" s="1104"/>
      <c r="Z98" s="1104">
        <v>0</v>
      </c>
      <c r="AA98" s="1104"/>
      <c r="AB98" s="1104">
        <v>0</v>
      </c>
      <c r="AC98" s="1104"/>
      <c r="AD98" s="1104">
        <v>0</v>
      </c>
      <c r="AE98" s="1104"/>
      <c r="AF98" s="1104">
        <v>0</v>
      </c>
      <c r="AG98" s="1104">
        <v>0</v>
      </c>
      <c r="AH98" s="1104">
        <v>0</v>
      </c>
      <c r="AI98" s="1104">
        <v>0</v>
      </c>
      <c r="AJ98" s="1104">
        <v>0</v>
      </c>
      <c r="AK98" s="1104">
        <v>0</v>
      </c>
      <c r="AL98" s="1104">
        <v>0</v>
      </c>
      <c r="AM98" s="1104">
        <v>0</v>
      </c>
      <c r="AN98" s="1104">
        <v>0</v>
      </c>
      <c r="AO98" s="1102">
        <v>0</v>
      </c>
      <c r="AP98" s="1102">
        <v>0</v>
      </c>
      <c r="AQ98" s="1102">
        <v>0</v>
      </c>
    </row>
    <row r="99" spans="2:43">
      <c r="R99" s="1084"/>
      <c r="S99" s="1084"/>
      <c r="T99" s="1084"/>
      <c r="U99" s="1084"/>
      <c r="V99" s="1084"/>
      <c r="W99" s="1084"/>
      <c r="X99" s="1085"/>
      <c r="Y99" s="1085"/>
      <c r="Z99" s="1085"/>
      <c r="AA99" s="1085"/>
      <c r="AB99" s="1085"/>
      <c r="AC99" s="1085"/>
      <c r="AD99" s="1105"/>
      <c r="AE99" s="1085"/>
      <c r="AF99" s="1105"/>
      <c r="AG99" s="1105"/>
      <c r="AH99" s="1105"/>
      <c r="AI99" s="369"/>
    </row>
    <row r="100" spans="2:43" ht="13.5">
      <c r="B100" s="1112" t="s">
        <v>446</v>
      </c>
      <c r="X100" s="1085"/>
      <c r="Y100" s="1085"/>
      <c r="Z100" s="1085"/>
      <c r="AA100" s="1085"/>
      <c r="AB100" s="1085"/>
      <c r="AC100" s="1085"/>
      <c r="AD100" s="1105"/>
      <c r="AE100" s="1085"/>
      <c r="AF100" s="1105"/>
      <c r="AG100" s="1105"/>
      <c r="AH100" s="1105"/>
      <c r="AI100" s="369"/>
    </row>
    <row r="101" spans="2:43">
      <c r="B101" s="217" t="s">
        <v>447</v>
      </c>
      <c r="P101" s="1103">
        <v>0</v>
      </c>
      <c r="Q101" s="1103">
        <v>0</v>
      </c>
      <c r="R101" s="1103">
        <v>0</v>
      </c>
      <c r="S101" s="1103">
        <v>0</v>
      </c>
      <c r="T101" s="1103">
        <v>0</v>
      </c>
      <c r="U101" s="1103">
        <v>0</v>
      </c>
      <c r="V101" s="1103">
        <v>0</v>
      </c>
      <c r="W101" s="1084"/>
      <c r="X101" s="1104">
        <v>0</v>
      </c>
      <c r="Y101" s="1104"/>
      <c r="Z101" s="1104">
        <v>0</v>
      </c>
      <c r="AA101" s="1104"/>
      <c r="AB101" s="1113">
        <v>0</v>
      </c>
      <c r="AC101" s="1104"/>
      <c r="AD101" s="1104">
        <v>0</v>
      </c>
      <c r="AE101" s="1104"/>
      <c r="AF101" s="1104">
        <v>0</v>
      </c>
      <c r="AG101" s="1104">
        <v>0</v>
      </c>
      <c r="AH101" s="1104">
        <v>0</v>
      </c>
      <c r="AI101" s="1104">
        <v>0</v>
      </c>
      <c r="AJ101" s="1104">
        <v>0</v>
      </c>
      <c r="AK101" s="1104">
        <v>0</v>
      </c>
      <c r="AL101" s="1104">
        <v>0</v>
      </c>
      <c r="AM101" s="1104">
        <v>0</v>
      </c>
      <c r="AN101" s="1104">
        <v>0</v>
      </c>
      <c r="AO101" s="369">
        <v>0</v>
      </c>
      <c r="AP101" s="369">
        <v>0</v>
      </c>
      <c r="AQ101" s="369">
        <v>0</v>
      </c>
    </row>
    <row r="102" spans="2:43">
      <c r="B102" s="217"/>
      <c r="R102" s="1084"/>
      <c r="S102" s="1084"/>
      <c r="T102" s="1084"/>
      <c r="U102" s="1084"/>
      <c r="V102" s="1084"/>
      <c r="W102" s="1084"/>
      <c r="X102" s="1090"/>
      <c r="Y102" s="1090"/>
      <c r="Z102" s="1090"/>
      <c r="AA102" s="1090"/>
      <c r="AB102" s="1106"/>
      <c r="AC102" s="1090"/>
      <c r="AD102" s="1106"/>
      <c r="AE102" s="1090"/>
      <c r="AF102" s="1106"/>
      <c r="AG102" s="1441"/>
      <c r="AI102" s="369"/>
    </row>
    <row r="103" spans="2:43">
      <c r="B103" s="1081"/>
      <c r="C103" s="1081"/>
      <c r="D103" s="1081"/>
      <c r="E103" s="1081"/>
      <c r="F103" s="1081"/>
      <c r="G103" s="1081"/>
      <c r="H103" s="1081"/>
      <c r="I103" s="1081"/>
      <c r="J103" s="1081"/>
      <c r="K103" s="1081"/>
      <c r="L103" s="1081"/>
      <c r="M103" s="1081"/>
      <c r="N103" s="1081"/>
      <c r="O103" s="1081"/>
      <c r="P103" s="1081"/>
      <c r="Q103" s="1081"/>
      <c r="R103" s="1081"/>
      <c r="S103" s="1081"/>
      <c r="T103" s="1081"/>
      <c r="U103" s="1081"/>
      <c r="V103" s="1081"/>
      <c r="W103" s="1081"/>
      <c r="X103" s="1115"/>
      <c r="Y103" s="1115"/>
      <c r="Z103" s="1115"/>
      <c r="AA103" s="1115"/>
      <c r="AB103" s="1115"/>
      <c r="AC103" s="1115"/>
      <c r="AD103" s="1115"/>
      <c r="AE103" s="1115"/>
      <c r="AF103" s="1115"/>
      <c r="AG103" s="1483"/>
      <c r="AH103" s="1483"/>
      <c r="AI103" s="1483"/>
      <c r="AJ103" s="1483"/>
      <c r="AK103" s="1483"/>
      <c r="AL103" s="1483"/>
      <c r="AM103" s="1483"/>
      <c r="AN103" s="1483"/>
      <c r="AO103" s="1483"/>
      <c r="AP103" s="1483"/>
      <c r="AQ103" s="1483"/>
    </row>
    <row r="104" spans="2:43" ht="8.25" customHeight="1">
      <c r="C104" s="1484"/>
      <c r="D104" s="1484"/>
      <c r="E104" s="1484"/>
      <c r="F104" s="1484"/>
      <c r="G104" s="1484"/>
      <c r="H104" s="1484"/>
      <c r="I104" s="1484"/>
      <c r="J104" s="1484"/>
      <c r="K104" s="1484"/>
      <c r="L104" s="1484"/>
      <c r="M104" s="1484"/>
      <c r="N104" s="1484"/>
      <c r="O104" s="1484"/>
      <c r="P104" s="1484"/>
      <c r="Q104" s="1484"/>
      <c r="R104" s="1484"/>
      <c r="S104" s="1484"/>
      <c r="T104" s="1484"/>
      <c r="U104" s="1484"/>
      <c r="V104" s="1484"/>
      <c r="W104" s="1484"/>
      <c r="X104" s="1485"/>
      <c r="Y104" s="1485"/>
      <c r="Z104" s="1485"/>
      <c r="AA104" s="1485"/>
      <c r="AB104" s="1485"/>
      <c r="AC104" s="1485"/>
      <c r="AD104" s="1485"/>
      <c r="AE104" s="1485"/>
      <c r="AF104" s="1485"/>
      <c r="AG104" s="1486"/>
      <c r="AH104" s="1487"/>
      <c r="AI104" s="369"/>
    </row>
    <row r="105" spans="2:43" ht="95.25" customHeight="1">
      <c r="B105" s="1972" t="s">
        <v>1767</v>
      </c>
      <c r="C105" s="1973"/>
      <c r="D105" s="1973"/>
      <c r="E105" s="1973"/>
      <c r="F105" s="1973"/>
      <c r="G105" s="1973"/>
      <c r="H105" s="1973"/>
      <c r="I105" s="1973"/>
      <c r="J105" s="1973"/>
      <c r="K105" s="1973"/>
      <c r="L105" s="1973"/>
      <c r="M105" s="1973"/>
      <c r="N105" s="1973"/>
      <c r="O105" s="1973"/>
      <c r="P105" s="1973"/>
      <c r="Q105" s="1973"/>
      <c r="R105" s="1973"/>
      <c r="S105" s="1973"/>
      <c r="T105" s="1973"/>
      <c r="U105" s="1973"/>
      <c r="V105" s="1973"/>
      <c r="W105" s="1973"/>
      <c r="X105" s="1973"/>
      <c r="Y105" s="1973"/>
      <c r="Z105" s="1973"/>
      <c r="AA105" s="1973"/>
      <c r="AB105" s="1973"/>
      <c r="AC105" s="1973"/>
      <c r="AD105" s="1973"/>
      <c r="AE105" s="1973"/>
      <c r="AF105" s="1973"/>
      <c r="AG105" s="1973"/>
      <c r="AH105" s="1973"/>
      <c r="AI105" s="1960"/>
      <c r="AJ105" s="1960"/>
    </row>
    <row r="106" spans="2:43" ht="12.6" customHeight="1">
      <c r="B106" s="1484" t="s">
        <v>1121</v>
      </c>
      <c r="C106" s="1974" t="s">
        <v>1122</v>
      </c>
      <c r="D106" s="1974"/>
      <c r="E106" s="1116"/>
      <c r="F106" s="1116"/>
      <c r="G106" s="1116"/>
      <c r="H106" s="1116"/>
      <c r="I106" s="1116"/>
      <c r="J106" s="1116"/>
      <c r="K106" s="1116"/>
      <c r="L106" s="1116"/>
      <c r="M106" s="1116"/>
      <c r="N106" s="1116"/>
      <c r="O106" s="1116"/>
      <c r="P106" s="1116"/>
      <c r="Q106" s="1116"/>
      <c r="R106" s="1116"/>
      <c r="S106" s="1116"/>
      <c r="T106" s="1116"/>
      <c r="U106" s="1116"/>
      <c r="V106" s="1116"/>
      <c r="W106" s="1116"/>
      <c r="X106" s="1116"/>
      <c r="Y106" s="1116"/>
      <c r="Z106" s="1116"/>
      <c r="AA106" s="1116"/>
      <c r="AB106" s="1116"/>
      <c r="AC106" s="1116"/>
      <c r="AD106" s="1116"/>
      <c r="AE106" s="1116"/>
      <c r="AF106" s="1116"/>
      <c r="AG106" s="1441"/>
      <c r="AH106" s="1441"/>
    </row>
    <row r="116" spans="2:35">
      <c r="B116" s="1099"/>
      <c r="X116" s="369"/>
      <c r="Y116" s="369"/>
      <c r="Z116" s="369"/>
      <c r="AA116" s="369"/>
      <c r="AB116" s="369"/>
      <c r="AC116" s="369"/>
      <c r="AD116" s="369"/>
      <c r="AE116" s="369"/>
      <c r="AF116" s="369"/>
      <c r="AG116" s="369"/>
      <c r="AH116" s="369"/>
      <c r="AI116" s="369"/>
    </row>
    <row r="119" spans="2:35">
      <c r="B119" s="1117"/>
      <c r="X119" s="369"/>
      <c r="Y119" s="369"/>
      <c r="Z119" s="369"/>
      <c r="AA119" s="369"/>
      <c r="AB119" s="369"/>
      <c r="AC119" s="369"/>
      <c r="AD119" s="369"/>
      <c r="AE119" s="369"/>
      <c r="AF119" s="369"/>
      <c r="AG119" s="369"/>
      <c r="AH119" s="369"/>
      <c r="AI119" s="369"/>
    </row>
  </sheetData>
  <mergeCells count="4">
    <mergeCell ref="B87:AF87"/>
    <mergeCell ref="B105:AJ105"/>
    <mergeCell ref="C106:D106"/>
    <mergeCell ref="B15:BB15"/>
  </mergeCells>
  <pageMargins left="0.70866141732283472" right="0.70866141732283472" top="0.74803149606299213" bottom="0.74803149606299213" header="0.31496062992125984" footer="0.31496062992125984"/>
  <pageSetup paperSize="9" scale="3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U140"/>
  <sheetViews>
    <sheetView topLeftCell="B15" zoomScale="70" zoomScaleNormal="70" workbookViewId="0">
      <selection activeCell="B15" sqref="A1:XFD1048576"/>
    </sheetView>
  </sheetViews>
  <sheetFormatPr defaultColWidth="3.5546875" defaultRowHeight="12.75" outlineLevelRow="1"/>
  <cols>
    <col min="1" max="1" width="7.5546875" style="369" hidden="1" customWidth="1"/>
    <col min="2" max="2" width="3.5546875" style="369" customWidth="1"/>
    <col min="3" max="3" width="30.33203125" style="369" customWidth="1"/>
    <col min="4" max="15" width="1.77734375" style="369" hidden="1" customWidth="1"/>
    <col min="16" max="18" width="5.33203125" style="369" hidden="1" customWidth="1"/>
    <col min="19" max="19" width="5" style="369" hidden="1" customWidth="1"/>
    <col min="20" max="22" width="6.33203125" style="369" hidden="1" customWidth="1"/>
    <col min="23" max="23" width="7.109375" style="369" hidden="1" customWidth="1"/>
    <col min="24" max="24" width="7.109375" style="1079" customWidth="1"/>
    <col min="25" max="25" width="2.5546875" style="1079" hidden="1" customWidth="1"/>
    <col min="26" max="26" width="7.109375" style="1079" customWidth="1"/>
    <col min="27" max="27" width="2.5546875" style="1079" hidden="1" customWidth="1"/>
    <col min="28" max="28" width="6.6640625" style="1079" bestFit="1" customWidth="1"/>
    <col min="29" max="29" width="3" style="1079" hidden="1" customWidth="1"/>
    <col min="30" max="30" width="7.109375" style="1079" customWidth="1"/>
    <col min="31" max="31" width="2.77734375" style="1079" hidden="1" customWidth="1"/>
    <col min="32" max="36" width="8.77734375" style="1079" customWidth="1"/>
    <col min="37" max="43" width="8.77734375" style="369" customWidth="1"/>
    <col min="44" max="254" width="7.109375" style="369" customWidth="1"/>
    <col min="255" max="255" width="3.5546875" style="369" hidden="1" customWidth="1"/>
    <col min="256" max="16384" width="3.5546875" style="369"/>
  </cols>
  <sheetData>
    <row r="1" spans="1:43" hidden="1" outlineLevel="1">
      <c r="B1" s="369" t="s">
        <v>433</v>
      </c>
    </row>
    <row r="2" spans="1:43" hidden="1" outlineLevel="1"/>
    <row r="3" spans="1:43" hidden="1" outlineLevel="1"/>
    <row r="4" spans="1:43" hidden="1" outlineLevel="1">
      <c r="B4" s="369" t="s">
        <v>434</v>
      </c>
      <c r="P4" s="1081">
        <v>1993</v>
      </c>
      <c r="Q4" s="1081">
        <v>1994</v>
      </c>
      <c r="R4" s="1081">
        <v>1995</v>
      </c>
      <c r="S4" s="1081">
        <v>1996</v>
      </c>
      <c r="T4" s="1081">
        <v>1997</v>
      </c>
      <c r="U4" s="1081">
        <v>1998</v>
      </c>
      <c r="V4" s="1081">
        <v>1999</v>
      </c>
      <c r="W4" s="1081">
        <v>2000</v>
      </c>
      <c r="X4" s="1115">
        <v>2001</v>
      </c>
      <c r="Y4" s="1115"/>
      <c r="Z4" s="1115">
        <v>2003</v>
      </c>
      <c r="AA4" s="1115"/>
      <c r="AB4" s="1115">
        <v>2005</v>
      </c>
      <c r="AC4" s="1115"/>
      <c r="AD4" s="1115">
        <v>2007</v>
      </c>
      <c r="AE4" s="1115"/>
      <c r="AF4" s="1115">
        <v>2009</v>
      </c>
      <c r="AG4" s="1115">
        <v>2010</v>
      </c>
      <c r="AH4" s="1115">
        <v>2011</v>
      </c>
      <c r="AI4" s="1115">
        <v>2012</v>
      </c>
      <c r="AJ4" s="1115">
        <v>2013</v>
      </c>
      <c r="AK4" s="1115">
        <v>2014</v>
      </c>
      <c r="AL4" s="1115">
        <v>2015</v>
      </c>
      <c r="AM4" s="1115">
        <v>2016</v>
      </c>
      <c r="AN4" s="1115">
        <v>2017</v>
      </c>
      <c r="AO4" s="1115">
        <v>2018</v>
      </c>
      <c r="AP4" s="1115">
        <v>2019</v>
      </c>
      <c r="AQ4" s="1115">
        <v>2020</v>
      </c>
    </row>
    <row r="5" spans="1:43" hidden="1" outlineLevel="1"/>
    <row r="6" spans="1:43" hidden="1" outlineLevel="1">
      <c r="A6" s="369" t="s">
        <v>2</v>
      </c>
      <c r="B6" s="369" t="s">
        <v>3</v>
      </c>
      <c r="P6" s="1084">
        <f t="shared" ref="P6:U6" si="0">P94</f>
        <v>0</v>
      </c>
      <c r="Q6" s="1084">
        <f t="shared" si="0"/>
        <v>0</v>
      </c>
      <c r="R6" s="1084">
        <f t="shared" si="0"/>
        <v>0</v>
      </c>
      <c r="S6" s="1084">
        <f t="shared" si="0"/>
        <v>0</v>
      </c>
      <c r="T6" s="1084">
        <f t="shared" si="0"/>
        <v>0</v>
      </c>
      <c r="U6" s="1084">
        <f t="shared" si="0"/>
        <v>0</v>
      </c>
      <c r="V6" s="1084">
        <f>V94</f>
        <v>0</v>
      </c>
      <c r="W6" s="1084"/>
      <c r="X6" s="1085">
        <f>X94</f>
        <v>0</v>
      </c>
      <c r="Y6" s="1085"/>
      <c r="Z6" s="1085">
        <f>Z94</f>
        <v>0</v>
      </c>
      <c r="AA6" s="1085"/>
      <c r="AB6" s="1085">
        <f>AB94</f>
        <v>0</v>
      </c>
      <c r="AC6" s="1085"/>
      <c r="AD6" s="1085">
        <f>AD94</f>
        <v>0</v>
      </c>
      <c r="AE6" s="1085"/>
      <c r="AF6" s="1085">
        <f t="shared" ref="AF6:AN6" si="1">AF94</f>
        <v>0</v>
      </c>
      <c r="AG6" s="1085">
        <f t="shared" si="1"/>
        <v>509054.10000000003</v>
      </c>
      <c r="AH6" s="1085">
        <f t="shared" si="1"/>
        <v>522319.60000000003</v>
      </c>
      <c r="AI6" s="1085">
        <f t="shared" si="1"/>
        <v>192003.3</v>
      </c>
      <c r="AJ6" s="1085">
        <f t="shared" si="1"/>
        <v>194577.1</v>
      </c>
      <c r="AK6" s="1085">
        <f t="shared" si="1"/>
        <v>237160.9</v>
      </c>
      <c r="AL6" s="1085">
        <f t="shared" si="1"/>
        <v>246204.9878</v>
      </c>
      <c r="AM6" s="1085">
        <f t="shared" si="1"/>
        <v>274054.5</v>
      </c>
      <c r="AN6" s="1085">
        <f t="shared" si="1"/>
        <v>301200.40000000002</v>
      </c>
      <c r="AO6" s="1085">
        <f>AO94</f>
        <v>330422.2</v>
      </c>
      <c r="AP6" s="1085">
        <f t="shared" ref="AP6:AQ6" si="2">AP94</f>
        <v>399201.4</v>
      </c>
      <c r="AQ6" s="1085">
        <f t="shared" si="2"/>
        <v>490895.63099999999</v>
      </c>
    </row>
    <row r="7" spans="1:43" hidden="1" outlineLevel="1">
      <c r="A7" s="369" t="s">
        <v>4</v>
      </c>
      <c r="B7" s="369" t="s">
        <v>5</v>
      </c>
      <c r="P7" s="1084">
        <f t="shared" ref="P7:U7" si="3">P105</f>
        <v>0</v>
      </c>
      <c r="Q7" s="1084">
        <f t="shared" si="3"/>
        <v>0</v>
      </c>
      <c r="R7" s="1084">
        <f t="shared" si="3"/>
        <v>0</v>
      </c>
      <c r="S7" s="1084">
        <f t="shared" si="3"/>
        <v>0</v>
      </c>
      <c r="T7" s="1084">
        <f t="shared" si="3"/>
        <v>0</v>
      </c>
      <c r="U7" s="1084">
        <f t="shared" si="3"/>
        <v>0</v>
      </c>
      <c r="V7" s="1084">
        <f>V105</f>
        <v>0</v>
      </c>
      <c r="W7" s="1084"/>
      <c r="X7" s="1085">
        <f>X105</f>
        <v>0</v>
      </c>
      <c r="Y7" s="1085"/>
      <c r="Z7" s="1085">
        <f>Z105</f>
        <v>0</v>
      </c>
      <c r="AA7" s="1085"/>
      <c r="AB7" s="1085">
        <f>AB105</f>
        <v>0</v>
      </c>
      <c r="AC7" s="1085"/>
      <c r="AD7" s="1085">
        <f>AD105</f>
        <v>0</v>
      </c>
      <c r="AE7" s="1085"/>
      <c r="AF7" s="1085">
        <f>AF105</f>
        <v>0</v>
      </c>
      <c r="AG7" s="1085">
        <f t="shared" ref="AG7:AN7" si="4">AG111</f>
        <v>16218.3</v>
      </c>
      <c r="AH7" s="1085">
        <f t="shared" si="4"/>
        <v>19696.7</v>
      </c>
      <c r="AI7" s="1085">
        <f t="shared" si="4"/>
        <v>150939.5</v>
      </c>
      <c r="AJ7" s="1085">
        <f t="shared" si="4"/>
        <v>168668.79999999999</v>
      </c>
      <c r="AK7" s="1085">
        <f t="shared" si="4"/>
        <v>142947.642391</v>
      </c>
      <c r="AL7" s="1085">
        <f t="shared" si="4"/>
        <v>140576.20000000001</v>
      </c>
      <c r="AM7" s="1085">
        <f t="shared" si="4"/>
        <v>147575.6</v>
      </c>
      <c r="AN7" s="1085">
        <f t="shared" si="4"/>
        <v>117283.7</v>
      </c>
      <c r="AO7" s="1085">
        <f>AO111</f>
        <v>107032.2</v>
      </c>
      <c r="AP7" s="1085">
        <f t="shared" ref="AP7:AQ7" si="5">AP111</f>
        <v>178159.5</v>
      </c>
      <c r="AQ7" s="1085">
        <f t="shared" si="5"/>
        <v>232870.7</v>
      </c>
    </row>
    <row r="8" spans="1:43" hidden="1" outlineLevel="1">
      <c r="A8" s="311" t="s">
        <v>6</v>
      </c>
      <c r="P8" s="1084">
        <f t="shared" ref="P8:U8" si="6">P7+P6</f>
        <v>0</v>
      </c>
      <c r="Q8" s="1084">
        <f t="shared" si="6"/>
        <v>0</v>
      </c>
      <c r="R8" s="1084">
        <f t="shared" si="6"/>
        <v>0</v>
      </c>
      <c r="S8" s="1084">
        <f t="shared" si="6"/>
        <v>0</v>
      </c>
      <c r="T8" s="1084">
        <f t="shared" si="6"/>
        <v>0</v>
      </c>
      <c r="U8" s="1084">
        <f t="shared" si="6"/>
        <v>0</v>
      </c>
      <c r="V8" s="1084">
        <f>V7+V6</f>
        <v>0</v>
      </c>
      <c r="W8" s="1084"/>
      <c r="X8" s="1085">
        <f>X7+X6</f>
        <v>0</v>
      </c>
      <c r="Y8" s="1085"/>
      <c r="Z8" s="1085">
        <f>Z7+Z6</f>
        <v>0</v>
      </c>
      <c r="AA8" s="1085"/>
      <c r="AB8" s="1085">
        <f>AB7+AB6</f>
        <v>0</v>
      </c>
      <c r="AC8" s="1085"/>
      <c r="AD8" s="1085">
        <f>AD7+AD6</f>
        <v>0</v>
      </c>
      <c r="AE8" s="1085"/>
      <c r="AF8" s="1085">
        <f t="shared" ref="AF8:AN8" si="7">AF7+AF6</f>
        <v>0</v>
      </c>
      <c r="AG8" s="1085">
        <f t="shared" si="7"/>
        <v>525272.4</v>
      </c>
      <c r="AH8" s="1085">
        <f t="shared" si="7"/>
        <v>542016.30000000005</v>
      </c>
      <c r="AI8" s="1085">
        <f t="shared" si="7"/>
        <v>342942.8</v>
      </c>
      <c r="AJ8" s="1085">
        <f t="shared" si="7"/>
        <v>363245.9</v>
      </c>
      <c r="AK8" s="1085">
        <f t="shared" si="7"/>
        <v>380108.54239099997</v>
      </c>
      <c r="AL8" s="1085">
        <f t="shared" si="7"/>
        <v>386781.18780000001</v>
      </c>
      <c r="AM8" s="1085">
        <f t="shared" si="7"/>
        <v>421630.1</v>
      </c>
      <c r="AN8" s="1085">
        <f t="shared" si="7"/>
        <v>418484.10000000003</v>
      </c>
      <c r="AO8" s="1085">
        <f>AO7+AO6</f>
        <v>437454.4</v>
      </c>
      <c r="AP8" s="1085">
        <f t="shared" ref="AP8:AQ8" si="8">AP7+AP6</f>
        <v>577360.9</v>
      </c>
      <c r="AQ8" s="1085">
        <f t="shared" si="8"/>
        <v>723766.33100000001</v>
      </c>
    </row>
    <row r="9" spans="1:43" hidden="1" outlineLevel="1">
      <c r="P9" s="1084"/>
      <c r="Q9" s="1084"/>
      <c r="R9" s="1084"/>
      <c r="S9" s="1084"/>
      <c r="T9" s="1084"/>
      <c r="U9" s="1084"/>
      <c r="V9" s="1084"/>
      <c r="W9" s="1084"/>
      <c r="X9" s="1085"/>
      <c r="Y9" s="1085"/>
      <c r="Z9" s="1085"/>
      <c r="AA9" s="1085"/>
      <c r="AB9" s="1085"/>
      <c r="AC9" s="1085"/>
      <c r="AD9" s="1085"/>
      <c r="AE9" s="1085"/>
      <c r="AF9" s="1085"/>
      <c r="AG9" s="1085"/>
      <c r="AH9" s="1085"/>
      <c r="AI9" s="1085"/>
      <c r="AJ9" s="1085"/>
      <c r="AK9" s="1085"/>
      <c r="AL9" s="1085"/>
      <c r="AM9" s="1085"/>
      <c r="AN9" s="1085"/>
      <c r="AO9" s="1085"/>
      <c r="AP9" s="1085"/>
      <c r="AQ9" s="1085"/>
    </row>
    <row r="10" spans="1:43" hidden="1" outlineLevel="1">
      <c r="B10" s="1099" t="s">
        <v>110</v>
      </c>
      <c r="P10" s="1084">
        <f t="shared" ref="P10:U10" si="9">P122</f>
        <v>0</v>
      </c>
      <c r="Q10" s="1084">
        <f t="shared" si="9"/>
        <v>0</v>
      </c>
      <c r="R10" s="1084">
        <f t="shared" si="9"/>
        <v>0</v>
      </c>
      <c r="S10" s="1084">
        <f t="shared" si="9"/>
        <v>0</v>
      </c>
      <c r="T10" s="1084">
        <f t="shared" si="9"/>
        <v>0</v>
      </c>
      <c r="U10" s="1084">
        <f t="shared" si="9"/>
        <v>0</v>
      </c>
      <c r="V10" s="1084">
        <f>V122</f>
        <v>0</v>
      </c>
      <c r="W10" s="1084"/>
      <c r="X10" s="1085">
        <f t="shared" ref="X10:AN10" si="10">X124</f>
        <v>0</v>
      </c>
      <c r="Y10" s="1085">
        <f t="shared" si="10"/>
        <v>0</v>
      </c>
      <c r="Z10" s="1085">
        <f t="shared" si="10"/>
        <v>0</v>
      </c>
      <c r="AA10" s="1085">
        <f t="shared" si="10"/>
        <v>0</v>
      </c>
      <c r="AB10" s="1085">
        <f t="shared" si="10"/>
        <v>0</v>
      </c>
      <c r="AC10" s="1085">
        <f t="shared" si="10"/>
        <v>0</v>
      </c>
      <c r="AD10" s="1085">
        <f t="shared" si="10"/>
        <v>0</v>
      </c>
      <c r="AE10" s="1085">
        <f t="shared" si="10"/>
        <v>0</v>
      </c>
      <c r="AF10" s="1085">
        <f t="shared" si="10"/>
        <v>0</v>
      </c>
      <c r="AG10" s="1085">
        <f t="shared" si="10"/>
        <v>9985.1</v>
      </c>
      <c r="AH10" s="1085">
        <f t="shared" si="10"/>
        <v>7544.8</v>
      </c>
      <c r="AI10" s="1085">
        <f t="shared" si="10"/>
        <v>7476</v>
      </c>
      <c r="AJ10" s="1085">
        <f t="shared" si="10"/>
        <v>7752</v>
      </c>
      <c r="AK10" s="1085">
        <f t="shared" si="10"/>
        <v>11154</v>
      </c>
      <c r="AL10" s="1085">
        <f t="shared" si="10"/>
        <v>14748</v>
      </c>
      <c r="AM10" s="1085">
        <f t="shared" si="10"/>
        <v>18524</v>
      </c>
      <c r="AN10" s="1085">
        <f t="shared" si="10"/>
        <v>23050</v>
      </c>
      <c r="AO10" s="1085">
        <f>AO124</f>
        <v>26090</v>
      </c>
      <c r="AP10" s="1085">
        <f t="shared" ref="AP10:AQ10" si="11">AP124</f>
        <v>35067</v>
      </c>
      <c r="AQ10" s="1085">
        <f t="shared" si="11"/>
        <v>37664.800000000003</v>
      </c>
    </row>
    <row r="11" spans="1:43" hidden="1" outlineLevel="1">
      <c r="B11" s="1099"/>
      <c r="R11" s="1084"/>
      <c r="S11" s="1084"/>
      <c r="T11" s="1084"/>
      <c r="U11" s="1084"/>
      <c r="V11" s="1084"/>
      <c r="W11" s="1084"/>
      <c r="X11" s="1085"/>
      <c r="Y11" s="1085"/>
      <c r="Z11" s="1085"/>
      <c r="AA11" s="1085"/>
      <c r="AB11" s="1085"/>
      <c r="AC11" s="1085"/>
      <c r="AD11" s="1085"/>
      <c r="AE11" s="1085"/>
      <c r="AF11" s="1085"/>
      <c r="AG11" s="1085"/>
      <c r="AH11" s="1085"/>
      <c r="AI11" s="1085"/>
      <c r="AJ11" s="1085"/>
      <c r="AK11" s="1085"/>
      <c r="AL11" s="1085"/>
      <c r="AM11" s="1085"/>
      <c r="AN11" s="1085"/>
      <c r="AO11" s="1085"/>
      <c r="AP11" s="1085"/>
      <c r="AQ11" s="1085"/>
    </row>
    <row r="12" spans="1:43" hidden="1" outlineLevel="1">
      <c r="B12" s="1099" t="s">
        <v>8</v>
      </c>
      <c r="R12" s="1084"/>
      <c r="S12" s="1084"/>
      <c r="T12" s="1084"/>
      <c r="U12" s="1084"/>
      <c r="V12" s="1084"/>
      <c r="W12" s="1084"/>
      <c r="X12" s="1085">
        <f>X99</f>
        <v>0</v>
      </c>
      <c r="Y12" s="1085"/>
      <c r="Z12" s="1085">
        <f>Z99</f>
        <v>0</v>
      </c>
      <c r="AA12" s="1085"/>
      <c r="AB12" s="1085">
        <f>AB99</f>
        <v>0</v>
      </c>
      <c r="AC12" s="1085"/>
      <c r="AD12" s="1085">
        <f>AD99</f>
        <v>0</v>
      </c>
      <c r="AE12" s="1085"/>
      <c r="AF12" s="1085">
        <f>AF99</f>
        <v>0</v>
      </c>
      <c r="AG12" s="1085">
        <f>SUM(AG99:AG101)</f>
        <v>12563.7</v>
      </c>
      <c r="AH12" s="1085">
        <f t="shared" ref="AH12:AQ12" si="12">SUM(AH99:AH101)</f>
        <v>180190</v>
      </c>
      <c r="AI12" s="1085">
        <f t="shared" si="12"/>
        <v>184171.4</v>
      </c>
      <c r="AJ12" s="1085">
        <f t="shared" si="12"/>
        <v>185313</v>
      </c>
      <c r="AK12" s="1085">
        <f t="shared" si="12"/>
        <v>226248.1</v>
      </c>
      <c r="AL12" s="1085">
        <f t="shared" si="12"/>
        <v>234222.4</v>
      </c>
      <c r="AM12" s="1085">
        <f t="shared" si="12"/>
        <v>261967.6</v>
      </c>
      <c r="AN12" s="1085">
        <f t="shared" si="12"/>
        <v>285492</v>
      </c>
      <c r="AO12" s="1085">
        <f t="shared" si="12"/>
        <v>310127.5</v>
      </c>
      <c r="AP12" s="1085">
        <f t="shared" si="12"/>
        <v>331982.10000000003</v>
      </c>
      <c r="AQ12" s="1085">
        <f t="shared" si="12"/>
        <v>353508.6</v>
      </c>
    </row>
    <row r="13" spans="1:43" hidden="1" outlineLevel="1">
      <c r="C13" s="369" t="s">
        <v>256</v>
      </c>
      <c r="R13" s="1084"/>
      <c r="S13" s="1084"/>
      <c r="T13" s="1084"/>
      <c r="U13" s="1084"/>
      <c r="V13" s="1084"/>
      <c r="W13" s="1084"/>
      <c r="X13" s="1090"/>
      <c r="Y13" s="1090"/>
      <c r="Z13" s="1090"/>
      <c r="AA13" s="1090"/>
      <c r="AB13" s="1090"/>
      <c r="AC13" s="1090"/>
      <c r="AD13" s="1090"/>
      <c r="AE13" s="1090"/>
      <c r="AF13" s="1090"/>
      <c r="AG13" s="1090"/>
      <c r="AH13" s="1090"/>
    </row>
    <row r="14" spans="1:43" hidden="1" outlineLevel="1">
      <c r="C14" s="369" t="s">
        <v>257</v>
      </c>
      <c r="R14" s="1084"/>
      <c r="S14" s="1084"/>
      <c r="T14" s="1084"/>
      <c r="U14" s="1084"/>
      <c r="V14" s="1084"/>
      <c r="W14" s="1084"/>
      <c r="X14" s="1090"/>
      <c r="Y14" s="1090"/>
      <c r="Z14" s="1090"/>
      <c r="AA14" s="1090"/>
      <c r="AB14" s="1090"/>
      <c r="AC14" s="1090"/>
      <c r="AD14" s="1090"/>
      <c r="AE14" s="1090"/>
      <c r="AF14" s="1090"/>
      <c r="AG14" s="1090"/>
    </row>
    <row r="15" spans="1:43" ht="27" customHeight="1" collapsed="1">
      <c r="B15" s="1975" t="s">
        <v>431</v>
      </c>
      <c r="C15" s="1975"/>
      <c r="D15" s="1975"/>
      <c r="E15" s="1975"/>
      <c r="F15" s="1975"/>
      <c r="G15" s="1975"/>
      <c r="H15" s="1975"/>
      <c r="I15" s="1975"/>
      <c r="J15" s="1975"/>
      <c r="K15" s="1975"/>
      <c r="L15" s="1975"/>
      <c r="M15" s="1975"/>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row>
    <row r="16" spans="1:43">
      <c r="B16" s="1099"/>
      <c r="C16" s="1099"/>
      <c r="D16" s="1099"/>
      <c r="E16" s="1099"/>
      <c r="F16" s="1099"/>
      <c r="G16" s="1099"/>
      <c r="H16" s="1099"/>
      <c r="I16" s="1099"/>
      <c r="J16" s="1099"/>
      <c r="K16" s="1099"/>
      <c r="L16" s="1099"/>
      <c r="M16" s="1099"/>
      <c r="N16" s="1099"/>
      <c r="O16" s="1442"/>
      <c r="P16" s="1442"/>
      <c r="Q16" s="1442"/>
      <c r="R16" s="1442"/>
      <c r="S16" s="1442"/>
      <c r="T16" s="1442"/>
      <c r="U16" s="1442"/>
      <c r="V16" s="1442"/>
      <c r="W16" s="1442"/>
      <c r="X16" s="952"/>
      <c r="Y16" s="947"/>
      <c r="Z16" s="947"/>
      <c r="AA16" s="947"/>
      <c r="AB16" s="947"/>
      <c r="AC16" s="947"/>
      <c r="AD16" s="947"/>
      <c r="AE16" s="947"/>
      <c r="AF16" s="947"/>
      <c r="AG16" s="1090"/>
    </row>
    <row r="17" spans="2:43">
      <c r="B17" s="1102" t="s">
        <v>433</v>
      </c>
      <c r="C17" s="1443"/>
      <c r="D17" s="1443"/>
      <c r="E17" s="1443"/>
      <c r="F17" s="1443"/>
      <c r="G17" s="1443"/>
      <c r="H17" s="1443"/>
      <c r="I17" s="1443"/>
      <c r="J17" s="1443"/>
      <c r="K17" s="1443"/>
      <c r="L17" s="1443"/>
      <c r="M17" s="1443"/>
      <c r="N17" s="1443"/>
      <c r="O17" s="1443"/>
      <c r="P17" s="1443"/>
      <c r="Q17" s="1443"/>
      <c r="R17" s="1443"/>
      <c r="S17" s="1443"/>
      <c r="T17" s="1443"/>
      <c r="U17" s="1443"/>
      <c r="V17" s="1443"/>
      <c r="W17" s="1443"/>
      <c r="X17" s="1443"/>
      <c r="Y17" s="1443"/>
      <c r="Z17" s="1443"/>
      <c r="AA17" s="1443"/>
      <c r="AB17" s="1443"/>
      <c r="AC17" s="1443"/>
      <c r="AD17" s="1443"/>
      <c r="AE17" s="1443"/>
      <c r="AF17" s="1443"/>
      <c r="AG17" s="1090"/>
    </row>
    <row r="18" spans="2:43">
      <c r="B18" s="1099"/>
      <c r="C18" s="1099"/>
      <c r="D18" s="1099"/>
      <c r="E18" s="1099"/>
      <c r="F18" s="1099"/>
      <c r="G18" s="1099"/>
      <c r="H18" s="1099"/>
      <c r="I18" s="1099"/>
      <c r="J18" s="1099"/>
      <c r="K18" s="1099"/>
      <c r="L18" s="1099"/>
      <c r="M18" s="1099"/>
      <c r="N18" s="1099"/>
      <c r="O18" s="1442"/>
      <c r="P18" s="1442"/>
      <c r="Q18" s="1442"/>
      <c r="R18" s="1442"/>
      <c r="S18" s="1442"/>
      <c r="T18" s="1442"/>
      <c r="U18" s="1442"/>
      <c r="V18" s="1442"/>
      <c r="W18" s="1442"/>
      <c r="X18" s="952"/>
      <c r="Y18" s="947"/>
      <c r="Z18" s="947"/>
      <c r="AA18" s="947"/>
      <c r="AB18" s="947"/>
      <c r="AC18" s="947"/>
      <c r="AD18" s="947"/>
      <c r="AE18" s="947"/>
      <c r="AF18" s="947"/>
      <c r="AG18" s="1090"/>
    </row>
    <row r="19" spans="2:43">
      <c r="B19" s="1444" t="s">
        <v>435</v>
      </c>
      <c r="C19" s="1443"/>
      <c r="D19" s="1443"/>
      <c r="E19" s="1443"/>
      <c r="F19" s="1443"/>
      <c r="G19" s="1443"/>
      <c r="H19" s="1443"/>
      <c r="I19" s="1443"/>
      <c r="J19" s="1443"/>
      <c r="K19" s="1443"/>
      <c r="L19" s="1443"/>
      <c r="M19" s="1443"/>
      <c r="N19" s="1443"/>
      <c r="O19" s="1443"/>
      <c r="P19" s="1443"/>
      <c r="Q19" s="1443"/>
      <c r="R19" s="1443"/>
      <c r="S19" s="1443"/>
      <c r="T19" s="1443"/>
      <c r="U19" s="1443"/>
      <c r="V19" s="1443"/>
      <c r="W19" s="1443"/>
      <c r="X19" s="1443"/>
      <c r="Y19" s="1443"/>
      <c r="Z19" s="1443"/>
      <c r="AA19" s="1443"/>
      <c r="AB19" s="1443"/>
      <c r="AC19" s="1443"/>
      <c r="AD19" s="1443"/>
      <c r="AE19" s="1443"/>
      <c r="AF19" s="1443"/>
      <c r="AG19" s="1090"/>
    </row>
    <row r="20" spans="2:43">
      <c r="B20" s="1445"/>
      <c r="C20" s="1445"/>
      <c r="D20" s="1445"/>
      <c r="E20" s="1445"/>
      <c r="F20" s="1445"/>
      <c r="G20" s="1445"/>
      <c r="H20" s="1445"/>
      <c r="I20" s="1445"/>
      <c r="J20" s="1445"/>
      <c r="K20" s="1445"/>
      <c r="L20" s="1445"/>
      <c r="M20" s="1445"/>
      <c r="N20" s="1445"/>
      <c r="O20" s="1446"/>
      <c r="P20" s="1446"/>
      <c r="Q20" s="1446"/>
      <c r="R20" s="1446"/>
      <c r="S20" s="1446"/>
      <c r="T20" s="1446"/>
      <c r="U20" s="1446"/>
      <c r="V20" s="1446"/>
      <c r="W20" s="1446"/>
      <c r="X20" s="961"/>
      <c r="Y20" s="961"/>
      <c r="Z20" s="961"/>
      <c r="AA20" s="961"/>
      <c r="AB20" s="961"/>
      <c r="AC20" s="961"/>
      <c r="AD20" s="961"/>
      <c r="AE20" s="961"/>
      <c r="AF20" s="961"/>
      <c r="AG20" s="1090"/>
    </row>
    <row r="21" spans="2:43">
      <c r="B21" s="1099"/>
      <c r="C21" s="1099"/>
      <c r="D21" s="1099"/>
      <c r="E21" s="1099"/>
      <c r="F21" s="1099"/>
      <c r="G21" s="1099"/>
      <c r="H21" s="1099"/>
      <c r="I21" s="1099"/>
      <c r="J21" s="1099"/>
      <c r="K21" s="1099"/>
      <c r="L21" s="1099"/>
      <c r="M21" s="1099"/>
      <c r="N21" s="1099"/>
      <c r="O21" s="1442"/>
      <c r="P21" s="1442"/>
      <c r="Q21" s="1442"/>
      <c r="R21" s="1442"/>
      <c r="S21" s="1442"/>
      <c r="T21" s="1442"/>
      <c r="U21" s="1442"/>
      <c r="V21" s="1442"/>
      <c r="W21" s="1442"/>
      <c r="X21" s="1447">
        <v>2001</v>
      </c>
      <c r="Y21" s="1448"/>
      <c r="Z21" s="1449">
        <v>2003</v>
      </c>
      <c r="AA21" s="1448"/>
      <c r="AB21" s="1449">
        <v>2005</v>
      </c>
      <c r="AC21" s="1448"/>
      <c r="AD21" s="1449">
        <v>2007</v>
      </c>
      <c r="AE21" s="1448"/>
      <c r="AF21" s="1449">
        <v>2009</v>
      </c>
      <c r="AG21" s="1449">
        <v>2010</v>
      </c>
      <c r="AH21" s="1449">
        <v>2011</v>
      </c>
      <c r="AI21" s="1449">
        <v>2012</v>
      </c>
      <c r="AJ21" s="1449">
        <v>2013</v>
      </c>
      <c r="AK21" s="1449">
        <v>2014</v>
      </c>
      <c r="AL21" s="1449">
        <v>2015</v>
      </c>
      <c r="AM21" s="1449">
        <v>2016</v>
      </c>
      <c r="AN21" s="1449">
        <v>2017</v>
      </c>
      <c r="AO21" s="1449">
        <v>2018</v>
      </c>
      <c r="AP21" s="1449">
        <v>2019</v>
      </c>
      <c r="AQ21" s="1449">
        <v>2020</v>
      </c>
    </row>
    <row r="22" spans="2:43">
      <c r="B22" s="1451"/>
      <c r="C22" s="1452"/>
      <c r="D22" s="1099"/>
      <c r="E22" s="1099"/>
      <c r="F22" s="1099"/>
      <c r="G22" s="1099"/>
      <c r="H22" s="1099"/>
      <c r="I22" s="1099"/>
      <c r="J22" s="1099"/>
      <c r="K22" s="1099"/>
      <c r="L22" s="1099"/>
      <c r="M22" s="1099"/>
      <c r="N22" s="1099"/>
      <c r="O22" s="1442"/>
      <c r="P22" s="1442"/>
      <c r="Q22" s="1442"/>
      <c r="R22" s="1442"/>
      <c r="S22" s="1442"/>
      <c r="T22" s="1442"/>
      <c r="U22" s="1442"/>
      <c r="V22" s="1442"/>
      <c r="W22" s="1442"/>
      <c r="X22" s="952"/>
      <c r="Y22" s="952"/>
      <c r="Z22" s="952"/>
      <c r="AA22" s="952"/>
      <c r="AB22" s="952"/>
      <c r="AC22" s="952"/>
      <c r="AD22" s="952"/>
      <c r="AE22" s="952"/>
      <c r="AF22" s="952"/>
      <c r="AG22" s="1090"/>
      <c r="AK22" s="1488"/>
      <c r="AL22" s="1488"/>
    </row>
    <row r="23" spans="2:43">
      <c r="B23" s="1453" t="s">
        <v>436</v>
      </c>
      <c r="C23" s="880"/>
      <c r="D23" s="1099"/>
      <c r="E23" s="1099"/>
      <c r="F23" s="1099"/>
      <c r="G23" s="1099"/>
      <c r="H23" s="1099"/>
      <c r="I23" s="1099"/>
      <c r="J23" s="1099"/>
      <c r="K23" s="1099"/>
      <c r="L23" s="1099"/>
      <c r="M23" s="1099"/>
      <c r="N23" s="1099"/>
      <c r="O23" s="1442"/>
      <c r="P23" s="1442"/>
      <c r="Q23" s="1442"/>
      <c r="R23" s="1442"/>
      <c r="S23" s="1442"/>
      <c r="T23" s="1442"/>
      <c r="U23" s="1442"/>
      <c r="V23" s="1442"/>
      <c r="W23" s="1442"/>
      <c r="X23" s="1454">
        <f>SUM(X25:X27)</f>
        <v>0</v>
      </c>
      <c r="Y23" s="952"/>
      <c r="Z23" s="1454">
        <f>SUM(Z25:Z27)</f>
        <v>0</v>
      </c>
      <c r="AA23" s="952"/>
      <c r="AB23" s="1454">
        <f>SUM(AB25:AB27)</f>
        <v>0</v>
      </c>
      <c r="AC23" s="952"/>
      <c r="AD23" s="1454">
        <f>SUM(AD25:AD27)</f>
        <v>0</v>
      </c>
      <c r="AE23" s="952"/>
      <c r="AF23" s="1454">
        <f>SUM(AF25:AF27)</f>
        <v>0</v>
      </c>
      <c r="AG23" s="1454">
        <f>SUM(AG25:AG30)</f>
        <v>104324.49999999999</v>
      </c>
      <c r="AH23" s="1454">
        <f>SUM(AH25:AH30)</f>
        <v>92100.200000000012</v>
      </c>
      <c r="AI23" s="1454">
        <f t="shared" ref="AI23:AQ23" si="13">SUM(AI25:AI30)</f>
        <v>65166.299999999996</v>
      </c>
      <c r="AJ23" s="1454">
        <f t="shared" si="13"/>
        <v>63129.407999999996</v>
      </c>
      <c r="AK23" s="1454">
        <f t="shared" si="13"/>
        <v>66594.063999999998</v>
      </c>
      <c r="AL23" s="1454">
        <f t="shared" si="13"/>
        <v>70948.7</v>
      </c>
      <c r="AM23" s="1454">
        <f t="shared" si="13"/>
        <v>78391.448000000004</v>
      </c>
      <c r="AN23" s="1454">
        <f t="shared" si="13"/>
        <v>85036.459999999992</v>
      </c>
      <c r="AO23" s="1454">
        <f t="shared" si="13"/>
        <v>96654.18</v>
      </c>
      <c r="AP23" s="1454">
        <f t="shared" si="13"/>
        <v>107328.49999999999</v>
      </c>
      <c r="AQ23" s="1454">
        <f t="shared" si="13"/>
        <v>128722.6</v>
      </c>
    </row>
    <row r="24" spans="2:43">
      <c r="B24" s="304"/>
      <c r="C24" s="880"/>
      <c r="D24" s="1099"/>
      <c r="E24" s="1099"/>
      <c r="F24" s="1099"/>
      <c r="G24" s="1099"/>
      <c r="H24" s="1099"/>
      <c r="I24" s="1099"/>
      <c r="J24" s="1099"/>
      <c r="K24" s="1099"/>
      <c r="L24" s="1099"/>
      <c r="M24" s="1099"/>
      <c r="N24" s="1099"/>
      <c r="O24" s="1442"/>
      <c r="P24" s="1442"/>
      <c r="Q24" s="1442"/>
      <c r="R24" s="1442"/>
      <c r="S24" s="1442"/>
      <c r="T24" s="1442"/>
      <c r="U24" s="1442"/>
      <c r="V24" s="1442"/>
      <c r="W24" s="1442"/>
      <c r="X24" s="952"/>
      <c r="Y24" s="952"/>
      <c r="Z24" s="952"/>
      <c r="AA24" s="952"/>
      <c r="AB24" s="952"/>
      <c r="AC24" s="952"/>
      <c r="AD24" s="952"/>
      <c r="AE24" s="952"/>
      <c r="AF24" s="952"/>
      <c r="AG24" s="1085"/>
      <c r="AH24" s="1085"/>
      <c r="AI24" s="1085"/>
      <c r="AJ24" s="1085"/>
      <c r="AK24" s="1488"/>
      <c r="AL24" s="1488"/>
    </row>
    <row r="25" spans="2:43">
      <c r="B25" s="880"/>
      <c r="C25" s="880" t="s">
        <v>437</v>
      </c>
      <c r="D25" s="1099"/>
      <c r="E25" s="1099"/>
      <c r="F25" s="1099"/>
      <c r="G25" s="1099"/>
      <c r="H25" s="1099"/>
      <c r="I25" s="1099"/>
      <c r="J25" s="1099"/>
      <c r="K25" s="1099"/>
      <c r="L25" s="1099"/>
      <c r="M25" s="1099"/>
      <c r="N25" s="1099"/>
      <c r="O25" s="1442"/>
      <c r="P25" s="1442"/>
      <c r="Q25" s="1442"/>
      <c r="R25" s="1442"/>
      <c r="S25" s="1442"/>
      <c r="T25" s="1442"/>
      <c r="U25" s="1442"/>
      <c r="V25" s="1442"/>
      <c r="W25" s="1442"/>
      <c r="X25" s="1461"/>
      <c r="Y25" s="952"/>
      <c r="Z25" s="1461"/>
      <c r="AA25" s="952"/>
      <c r="AB25" s="1461"/>
      <c r="AC25" s="952"/>
      <c r="AD25" s="1461"/>
      <c r="AE25" s="952"/>
      <c r="AF25" s="1461"/>
      <c r="AG25" s="1489">
        <v>0</v>
      </c>
      <c r="AH25" s="1489">
        <v>0</v>
      </c>
      <c r="AI25" s="1085">
        <v>0</v>
      </c>
      <c r="AJ25" s="1085">
        <v>0</v>
      </c>
      <c r="AK25" s="1085">
        <v>0</v>
      </c>
      <c r="AL25" s="1085">
        <v>0</v>
      </c>
      <c r="AM25" s="1085">
        <v>0</v>
      </c>
      <c r="AN25" s="1085">
        <v>0</v>
      </c>
      <c r="AO25" s="1085">
        <v>0</v>
      </c>
      <c r="AP25" s="1085">
        <v>0</v>
      </c>
      <c r="AQ25" s="1085">
        <v>0</v>
      </c>
    </row>
    <row r="26" spans="2:43">
      <c r="B26" s="880"/>
      <c r="C26" s="880" t="s">
        <v>438</v>
      </c>
      <c r="D26" s="1099"/>
      <c r="E26" s="1099"/>
      <c r="F26" s="1099"/>
      <c r="G26" s="1099"/>
      <c r="H26" s="1099"/>
      <c r="I26" s="1099"/>
      <c r="J26" s="1099"/>
      <c r="K26" s="1099"/>
      <c r="L26" s="1099"/>
      <c r="M26" s="1099"/>
      <c r="N26" s="1099"/>
      <c r="O26" s="1442"/>
      <c r="P26" s="1442"/>
      <c r="Q26" s="1442"/>
      <c r="R26" s="1442"/>
      <c r="S26" s="1442"/>
      <c r="T26" s="1442"/>
      <c r="U26" s="1442"/>
      <c r="V26" s="1442"/>
      <c r="W26" s="1442"/>
      <c r="X26" s="1461"/>
      <c r="Y26" s="952"/>
      <c r="Z26" s="1461"/>
      <c r="AA26" s="952"/>
      <c r="AB26" s="1461"/>
      <c r="AC26" s="952"/>
      <c r="AD26" s="1461"/>
      <c r="AE26" s="952"/>
      <c r="AF26" s="1461"/>
      <c r="AG26" s="1489">
        <v>4044.6</v>
      </c>
      <c r="AH26" s="1489">
        <v>4278.2</v>
      </c>
      <c r="AI26" s="1085">
        <v>3477.6</v>
      </c>
      <c r="AJ26" s="1085">
        <v>2365.4079999999999</v>
      </c>
      <c r="AK26" s="1488">
        <v>1708.864</v>
      </c>
      <c r="AL26" s="1488">
        <v>1460.4</v>
      </c>
      <c r="AM26" s="1488">
        <v>1438.848</v>
      </c>
      <c r="AN26" s="1488">
        <v>1326.66</v>
      </c>
      <c r="AO26" s="1488">
        <v>1330.3799999999999</v>
      </c>
      <c r="AP26" s="1488">
        <v>1323.5</v>
      </c>
      <c r="AQ26" s="1488">
        <v>1314</v>
      </c>
    </row>
    <row r="27" spans="2:43">
      <c r="B27" s="1467"/>
      <c r="C27" s="1467" t="s">
        <v>439</v>
      </c>
      <c r="D27" s="1099"/>
      <c r="E27" s="1099"/>
      <c r="F27" s="1099"/>
      <c r="G27" s="1099"/>
      <c r="H27" s="1099"/>
      <c r="I27" s="1099"/>
      <c r="J27" s="1099"/>
      <c r="K27" s="1099"/>
      <c r="L27" s="1099"/>
      <c r="M27" s="1099"/>
      <c r="N27" s="1099"/>
      <c r="O27" s="1442"/>
      <c r="P27" s="1442"/>
      <c r="Q27" s="1442"/>
      <c r="R27" s="1442"/>
      <c r="S27" s="1442"/>
      <c r="T27" s="1442"/>
      <c r="U27" s="1442"/>
      <c r="V27" s="1442"/>
      <c r="W27" s="1442"/>
      <c r="X27" s="1461"/>
      <c r="Y27" s="952"/>
      <c r="Z27" s="1461"/>
      <c r="AA27" s="952"/>
      <c r="AB27" s="1461"/>
      <c r="AC27" s="952"/>
      <c r="AD27" s="1461"/>
      <c r="AE27" s="952"/>
      <c r="AF27" s="1461"/>
      <c r="AG27" s="1489">
        <v>32956</v>
      </c>
      <c r="AH27" s="1489">
        <v>29278</v>
      </c>
      <c r="AI27" s="1085">
        <v>12729.1</v>
      </c>
      <c r="AJ27" s="1085">
        <v>10293.1</v>
      </c>
      <c r="AK27" s="1488">
        <v>9833</v>
      </c>
      <c r="AL27" s="1488">
        <v>9983.2999999999993</v>
      </c>
      <c r="AM27" s="1488">
        <v>10737.8</v>
      </c>
      <c r="AN27" s="1488">
        <v>12010.3</v>
      </c>
      <c r="AO27" s="1488">
        <v>14009.5</v>
      </c>
      <c r="AP27" s="1488">
        <v>17116</v>
      </c>
      <c r="AQ27" s="1488">
        <v>25334.3</v>
      </c>
    </row>
    <row r="28" spans="2:43">
      <c r="B28" s="1467"/>
      <c r="C28" s="1467" t="s">
        <v>440</v>
      </c>
      <c r="D28" s="1099"/>
      <c r="E28" s="1099"/>
      <c r="F28" s="1099"/>
      <c r="G28" s="1099"/>
      <c r="H28" s="1099"/>
      <c r="I28" s="1099"/>
      <c r="J28" s="1099"/>
      <c r="K28" s="1099"/>
      <c r="L28" s="1099"/>
      <c r="M28" s="1099"/>
      <c r="N28" s="1099"/>
      <c r="O28" s="1442"/>
      <c r="P28" s="1442"/>
      <c r="Q28" s="1442"/>
      <c r="R28" s="1442"/>
      <c r="S28" s="1442"/>
      <c r="T28" s="1442"/>
      <c r="U28" s="1442"/>
      <c r="V28" s="1442"/>
      <c r="W28" s="1442"/>
      <c r="X28" s="1461"/>
      <c r="Y28" s="952"/>
      <c r="Z28" s="1461"/>
      <c r="AA28" s="952"/>
      <c r="AB28" s="1461"/>
      <c r="AC28" s="952"/>
      <c r="AD28" s="1461"/>
      <c r="AE28" s="952"/>
      <c r="AF28" s="1461"/>
      <c r="AG28" s="1489">
        <v>17147</v>
      </c>
      <c r="AH28" s="1489">
        <v>13301</v>
      </c>
      <c r="AI28" s="1085">
        <v>9047</v>
      </c>
      <c r="AJ28" s="1085">
        <v>9579.7999999999993</v>
      </c>
      <c r="AK28" s="1488">
        <v>10910.4</v>
      </c>
      <c r="AL28" s="1488">
        <v>12328.1</v>
      </c>
      <c r="AM28" s="1488">
        <v>14260.5</v>
      </c>
      <c r="AN28" s="1488">
        <v>15028.1</v>
      </c>
      <c r="AO28" s="1488">
        <v>17536.8</v>
      </c>
      <c r="AP28" s="1488">
        <v>19935.7</v>
      </c>
      <c r="AQ28" s="1488">
        <v>23515.5</v>
      </c>
    </row>
    <row r="29" spans="2:43">
      <c r="B29" s="1467"/>
      <c r="C29" s="1467" t="s">
        <v>441</v>
      </c>
      <c r="D29" s="1099"/>
      <c r="E29" s="1099"/>
      <c r="F29" s="1099"/>
      <c r="G29" s="1099"/>
      <c r="H29" s="1099"/>
      <c r="I29" s="1099"/>
      <c r="J29" s="1099"/>
      <c r="K29" s="1099"/>
      <c r="L29" s="1099"/>
      <c r="M29" s="1099"/>
      <c r="N29" s="1099"/>
      <c r="O29" s="1442"/>
      <c r="P29" s="1442"/>
      <c r="Q29" s="1442"/>
      <c r="R29" s="1442"/>
      <c r="S29" s="1442"/>
      <c r="T29" s="1442"/>
      <c r="U29" s="1442"/>
      <c r="V29" s="1442"/>
      <c r="W29" s="1442"/>
      <c r="X29" s="1461"/>
      <c r="Y29" s="952"/>
      <c r="Z29" s="1461"/>
      <c r="AA29" s="952"/>
      <c r="AB29" s="1461"/>
      <c r="AC29" s="952"/>
      <c r="AD29" s="1461"/>
      <c r="AE29" s="952"/>
      <c r="AF29" s="1461"/>
      <c r="AG29" s="1489">
        <v>46974.2</v>
      </c>
      <c r="AH29" s="1489">
        <v>43938.400000000001</v>
      </c>
      <c r="AI29" s="1085">
        <v>39745.5</v>
      </c>
      <c r="AJ29" s="1085">
        <v>40891.1</v>
      </c>
      <c r="AK29" s="1488">
        <v>44141.8</v>
      </c>
      <c r="AL29" s="1488">
        <v>47176.9</v>
      </c>
      <c r="AM29" s="1488">
        <v>51954.3</v>
      </c>
      <c r="AN29" s="1488">
        <v>56671.4</v>
      </c>
      <c r="AO29" s="1488">
        <v>63777.5</v>
      </c>
      <c r="AP29" s="1488">
        <v>68953.299999999988</v>
      </c>
      <c r="AQ29" s="1488">
        <v>78558.8</v>
      </c>
    </row>
    <row r="30" spans="2:43">
      <c r="B30" s="1467"/>
      <c r="C30" s="1467" t="s">
        <v>442</v>
      </c>
      <c r="D30" s="1099"/>
      <c r="E30" s="1099"/>
      <c r="F30" s="1099"/>
      <c r="G30" s="1099"/>
      <c r="H30" s="1099"/>
      <c r="I30" s="1099"/>
      <c r="J30" s="1099"/>
      <c r="K30" s="1099"/>
      <c r="L30" s="1099"/>
      <c r="M30" s="1099"/>
      <c r="N30" s="1099"/>
      <c r="O30" s="1442"/>
      <c r="P30" s="1442"/>
      <c r="Q30" s="1442"/>
      <c r="R30" s="1442"/>
      <c r="S30" s="1442"/>
      <c r="T30" s="1442"/>
      <c r="U30" s="1442"/>
      <c r="V30" s="1442"/>
      <c r="W30" s="1442"/>
      <c r="X30" s="1461"/>
      <c r="Y30" s="952"/>
      <c r="Z30" s="1461"/>
      <c r="AA30" s="952"/>
      <c r="AB30" s="1461"/>
      <c r="AC30" s="952"/>
      <c r="AD30" s="1461"/>
      <c r="AE30" s="952"/>
      <c r="AF30" s="1461"/>
      <c r="AG30" s="1489">
        <v>3202.7</v>
      </c>
      <c r="AH30" s="1489">
        <v>1304.5999999999999</v>
      </c>
      <c r="AI30" s="1085">
        <v>167.1</v>
      </c>
      <c r="AJ30" s="1490">
        <v>0</v>
      </c>
      <c r="AK30" s="1490">
        <v>0</v>
      </c>
      <c r="AL30" s="1490">
        <v>0</v>
      </c>
      <c r="AM30" s="1490">
        <v>0</v>
      </c>
      <c r="AN30" s="1490">
        <v>0</v>
      </c>
      <c r="AO30" s="1490">
        <v>0</v>
      </c>
      <c r="AP30" s="1490">
        <v>0</v>
      </c>
      <c r="AQ30" s="1490">
        <v>0</v>
      </c>
    </row>
    <row r="31" spans="2:43">
      <c r="B31" s="957"/>
      <c r="C31" s="904"/>
      <c r="D31" s="1445"/>
      <c r="E31" s="1445"/>
      <c r="F31" s="1445"/>
      <c r="G31" s="1445"/>
      <c r="H31" s="1445"/>
      <c r="I31" s="1445"/>
      <c r="J31" s="1445"/>
      <c r="K31" s="1445"/>
      <c r="L31" s="1445"/>
      <c r="M31" s="1445"/>
      <c r="N31" s="1445"/>
      <c r="O31" s="1446"/>
      <c r="P31" s="1446"/>
      <c r="Q31" s="1446"/>
      <c r="R31" s="1446"/>
      <c r="S31" s="1446"/>
      <c r="T31" s="1446"/>
      <c r="U31" s="1446"/>
      <c r="V31" s="1446"/>
      <c r="W31" s="1446"/>
      <c r="X31" s="961"/>
      <c r="Y31" s="961"/>
      <c r="Z31" s="961"/>
      <c r="AA31" s="961"/>
      <c r="AB31" s="961"/>
      <c r="AC31" s="961"/>
      <c r="AD31" s="961"/>
      <c r="AE31" s="961"/>
      <c r="AF31" s="961"/>
      <c r="AG31" s="961"/>
      <c r="AH31" s="961"/>
      <c r="AI31" s="961"/>
      <c r="AJ31" s="961"/>
      <c r="AK31" s="961"/>
      <c r="AL31" s="961"/>
      <c r="AM31" s="961"/>
      <c r="AN31" s="961"/>
      <c r="AO31" s="961"/>
      <c r="AP31" s="961"/>
      <c r="AQ31" s="961"/>
    </row>
    <row r="32" spans="2:43">
      <c r="B32" s="1099"/>
      <c r="C32" s="1099"/>
      <c r="D32" s="1099"/>
      <c r="E32" s="1099"/>
      <c r="F32" s="1099"/>
      <c r="G32" s="1099"/>
      <c r="H32" s="1099"/>
      <c r="I32" s="1099"/>
      <c r="J32" s="1099"/>
      <c r="K32" s="1099"/>
      <c r="L32" s="1099"/>
      <c r="M32" s="1099"/>
      <c r="N32" s="1099"/>
      <c r="O32" s="1442"/>
      <c r="P32" s="1442"/>
      <c r="Q32" s="1442"/>
      <c r="R32" s="1442"/>
      <c r="S32" s="1442"/>
      <c r="T32" s="1442"/>
      <c r="U32" s="1442"/>
      <c r="V32" s="1442"/>
      <c r="W32" s="1442"/>
      <c r="X32" s="952"/>
      <c r="Y32" s="952"/>
      <c r="Z32" s="952"/>
      <c r="AA32" s="952"/>
      <c r="AB32" s="952"/>
      <c r="AC32" s="952"/>
      <c r="AD32" s="952"/>
      <c r="AE32" s="952"/>
      <c r="AF32" s="952"/>
      <c r="AG32" s="1090"/>
      <c r="AK32" s="1491"/>
      <c r="AL32" s="1491"/>
    </row>
    <row r="33" spans="2:38" hidden="1">
      <c r="B33" s="1094"/>
      <c r="C33" s="1099"/>
      <c r="D33" s="1099"/>
      <c r="E33" s="1099"/>
      <c r="F33" s="1099"/>
      <c r="G33" s="1099"/>
      <c r="H33" s="1099"/>
      <c r="I33" s="1099"/>
      <c r="J33" s="1099"/>
      <c r="K33" s="1099"/>
      <c r="L33" s="1099"/>
      <c r="M33" s="1099"/>
      <c r="N33" s="1099"/>
      <c r="O33" s="1442"/>
      <c r="P33" s="1442"/>
      <c r="Q33" s="1442"/>
      <c r="R33" s="1442"/>
      <c r="S33" s="1442"/>
      <c r="T33" s="1442"/>
      <c r="U33" s="1442"/>
      <c r="V33" s="1442"/>
      <c r="W33" s="1442"/>
      <c r="X33" s="952"/>
      <c r="Y33" s="952"/>
      <c r="Z33" s="952"/>
      <c r="AA33" s="952"/>
      <c r="AB33" s="952"/>
      <c r="AC33" s="952"/>
      <c r="AD33" s="952"/>
      <c r="AE33" s="952"/>
      <c r="AF33" s="952"/>
      <c r="AG33" s="1090"/>
      <c r="AK33" s="1491"/>
      <c r="AL33" s="1491"/>
    </row>
    <row r="34" spans="2:38" hidden="1">
      <c r="R34" s="1084"/>
      <c r="S34" s="1084"/>
      <c r="T34" s="1084"/>
      <c r="U34" s="1084"/>
      <c r="V34" s="1084"/>
      <c r="W34" s="1084"/>
      <c r="X34" s="1090"/>
      <c r="Y34" s="1090"/>
      <c r="Z34" s="1090"/>
      <c r="AA34" s="1090"/>
      <c r="AB34" s="1090"/>
      <c r="AC34" s="1090"/>
      <c r="AD34" s="1090"/>
      <c r="AE34" s="1090"/>
      <c r="AF34" s="1090"/>
      <c r="AG34" s="1090"/>
      <c r="AK34" s="1491"/>
      <c r="AL34" s="1491"/>
    </row>
    <row r="35" spans="2:38" hidden="1">
      <c r="R35" s="1084"/>
      <c r="S35" s="1084"/>
      <c r="T35" s="1084"/>
      <c r="U35" s="1084"/>
      <c r="V35" s="1084"/>
      <c r="W35" s="1084"/>
      <c r="X35" s="1090"/>
      <c r="Y35" s="1090"/>
      <c r="Z35" s="1090"/>
      <c r="AA35" s="1090"/>
      <c r="AB35" s="1090"/>
      <c r="AC35" s="1090"/>
      <c r="AD35" s="1090"/>
      <c r="AE35" s="1090"/>
      <c r="AF35" s="1090"/>
      <c r="AG35" s="1090"/>
      <c r="AK35" s="1491"/>
      <c r="AL35" s="1491"/>
    </row>
    <row r="36" spans="2:38" hidden="1">
      <c r="R36" s="1084"/>
      <c r="S36" s="1084"/>
      <c r="T36" s="1084"/>
      <c r="U36" s="1084"/>
      <c r="V36" s="1084"/>
      <c r="W36" s="1084"/>
      <c r="X36" s="1090"/>
      <c r="Y36" s="1090"/>
      <c r="Z36" s="1090"/>
      <c r="AA36" s="1090"/>
      <c r="AB36" s="1090"/>
      <c r="AC36" s="1090"/>
      <c r="AD36" s="1090"/>
      <c r="AE36" s="1090"/>
      <c r="AF36" s="1090"/>
      <c r="AG36" s="1090"/>
      <c r="AK36" s="1491"/>
      <c r="AL36" s="1491"/>
    </row>
    <row r="37" spans="2:38" hidden="1">
      <c r="R37" s="1084"/>
      <c r="S37" s="1084"/>
      <c r="T37" s="1084"/>
      <c r="U37" s="1084"/>
      <c r="V37" s="1084"/>
      <c r="W37" s="1084"/>
      <c r="X37" s="1090"/>
      <c r="Y37" s="1090"/>
      <c r="Z37" s="1090"/>
      <c r="AA37" s="1090"/>
      <c r="AB37" s="1090"/>
      <c r="AC37" s="1090"/>
      <c r="AD37" s="1090"/>
      <c r="AE37" s="1090"/>
      <c r="AF37" s="1090"/>
      <c r="AG37" s="1090"/>
      <c r="AK37" s="1491"/>
      <c r="AL37" s="1491"/>
    </row>
    <row r="38" spans="2:38" hidden="1">
      <c r="R38" s="1084"/>
      <c r="S38" s="1084"/>
      <c r="T38" s="1084"/>
      <c r="U38" s="1084"/>
      <c r="V38" s="1084"/>
      <c r="W38" s="1084"/>
      <c r="X38" s="1090"/>
      <c r="Y38" s="1090"/>
      <c r="Z38" s="1090"/>
      <c r="AA38" s="1090"/>
      <c r="AB38" s="1090"/>
      <c r="AC38" s="1090"/>
      <c r="AD38" s="1090"/>
      <c r="AE38" s="1090"/>
      <c r="AF38" s="1090"/>
      <c r="AG38" s="1090"/>
      <c r="AK38" s="1491"/>
      <c r="AL38" s="1491"/>
    </row>
    <row r="39" spans="2:38" hidden="1">
      <c r="R39" s="1084"/>
      <c r="S39" s="1084"/>
      <c r="T39" s="1084"/>
      <c r="U39" s="1084"/>
      <c r="V39" s="1084"/>
      <c r="W39" s="1084"/>
      <c r="X39" s="1090"/>
      <c r="Y39" s="1090"/>
      <c r="Z39" s="1090"/>
      <c r="AA39" s="1090"/>
      <c r="AB39" s="1090"/>
      <c r="AC39" s="1090"/>
      <c r="AD39" s="1090"/>
      <c r="AE39" s="1090"/>
      <c r="AF39" s="1090"/>
      <c r="AG39" s="1090"/>
      <c r="AK39" s="1491"/>
      <c r="AL39" s="1491"/>
    </row>
    <row r="40" spans="2:38" hidden="1">
      <c r="R40" s="1084"/>
      <c r="S40" s="1084"/>
      <c r="T40" s="1084"/>
      <c r="U40" s="1084"/>
      <c r="V40" s="1084"/>
      <c r="W40" s="1084"/>
      <c r="X40" s="1090"/>
      <c r="Y40" s="1090"/>
      <c r="Z40" s="1090"/>
      <c r="AA40" s="1090"/>
      <c r="AB40" s="1090"/>
      <c r="AC40" s="1090"/>
      <c r="AD40" s="1090"/>
      <c r="AE40" s="1090"/>
      <c r="AF40" s="1090"/>
      <c r="AG40" s="1090"/>
      <c r="AK40" s="1491"/>
      <c r="AL40" s="1491"/>
    </row>
    <row r="41" spans="2:38" hidden="1">
      <c r="R41" s="1084"/>
      <c r="S41" s="1084"/>
      <c r="T41" s="1084"/>
      <c r="U41" s="1084"/>
      <c r="V41" s="1084"/>
      <c r="W41" s="1084"/>
      <c r="X41" s="1090"/>
      <c r="Y41" s="1090"/>
      <c r="Z41" s="1090"/>
      <c r="AA41" s="1090"/>
      <c r="AB41" s="1090"/>
      <c r="AC41" s="1090"/>
      <c r="AD41" s="1090"/>
      <c r="AE41" s="1090"/>
      <c r="AF41" s="1090"/>
      <c r="AG41" s="1090"/>
      <c r="AK41" s="1491"/>
      <c r="AL41" s="1491"/>
    </row>
    <row r="42" spans="2:38" hidden="1">
      <c r="R42" s="1084"/>
      <c r="S42" s="1084"/>
      <c r="T42" s="1084"/>
      <c r="U42" s="1084"/>
      <c r="V42" s="1084"/>
      <c r="W42" s="1084"/>
      <c r="X42" s="1090"/>
      <c r="Y42" s="1090"/>
      <c r="Z42" s="1090"/>
      <c r="AA42" s="1090"/>
      <c r="AB42" s="1090"/>
      <c r="AC42" s="1090"/>
      <c r="AD42" s="1090"/>
      <c r="AE42" s="1090"/>
      <c r="AF42" s="1090"/>
      <c r="AG42" s="1090"/>
      <c r="AK42" s="1491"/>
      <c r="AL42" s="1491"/>
    </row>
    <row r="43" spans="2:38" hidden="1">
      <c r="R43" s="1084"/>
      <c r="S43" s="1084"/>
      <c r="T43" s="1084"/>
      <c r="U43" s="1084"/>
      <c r="V43" s="1084"/>
      <c r="W43" s="1084"/>
      <c r="X43" s="1090"/>
      <c r="Y43" s="1090"/>
      <c r="Z43" s="1090"/>
      <c r="AA43" s="1090"/>
      <c r="AB43" s="1090"/>
      <c r="AC43" s="1090"/>
      <c r="AD43" s="1090"/>
      <c r="AE43" s="1090"/>
      <c r="AF43" s="1090"/>
      <c r="AG43" s="1090"/>
      <c r="AK43" s="1491"/>
      <c r="AL43" s="1491"/>
    </row>
    <row r="44" spans="2:38" hidden="1">
      <c r="R44" s="1084"/>
      <c r="S44" s="1084"/>
      <c r="T44" s="1084"/>
      <c r="U44" s="1084"/>
      <c r="V44" s="1084"/>
      <c r="W44" s="1084"/>
      <c r="X44" s="1090"/>
      <c r="Y44" s="1090"/>
      <c r="Z44" s="1090"/>
      <c r="AA44" s="1090"/>
      <c r="AB44" s="1090"/>
      <c r="AC44" s="1090"/>
      <c r="AD44" s="1090"/>
      <c r="AE44" s="1090"/>
      <c r="AF44" s="1090"/>
      <c r="AG44" s="1090"/>
      <c r="AK44" s="1491"/>
      <c r="AL44" s="1491"/>
    </row>
    <row r="45" spans="2:38" hidden="1">
      <c r="R45" s="1084"/>
      <c r="S45" s="1084"/>
      <c r="T45" s="1084"/>
      <c r="U45" s="1084"/>
      <c r="V45" s="1084"/>
      <c r="W45" s="1084"/>
      <c r="X45" s="1090"/>
      <c r="Y45" s="1090"/>
      <c r="Z45" s="1090"/>
      <c r="AA45" s="1090"/>
      <c r="AB45" s="1090"/>
      <c r="AC45" s="1090"/>
      <c r="AD45" s="1090"/>
      <c r="AE45" s="1090"/>
      <c r="AF45" s="1090"/>
      <c r="AG45" s="1090"/>
      <c r="AK45" s="1491"/>
      <c r="AL45" s="1491"/>
    </row>
    <row r="46" spans="2:38" hidden="1">
      <c r="R46" s="1084"/>
      <c r="S46" s="1084"/>
      <c r="T46" s="1084"/>
      <c r="U46" s="1084"/>
      <c r="V46" s="1084"/>
      <c r="W46" s="1084"/>
      <c r="X46" s="1090"/>
      <c r="Y46" s="1090"/>
      <c r="Z46" s="1090"/>
      <c r="AA46" s="1090"/>
      <c r="AB46" s="1090"/>
      <c r="AC46" s="1090"/>
      <c r="AD46" s="1090"/>
      <c r="AE46" s="1090"/>
      <c r="AF46" s="1090"/>
      <c r="AG46" s="1090"/>
      <c r="AK46" s="1491"/>
      <c r="AL46" s="1491"/>
    </row>
    <row r="47" spans="2:38" hidden="1">
      <c r="R47" s="1084"/>
      <c r="S47" s="1084"/>
      <c r="T47" s="1084"/>
      <c r="U47" s="1084"/>
      <c r="V47" s="1084"/>
      <c r="W47" s="1084"/>
      <c r="X47" s="1090"/>
      <c r="Y47" s="1090"/>
      <c r="Z47" s="1090"/>
      <c r="AA47" s="1090"/>
      <c r="AB47" s="1090"/>
      <c r="AC47" s="1090"/>
      <c r="AD47" s="1090"/>
      <c r="AE47" s="1090"/>
      <c r="AF47" s="1090"/>
      <c r="AG47" s="1090"/>
      <c r="AK47" s="1491"/>
      <c r="AL47" s="1491"/>
    </row>
    <row r="48" spans="2:38" hidden="1">
      <c r="R48" s="1084"/>
      <c r="S48" s="1084"/>
      <c r="T48" s="1084"/>
      <c r="U48" s="1084"/>
      <c r="V48" s="1084"/>
      <c r="W48" s="1084"/>
      <c r="X48" s="1090"/>
      <c r="Y48" s="1090"/>
      <c r="Z48" s="1090"/>
      <c r="AA48" s="1090"/>
      <c r="AB48" s="1090"/>
      <c r="AC48" s="1090"/>
      <c r="AD48" s="1090"/>
      <c r="AE48" s="1090"/>
      <c r="AF48" s="1090"/>
      <c r="AG48" s="1090"/>
      <c r="AK48" s="1491"/>
      <c r="AL48" s="1491"/>
    </row>
    <row r="49" spans="2:43" ht="15" hidden="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090"/>
      <c r="AB49" s="1090"/>
      <c r="AC49" s="1090"/>
      <c r="AD49" s="1090"/>
      <c r="AE49" s="1090"/>
      <c r="AF49" s="1090"/>
      <c r="AG49" s="1090"/>
      <c r="AK49" s="1491"/>
      <c r="AL49" s="1491"/>
    </row>
    <row r="50" spans="2:43" ht="15" hidden="1">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1090"/>
      <c r="AB50" s="1090"/>
      <c r="AC50" s="1090"/>
      <c r="AD50" s="1090"/>
      <c r="AE50" s="1090"/>
      <c r="AF50" s="1090"/>
      <c r="AG50" s="1090"/>
      <c r="AK50" s="1491"/>
      <c r="AL50" s="1491"/>
    </row>
    <row r="51" spans="2:43" ht="15" hidden="1">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1090"/>
      <c r="AB51" s="1090"/>
      <c r="AC51" s="1090"/>
      <c r="AD51" s="1090"/>
      <c r="AE51" s="1090"/>
      <c r="AF51" s="1090"/>
      <c r="AG51" s="1090"/>
      <c r="AK51" s="1491"/>
      <c r="AL51" s="1491"/>
    </row>
    <row r="52" spans="2:43" ht="15" hidden="1">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1090"/>
      <c r="AB52" s="1090"/>
      <c r="AC52" s="1090"/>
      <c r="AD52" s="1090"/>
      <c r="AE52" s="1090"/>
      <c r="AF52" s="1090"/>
      <c r="AG52" s="1090"/>
      <c r="AK52" s="1491"/>
      <c r="AL52" s="1491"/>
    </row>
    <row r="53" spans="2:43" ht="15" hidden="1">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1090"/>
      <c r="AB53" s="1090"/>
      <c r="AC53" s="1090"/>
      <c r="AD53" s="1090"/>
      <c r="AE53" s="1090"/>
      <c r="AF53" s="1090"/>
      <c r="AG53" s="1090"/>
      <c r="AK53" s="1491"/>
      <c r="AL53" s="1491"/>
    </row>
    <row r="54" spans="2:43" ht="15" hidden="1">
      <c r="B54" s="266"/>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1090"/>
      <c r="AB54" s="1090"/>
      <c r="AC54" s="1090"/>
      <c r="AD54" s="1090"/>
      <c r="AE54" s="1090"/>
      <c r="AF54" s="1090"/>
      <c r="AG54" s="1090"/>
      <c r="AK54" s="1491"/>
      <c r="AL54" s="1491"/>
    </row>
    <row r="55" spans="2:43" ht="15" hidden="1">
      <c r="B55" s="1920"/>
      <c r="C55" s="1921"/>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090"/>
      <c r="AB55" s="1090"/>
      <c r="AC55" s="1090"/>
      <c r="AD55" s="1090"/>
      <c r="AE55" s="1090"/>
      <c r="AF55" s="1090"/>
      <c r="AG55" s="1090"/>
      <c r="AK55" s="1491"/>
      <c r="AL55" s="1491"/>
    </row>
    <row r="56" spans="2:43" hidden="1">
      <c r="R56" s="1084"/>
      <c r="S56" s="1084"/>
      <c r="T56" s="1084"/>
      <c r="U56" s="1084"/>
      <c r="V56" s="1084"/>
      <c r="W56" s="1084"/>
      <c r="X56" s="1090"/>
      <c r="Y56" s="1090"/>
      <c r="Z56" s="1090"/>
      <c r="AA56" s="1090"/>
      <c r="AB56" s="1090"/>
      <c r="AC56" s="1090"/>
      <c r="AD56" s="1090"/>
      <c r="AE56" s="1090"/>
      <c r="AF56" s="1090"/>
      <c r="AG56" s="1090"/>
      <c r="AK56" s="1491"/>
      <c r="AL56" s="1491"/>
    </row>
    <row r="57" spans="2:43" hidden="1">
      <c r="R57" s="1084"/>
      <c r="S57" s="1084"/>
      <c r="T57" s="1084"/>
      <c r="U57" s="1084"/>
      <c r="V57" s="1084"/>
      <c r="W57" s="1084"/>
      <c r="X57" s="1090"/>
      <c r="Y57" s="1090"/>
      <c r="Z57" s="1090"/>
      <c r="AA57" s="1090"/>
      <c r="AB57" s="1090"/>
      <c r="AC57" s="1090"/>
      <c r="AD57" s="1090"/>
      <c r="AE57" s="1090"/>
      <c r="AF57" s="1090"/>
      <c r="AG57" s="1090"/>
      <c r="AK57" s="1491"/>
      <c r="AL57" s="1491"/>
    </row>
    <row r="58" spans="2:43" hidden="1">
      <c r="R58" s="1084"/>
      <c r="S58" s="1084"/>
      <c r="T58" s="1084"/>
      <c r="U58" s="1084"/>
      <c r="V58" s="1084"/>
      <c r="W58" s="1084"/>
      <c r="X58" s="1090"/>
      <c r="Y58" s="1090"/>
      <c r="Z58" s="1090"/>
      <c r="AA58" s="1090"/>
      <c r="AB58" s="1090"/>
      <c r="AC58" s="1090"/>
      <c r="AD58" s="1090"/>
      <c r="AE58" s="1090"/>
      <c r="AF58" s="1090"/>
      <c r="AG58" s="1090"/>
      <c r="AK58" s="1491"/>
      <c r="AL58" s="1491"/>
    </row>
    <row r="59" spans="2:43">
      <c r="R59" s="1084"/>
      <c r="S59" s="1084"/>
      <c r="T59" s="1084"/>
      <c r="U59" s="1084"/>
      <c r="V59" s="1084"/>
      <c r="W59" s="1084"/>
      <c r="X59" s="1090"/>
      <c r="Y59" s="1090"/>
      <c r="Z59" s="1090"/>
      <c r="AA59" s="1090"/>
      <c r="AB59" s="1090"/>
      <c r="AC59" s="1090"/>
      <c r="AD59" s="1090"/>
      <c r="AE59" s="1090"/>
      <c r="AF59" s="1090"/>
      <c r="AG59" s="1090"/>
      <c r="AK59" s="1491"/>
      <c r="AL59" s="1491"/>
    </row>
    <row r="60" spans="2:43" outlineLevel="1">
      <c r="B60" s="1444" t="s">
        <v>26</v>
      </c>
      <c r="C60" s="1443"/>
      <c r="D60" s="1443"/>
      <c r="E60" s="1443"/>
      <c r="F60" s="1443"/>
      <c r="G60" s="1443"/>
      <c r="H60" s="1443"/>
      <c r="I60" s="1443"/>
      <c r="J60" s="1443"/>
      <c r="K60" s="1443"/>
      <c r="L60" s="1443"/>
      <c r="M60" s="1443"/>
      <c r="N60" s="1443"/>
      <c r="O60" s="1443"/>
      <c r="P60" s="1443"/>
      <c r="Q60" s="1443"/>
      <c r="R60" s="1443"/>
      <c r="S60" s="1443"/>
      <c r="T60" s="1443"/>
      <c r="U60" s="1443"/>
      <c r="V60" s="1443"/>
      <c r="W60" s="1443"/>
      <c r="X60" s="1443"/>
      <c r="Y60" s="1443"/>
      <c r="Z60" s="1443"/>
      <c r="AA60" s="1443"/>
      <c r="AB60" s="1443"/>
      <c r="AC60" s="1443"/>
      <c r="AD60" s="1443"/>
      <c r="AE60" s="1443"/>
      <c r="AF60" s="1443"/>
      <c r="AG60" s="1090"/>
      <c r="AK60" s="1491"/>
      <c r="AL60" s="1491"/>
    </row>
    <row r="61" spans="2:43" outlineLevel="1">
      <c r="B61" s="190" t="s">
        <v>443</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090"/>
      <c r="AK61" s="1491"/>
      <c r="AL61" s="1491"/>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090"/>
      <c r="AK62" s="1491"/>
      <c r="AL62" s="1491"/>
    </row>
    <row r="63" spans="2:43" outlineLevel="1">
      <c r="B63" s="1099" t="s">
        <v>1669</v>
      </c>
      <c r="C63" s="1099"/>
      <c r="D63" s="1099"/>
      <c r="E63" s="167"/>
      <c r="F63" s="167"/>
      <c r="G63" s="167"/>
      <c r="H63" s="167"/>
      <c r="I63" s="167"/>
      <c r="J63" s="167"/>
      <c r="K63" s="167"/>
      <c r="L63" s="167"/>
      <c r="M63" s="167"/>
      <c r="N63" s="167"/>
      <c r="O63" s="197"/>
      <c r="P63" s="198"/>
      <c r="Q63" s="199"/>
      <c r="R63" s="198"/>
      <c r="S63" s="198"/>
      <c r="T63" s="198"/>
      <c r="U63" s="198"/>
      <c r="V63" s="198"/>
      <c r="W63" s="198"/>
      <c r="X63" s="1475">
        <v>2001</v>
      </c>
      <c r="Y63" s="1476"/>
      <c r="Z63" s="1477">
        <v>2003</v>
      </c>
      <c r="AA63" s="1476"/>
      <c r="AB63" s="1477">
        <v>2005</v>
      </c>
      <c r="AC63" s="1476"/>
      <c r="AD63" s="1477">
        <v>2007</v>
      </c>
      <c r="AE63" s="1476"/>
      <c r="AF63" s="1477">
        <v>2009</v>
      </c>
      <c r="AG63" s="1449">
        <v>2010</v>
      </c>
      <c r="AH63" s="1449">
        <v>2011</v>
      </c>
      <c r="AI63" s="1449">
        <v>2012</v>
      </c>
      <c r="AJ63" s="1449">
        <v>2013</v>
      </c>
      <c r="AK63" s="1449">
        <v>2014</v>
      </c>
      <c r="AL63" s="1449">
        <v>2015</v>
      </c>
      <c r="AM63" s="1449">
        <v>2016</v>
      </c>
      <c r="AN63" s="1449">
        <v>2017</v>
      </c>
      <c r="AO63" s="1449">
        <v>2018</v>
      </c>
      <c r="AP63" s="1449">
        <v>2019</v>
      </c>
      <c r="AQ63" s="1449">
        <v>2020</v>
      </c>
    </row>
    <row r="64" spans="2:43" outlineLevel="1">
      <c r="B64" s="1099" t="s">
        <v>1670</v>
      </c>
      <c r="C64" s="1099"/>
      <c r="D64" s="1099"/>
      <c r="E64" s="167"/>
      <c r="F64" s="167"/>
      <c r="G64" s="167"/>
      <c r="H64" s="167"/>
      <c r="I64" s="167"/>
      <c r="J64" s="167"/>
      <c r="K64" s="167"/>
      <c r="L64" s="167"/>
      <c r="M64" s="167"/>
      <c r="N64" s="167"/>
      <c r="O64" s="197"/>
      <c r="P64" s="198"/>
      <c r="Q64" s="199"/>
      <c r="R64" s="198"/>
      <c r="S64" s="198"/>
      <c r="T64" s="198"/>
      <c r="U64" s="198"/>
      <c r="V64" s="198"/>
      <c r="W64" s="198"/>
      <c r="X64" s="1478"/>
      <c r="Y64" s="1479"/>
      <c r="Z64" s="1478"/>
      <c r="AA64" s="1479"/>
      <c r="AB64" s="1479"/>
      <c r="AC64" s="1479"/>
      <c r="AD64" s="1478"/>
      <c r="AE64" s="1479"/>
      <c r="AF64" s="1478"/>
      <c r="AG64" s="1478"/>
      <c r="AH64" s="1478"/>
      <c r="AK64" s="1491"/>
      <c r="AL64" s="1491"/>
      <c r="AM64" s="1491"/>
      <c r="AN64" s="1491"/>
      <c r="AO64" s="1491"/>
    </row>
    <row r="65" spans="2:43" outlineLevel="1">
      <c r="B65" s="1480" t="s">
        <v>28</v>
      </c>
      <c r="C65" s="1099" t="s">
        <v>29</v>
      </c>
      <c r="D65" s="1099"/>
      <c r="E65" s="167"/>
      <c r="F65" s="167"/>
      <c r="G65" s="167"/>
      <c r="H65" s="167"/>
      <c r="I65" s="167"/>
      <c r="J65" s="167"/>
      <c r="K65" s="167"/>
      <c r="L65" s="167"/>
      <c r="M65" s="167"/>
      <c r="N65" s="167"/>
      <c r="O65" s="197"/>
      <c r="P65" s="198"/>
      <c r="Q65" s="199"/>
      <c r="R65" s="198"/>
      <c r="S65" s="198"/>
      <c r="T65" s="198"/>
      <c r="U65" s="198"/>
      <c r="V65" s="198"/>
      <c r="W65" s="198"/>
      <c r="X65" s="947"/>
      <c r="Y65" s="1478"/>
      <c r="Z65" s="947"/>
      <c r="AA65" s="1478"/>
      <c r="AB65" s="947"/>
      <c r="AC65" s="1478"/>
      <c r="AD65" s="947"/>
      <c r="AE65" s="1478"/>
      <c r="AF65" s="166">
        <v>14190672</v>
      </c>
      <c r="AG65" s="166">
        <v>14486787</v>
      </c>
      <c r="AH65" s="166">
        <v>15104465</v>
      </c>
      <c r="AI65" s="166">
        <v>15602099</v>
      </c>
      <c r="AJ65" s="166">
        <v>15848911</v>
      </c>
      <c r="AK65" s="166">
        <v>16444892</v>
      </c>
      <c r="AL65" s="166">
        <v>17157511</v>
      </c>
      <c r="AM65" s="166">
        <v>18141430</v>
      </c>
      <c r="AN65" s="166">
        <v>19680629</v>
      </c>
      <c r="AO65" s="166">
        <v>21373139</v>
      </c>
      <c r="AP65" s="166">
        <v>23467691</v>
      </c>
      <c r="AQ65" s="166">
        <v>23846763</v>
      </c>
    </row>
    <row r="66" spans="2:43" ht="5.0999999999999996" customHeight="1" outlineLevel="1">
      <c r="B66" s="1478"/>
      <c r="C66" s="1099"/>
      <c r="D66" s="1099"/>
      <c r="E66" s="167"/>
      <c r="F66" s="167"/>
      <c r="G66" s="167"/>
      <c r="H66" s="167"/>
      <c r="I66" s="167"/>
      <c r="J66" s="167"/>
      <c r="K66" s="167"/>
      <c r="L66" s="167"/>
      <c r="M66" s="167"/>
      <c r="N66" s="167"/>
      <c r="O66" s="197"/>
      <c r="P66" s="198"/>
      <c r="Q66" s="199"/>
      <c r="R66" s="198"/>
      <c r="S66" s="198"/>
      <c r="T66" s="198"/>
      <c r="U66" s="198"/>
      <c r="V66" s="198"/>
      <c r="W66" s="198"/>
      <c r="X66" s="947"/>
      <c r="Y66" s="1478"/>
      <c r="Z66" s="947"/>
      <c r="AA66" s="1478"/>
      <c r="AB66" s="947"/>
      <c r="AC66" s="1478"/>
      <c r="AD66" s="947"/>
      <c r="AE66" s="1478"/>
      <c r="AF66" s="166"/>
      <c r="AG66" s="166"/>
      <c r="AH66" s="166"/>
      <c r="AI66" s="166"/>
      <c r="AJ66" s="166"/>
      <c r="AK66" s="166"/>
      <c r="AL66" s="166"/>
      <c r="AM66" s="166"/>
      <c r="AN66" s="166"/>
      <c r="AO66" s="166"/>
      <c r="AP66" s="166"/>
      <c r="AQ66" s="166"/>
    </row>
    <row r="67" spans="2:43" outlineLevel="1">
      <c r="B67" s="1480" t="s">
        <v>30</v>
      </c>
      <c r="C67" s="1099" t="s">
        <v>31</v>
      </c>
      <c r="D67" s="1099"/>
      <c r="E67" s="167"/>
      <c r="F67" s="167"/>
      <c r="G67" s="167"/>
      <c r="H67" s="167"/>
      <c r="I67" s="167"/>
      <c r="J67" s="167"/>
      <c r="K67" s="167"/>
      <c r="L67" s="167"/>
      <c r="M67" s="167"/>
      <c r="N67" s="167"/>
      <c r="O67" s="197"/>
      <c r="P67" s="198"/>
      <c r="Q67" s="199"/>
      <c r="R67" s="198"/>
      <c r="S67" s="198"/>
      <c r="T67" s="198"/>
      <c r="U67" s="198"/>
      <c r="V67" s="198"/>
      <c r="W67" s="198"/>
      <c r="X67" s="947"/>
      <c r="Y67" s="1478"/>
      <c r="Z67" s="947"/>
      <c r="AA67" s="1478"/>
      <c r="AB67" s="947"/>
      <c r="AC67" s="1478"/>
      <c r="AD67" s="947"/>
      <c r="AE67" s="1478"/>
      <c r="AF67" s="166">
        <v>17069635</v>
      </c>
      <c r="AG67" s="166">
        <v>17430310</v>
      </c>
      <c r="AH67" s="166">
        <v>18113804</v>
      </c>
      <c r="AI67" s="166">
        <v>18525058</v>
      </c>
      <c r="AJ67" s="166">
        <v>18769137</v>
      </c>
      <c r="AK67" s="166">
        <v>19623708</v>
      </c>
      <c r="AL67" s="166">
        <v>20418594.449000001</v>
      </c>
      <c r="AM67" s="166">
        <v>21474386.761</v>
      </c>
      <c r="AN67" s="166">
        <v>23384370.337000001</v>
      </c>
      <c r="AO67" s="166">
        <v>25380487.160999998</v>
      </c>
      <c r="AP67" s="166">
        <v>28018578</v>
      </c>
      <c r="AQ67" s="166">
        <v>28790872.234999999</v>
      </c>
    </row>
    <row r="68" spans="2:43" ht="5.0999999999999996" customHeight="1" outlineLevel="1">
      <c r="B68" s="1478"/>
      <c r="C68" s="1099"/>
      <c r="D68" s="1099"/>
      <c r="E68" s="167"/>
      <c r="F68" s="167"/>
      <c r="G68" s="167"/>
      <c r="H68" s="167"/>
      <c r="I68" s="167"/>
      <c r="J68" s="167"/>
      <c r="K68" s="167"/>
      <c r="L68" s="167"/>
      <c r="M68" s="167"/>
      <c r="N68" s="167"/>
      <c r="O68" s="197"/>
      <c r="P68" s="198"/>
      <c r="Q68" s="199"/>
      <c r="R68" s="198"/>
      <c r="S68" s="198"/>
      <c r="T68" s="198"/>
      <c r="U68" s="198"/>
      <c r="V68" s="198"/>
      <c r="W68" s="198"/>
      <c r="X68" s="1478"/>
      <c r="Y68" s="1478"/>
      <c r="Z68" s="1478"/>
      <c r="AA68" s="1478"/>
      <c r="AB68" s="1478"/>
      <c r="AC68" s="1478"/>
      <c r="AD68" s="1478"/>
      <c r="AE68" s="1478"/>
      <c r="AF68" s="75"/>
      <c r="AG68" s="75"/>
      <c r="AH68" s="75"/>
      <c r="AI68" s="75"/>
      <c r="AJ68" s="75"/>
      <c r="AK68" s="75"/>
      <c r="AL68" s="75"/>
      <c r="AM68" s="75"/>
      <c r="AN68" s="75"/>
      <c r="AO68" s="75"/>
      <c r="AP68" s="75"/>
      <c r="AQ68" s="75"/>
    </row>
    <row r="69" spans="2:43" outlineLevel="1">
      <c r="B69" s="1480" t="s">
        <v>32</v>
      </c>
      <c r="C69" s="1099" t="s">
        <v>33</v>
      </c>
      <c r="D69" s="1099"/>
      <c r="E69" s="167"/>
      <c r="F69" s="167"/>
      <c r="G69" s="167"/>
      <c r="H69" s="167"/>
      <c r="I69" s="167"/>
      <c r="J69" s="167"/>
      <c r="K69" s="167"/>
      <c r="L69" s="167"/>
      <c r="M69" s="167"/>
      <c r="N69" s="167"/>
      <c r="O69" s="197"/>
      <c r="P69" s="198"/>
      <c r="Q69" s="199"/>
      <c r="R69" s="198"/>
      <c r="S69" s="198"/>
      <c r="T69" s="198"/>
      <c r="U69" s="198"/>
      <c r="V69" s="198"/>
      <c r="W69" s="198"/>
      <c r="X69" s="947"/>
      <c r="Y69" s="1478"/>
      <c r="Z69" s="947"/>
      <c r="AA69" s="1478"/>
      <c r="AB69" s="947"/>
      <c r="AC69" s="1478"/>
      <c r="AD69" s="947"/>
      <c r="AE69" s="1478"/>
      <c r="AF69" s="166">
        <f t="shared" ref="AF69:AQ69" si="14">SUM(AF71:AF72)</f>
        <v>3828934.8</v>
      </c>
      <c r="AG69" s="166">
        <f t="shared" si="14"/>
        <v>3940662</v>
      </c>
      <c r="AH69" s="166">
        <f t="shared" si="14"/>
        <v>4037889</v>
      </c>
      <c r="AI69" s="166">
        <f t="shared" si="14"/>
        <v>4376593</v>
      </c>
      <c r="AJ69" s="166">
        <f t="shared" si="14"/>
        <v>4406611</v>
      </c>
      <c r="AK69" s="166">
        <f t="shared" si="14"/>
        <v>4775773.5999999996</v>
      </c>
      <c r="AL69" s="166">
        <f t="shared" si="14"/>
        <v>5218930</v>
      </c>
      <c r="AM69" s="166">
        <f t="shared" si="14"/>
        <v>5257823</v>
      </c>
      <c r="AN69" s="166">
        <f t="shared" si="14"/>
        <v>5619355</v>
      </c>
      <c r="AO69" s="166">
        <f t="shared" si="14"/>
        <v>6312490</v>
      </c>
      <c r="AP69" s="166">
        <f t="shared" si="14"/>
        <v>6830133</v>
      </c>
      <c r="AQ69" s="166">
        <f t="shared" si="14"/>
        <v>6833180</v>
      </c>
    </row>
    <row r="70" spans="2:43" ht="5.0999999999999996" customHeight="1" outlineLevel="1">
      <c r="B70" s="1478"/>
      <c r="C70" s="1099"/>
      <c r="D70" s="1099"/>
      <c r="E70" s="167"/>
      <c r="F70" s="167"/>
      <c r="G70" s="167"/>
      <c r="H70" s="167"/>
      <c r="I70" s="167"/>
      <c r="J70" s="167"/>
      <c r="K70" s="167"/>
      <c r="L70" s="167"/>
      <c r="M70" s="167"/>
      <c r="N70" s="167"/>
      <c r="O70" s="197"/>
      <c r="P70" s="198"/>
      <c r="Q70" s="199"/>
      <c r="R70" s="198"/>
      <c r="S70" s="198"/>
      <c r="T70" s="198"/>
      <c r="U70" s="198"/>
      <c r="V70" s="198"/>
      <c r="W70" s="198"/>
      <c r="X70" s="1478"/>
      <c r="Y70" s="1478"/>
      <c r="Z70" s="1478"/>
      <c r="AA70" s="1478"/>
      <c r="AB70" s="1478"/>
      <c r="AC70" s="1478"/>
      <c r="AD70" s="1478"/>
      <c r="AE70" s="1478"/>
      <c r="AF70" s="75"/>
      <c r="AG70" s="75"/>
      <c r="AH70" s="75"/>
      <c r="AI70" s="75"/>
      <c r="AJ70" s="75"/>
      <c r="AK70" s="75"/>
      <c r="AL70" s="75"/>
      <c r="AM70" s="75"/>
      <c r="AN70" s="75"/>
      <c r="AO70" s="75"/>
      <c r="AP70" s="75"/>
      <c r="AQ70" s="75"/>
    </row>
    <row r="71" spans="2:43" outlineLevel="1">
      <c r="B71" s="1478"/>
      <c r="C71" s="1099" t="s">
        <v>34</v>
      </c>
      <c r="D71" s="1099"/>
      <c r="E71" s="167"/>
      <c r="F71" s="167"/>
      <c r="G71" s="167"/>
      <c r="H71" s="167"/>
      <c r="I71" s="167"/>
      <c r="J71" s="167"/>
      <c r="K71" s="167"/>
      <c r="L71" s="167"/>
      <c r="M71" s="167"/>
      <c r="N71" s="167"/>
      <c r="O71" s="197"/>
      <c r="P71" s="198"/>
      <c r="Q71" s="199"/>
      <c r="R71" s="198"/>
      <c r="S71" s="198"/>
      <c r="T71" s="198"/>
      <c r="U71" s="198"/>
      <c r="V71" s="198"/>
      <c r="W71" s="198"/>
      <c r="X71" s="947"/>
      <c r="Y71" s="1478"/>
      <c r="Z71" s="947"/>
      <c r="AA71" s="1478"/>
      <c r="AB71" s="947"/>
      <c r="AC71" s="1478"/>
      <c r="AD71" s="947"/>
      <c r="AE71" s="1478"/>
      <c r="AF71" s="166">
        <v>2857503.5</v>
      </c>
      <c r="AG71" s="166">
        <v>3010781</v>
      </c>
      <c r="AH71" s="166">
        <v>3077927</v>
      </c>
      <c r="AI71" s="166">
        <v>3353969</v>
      </c>
      <c r="AJ71" s="166">
        <v>3414342</v>
      </c>
      <c r="AK71" s="166">
        <v>3748164</v>
      </c>
      <c r="AL71" s="166">
        <v>4099741</v>
      </c>
      <c r="AM71" s="166">
        <v>4107273</v>
      </c>
      <c r="AN71" s="166">
        <v>4461713</v>
      </c>
      <c r="AO71" s="166">
        <v>5042361</v>
      </c>
      <c r="AP71" s="166">
        <v>5526275</v>
      </c>
      <c r="AQ71" s="166">
        <v>5521103</v>
      </c>
    </row>
    <row r="72" spans="2:43" outlineLevel="1">
      <c r="B72" s="1478"/>
      <c r="C72" s="1099" t="s">
        <v>35</v>
      </c>
      <c r="D72" s="1099"/>
      <c r="E72" s="167"/>
      <c r="F72" s="167"/>
      <c r="G72" s="167"/>
      <c r="H72" s="167"/>
      <c r="I72" s="167"/>
      <c r="J72" s="167"/>
      <c r="K72" s="167"/>
      <c r="L72" s="167"/>
      <c r="M72" s="167"/>
      <c r="N72" s="167"/>
      <c r="O72" s="197"/>
      <c r="P72" s="198"/>
      <c r="Q72" s="199"/>
      <c r="R72" s="198"/>
      <c r="S72" s="198"/>
      <c r="T72" s="198"/>
      <c r="U72" s="198"/>
      <c r="V72" s="198"/>
      <c r="W72" s="198"/>
      <c r="X72" s="947"/>
      <c r="Y72" s="1478"/>
      <c r="Z72" s="947"/>
      <c r="AA72" s="1478"/>
      <c r="AB72" s="947"/>
      <c r="AC72" s="1478"/>
      <c r="AD72" s="947"/>
      <c r="AE72" s="1478"/>
      <c r="AF72" s="166">
        <v>971431.29999999993</v>
      </c>
      <c r="AG72" s="166">
        <v>929881</v>
      </c>
      <c r="AH72" s="166">
        <v>959962</v>
      </c>
      <c r="AI72" s="166">
        <v>1022624</v>
      </c>
      <c r="AJ72" s="166">
        <v>992269</v>
      </c>
      <c r="AK72" s="166">
        <v>1027609.6</v>
      </c>
      <c r="AL72" s="166">
        <v>1119189</v>
      </c>
      <c r="AM72" s="166">
        <v>1150550</v>
      </c>
      <c r="AN72" s="166">
        <v>1157642</v>
      </c>
      <c r="AO72" s="166">
        <v>1270129</v>
      </c>
      <c r="AP72" s="166">
        <v>1303858</v>
      </c>
      <c r="AQ72" s="166">
        <v>1312077</v>
      </c>
    </row>
    <row r="73" spans="2:43" ht="5.0999999999999996" customHeight="1" outlineLevel="1">
      <c r="B73" s="1478"/>
      <c r="C73" s="1099"/>
      <c r="D73" s="1099"/>
      <c r="E73" s="167"/>
      <c r="F73" s="167"/>
      <c r="G73" s="167"/>
      <c r="H73" s="167"/>
      <c r="I73" s="167"/>
      <c r="J73" s="167"/>
      <c r="K73" s="167"/>
      <c r="L73" s="167"/>
      <c r="M73" s="167"/>
      <c r="N73" s="167"/>
      <c r="O73" s="197"/>
      <c r="P73" s="198"/>
      <c r="Q73" s="199"/>
      <c r="R73" s="198"/>
      <c r="S73" s="198"/>
      <c r="T73" s="198"/>
      <c r="U73" s="198"/>
      <c r="V73" s="198"/>
      <c r="W73" s="198"/>
      <c r="X73" s="947"/>
      <c r="Y73" s="1478"/>
      <c r="Z73" s="947"/>
      <c r="AA73" s="1478"/>
      <c r="AB73" s="947"/>
      <c r="AC73" s="1478"/>
      <c r="AD73" s="947"/>
      <c r="AE73" s="1478"/>
      <c r="AF73" s="166"/>
      <c r="AG73" s="166"/>
      <c r="AH73" s="166"/>
      <c r="AI73" s="166"/>
      <c r="AJ73" s="166"/>
      <c r="AK73" s="166"/>
      <c r="AL73" s="166"/>
      <c r="AM73" s="166"/>
      <c r="AN73" s="166"/>
      <c r="AO73" s="166"/>
      <c r="AP73" s="166"/>
      <c r="AQ73" s="166"/>
    </row>
    <row r="74" spans="2:43" outlineLevel="1">
      <c r="B74" s="1480" t="s">
        <v>36</v>
      </c>
      <c r="C74" s="1099" t="s">
        <v>37</v>
      </c>
      <c r="D74" s="1099"/>
      <c r="E74" s="167"/>
      <c r="F74" s="167"/>
      <c r="G74" s="167"/>
      <c r="H74" s="167"/>
      <c r="I74" s="167"/>
      <c r="J74" s="167"/>
      <c r="K74" s="167"/>
      <c r="L74" s="167"/>
      <c r="M74" s="167"/>
      <c r="N74" s="167"/>
      <c r="O74" s="197"/>
      <c r="P74" s="198"/>
      <c r="Q74" s="199"/>
      <c r="R74" s="198"/>
      <c r="S74" s="198"/>
      <c r="T74" s="198"/>
      <c r="U74" s="198"/>
      <c r="V74" s="198"/>
      <c r="W74" s="198"/>
      <c r="X74" s="947"/>
      <c r="Y74" s="1478"/>
      <c r="Z74" s="947"/>
      <c r="AA74" s="1478"/>
      <c r="AB74" s="947"/>
      <c r="AC74" s="1478"/>
      <c r="AD74" s="947"/>
      <c r="AE74" s="1478"/>
      <c r="AF74" s="166">
        <v>3981126.4</v>
      </c>
      <c r="AG74" s="166">
        <v>4272312</v>
      </c>
      <c r="AH74" s="166">
        <v>4431694</v>
      </c>
      <c r="AI74" s="166">
        <v>4828314</v>
      </c>
      <c r="AJ74" s="166">
        <v>5002824</v>
      </c>
      <c r="AK74" s="166">
        <v>5380637.5999999996</v>
      </c>
      <c r="AL74" s="166">
        <v>5798298</v>
      </c>
      <c r="AM74" s="166">
        <v>5834133</v>
      </c>
      <c r="AN74" s="166">
        <v>6236616</v>
      </c>
      <c r="AO74" s="166">
        <v>6986981</v>
      </c>
      <c r="AP74" s="166">
        <v>7523531</v>
      </c>
      <c r="AQ74" s="166">
        <v>7507035</v>
      </c>
    </row>
    <row r="75" spans="2:43" ht="5.0999999999999996" customHeight="1" outlineLevel="1">
      <c r="B75" s="1478"/>
      <c r="C75" s="1099"/>
      <c r="D75" s="1099"/>
      <c r="E75" s="167"/>
      <c r="F75" s="167"/>
      <c r="G75" s="167"/>
      <c r="H75" s="167"/>
      <c r="I75" s="167"/>
      <c r="J75" s="167"/>
      <c r="K75" s="167"/>
      <c r="L75" s="167"/>
      <c r="M75" s="167"/>
      <c r="N75" s="167"/>
      <c r="O75" s="197"/>
      <c r="P75" s="198"/>
      <c r="Q75" s="199"/>
      <c r="R75" s="198"/>
      <c r="S75" s="198"/>
      <c r="T75" s="198"/>
      <c r="U75" s="198"/>
      <c r="V75" s="198"/>
      <c r="W75" s="198"/>
      <c r="X75" s="947"/>
      <c r="Y75" s="1478"/>
      <c r="Z75" s="947"/>
      <c r="AA75" s="1478"/>
      <c r="AB75" s="947"/>
      <c r="AC75" s="1478"/>
      <c r="AD75" s="947"/>
      <c r="AE75" s="1478"/>
      <c r="AF75" s="166"/>
      <c r="AG75" s="166"/>
      <c r="AH75" s="166"/>
      <c r="AI75" s="166"/>
      <c r="AJ75" s="166"/>
      <c r="AK75" s="166"/>
      <c r="AL75" s="166"/>
      <c r="AM75" s="166"/>
      <c r="AN75" s="166"/>
      <c r="AO75" s="166"/>
      <c r="AP75" s="166"/>
      <c r="AQ75" s="166"/>
    </row>
    <row r="76" spans="2:43" outlineLevel="1">
      <c r="B76" s="1480" t="s">
        <v>38</v>
      </c>
      <c r="C76" s="1099" t="s">
        <v>39</v>
      </c>
      <c r="D76" s="1099"/>
      <c r="E76" s="167"/>
      <c r="F76" s="167"/>
      <c r="G76" s="167"/>
      <c r="H76" s="167"/>
      <c r="I76" s="167"/>
      <c r="J76" s="167"/>
      <c r="K76" s="167"/>
      <c r="L76" s="167"/>
      <c r="M76" s="167"/>
      <c r="N76" s="167"/>
      <c r="O76" s="197"/>
      <c r="P76" s="198"/>
      <c r="Q76" s="199"/>
      <c r="R76" s="198"/>
      <c r="S76" s="198"/>
      <c r="T76" s="198"/>
      <c r="U76" s="198"/>
      <c r="V76" s="198"/>
      <c r="W76" s="198"/>
      <c r="X76" s="947"/>
      <c r="Y76" s="1478"/>
      <c r="Z76" s="947"/>
      <c r="AA76" s="1478"/>
      <c r="AB76" s="947"/>
      <c r="AC76" s="1478"/>
      <c r="AD76" s="947"/>
      <c r="AE76" s="1478"/>
      <c r="AF76" s="166">
        <v>4088655.2</v>
      </c>
      <c r="AG76" s="166">
        <v>4383865</v>
      </c>
      <c r="AH76" s="166">
        <v>4541936</v>
      </c>
      <c r="AI76" s="166">
        <v>4946012</v>
      </c>
      <c r="AJ76" s="166">
        <v>5127520</v>
      </c>
      <c r="AK76" s="166">
        <v>5510886.5999999996</v>
      </c>
      <c r="AL76" s="166">
        <v>5936435</v>
      </c>
      <c r="AM76" s="166">
        <v>5981405</v>
      </c>
      <c r="AN76" s="166">
        <v>6385909</v>
      </c>
      <c r="AO76" s="166">
        <v>7148810</v>
      </c>
      <c r="AP76" s="166">
        <v>7737909</v>
      </c>
      <c r="AQ76" s="166">
        <v>7729927</v>
      </c>
    </row>
    <row r="77" spans="2:43" outlineLevel="1">
      <c r="B77" s="1480"/>
      <c r="C77" s="1099"/>
      <c r="D77" s="1099"/>
      <c r="E77" s="167"/>
      <c r="F77" s="167"/>
      <c r="G77" s="167"/>
      <c r="H77" s="167"/>
      <c r="I77" s="167"/>
      <c r="J77" s="167"/>
      <c r="K77" s="167"/>
      <c r="L77" s="167"/>
      <c r="M77" s="167"/>
      <c r="N77" s="167"/>
      <c r="O77" s="197"/>
      <c r="P77" s="198"/>
      <c r="Q77" s="199"/>
      <c r="R77" s="198"/>
      <c r="S77" s="198"/>
      <c r="T77" s="198"/>
      <c r="U77" s="198"/>
      <c r="V77" s="198"/>
      <c r="W77" s="198"/>
      <c r="X77" s="947"/>
      <c r="Y77" s="1478"/>
      <c r="Z77" s="947"/>
      <c r="AA77" s="1478"/>
      <c r="AB77" s="947"/>
      <c r="AC77" s="1478"/>
      <c r="AD77" s="947"/>
      <c r="AE77" s="1478"/>
      <c r="AF77" s="166"/>
      <c r="AG77" s="166"/>
      <c r="AH77" s="166"/>
      <c r="AI77" s="166"/>
      <c r="AJ77" s="166"/>
      <c r="AK77" s="166"/>
      <c r="AL77" s="166"/>
      <c r="AM77" s="166"/>
      <c r="AN77" s="166"/>
      <c r="AO77" s="166"/>
      <c r="AP77" s="166"/>
      <c r="AQ77" s="166"/>
    </row>
    <row r="78" spans="2:43" outlineLevel="1">
      <c r="B78" s="1099" t="s">
        <v>40</v>
      </c>
      <c r="D78" s="1099"/>
      <c r="E78" s="167"/>
      <c r="F78" s="167"/>
      <c r="G78" s="167"/>
      <c r="H78" s="167"/>
      <c r="I78" s="167"/>
      <c r="J78" s="167"/>
      <c r="K78" s="167"/>
      <c r="L78" s="167"/>
      <c r="M78" s="167"/>
      <c r="N78" s="167"/>
      <c r="O78" s="197"/>
      <c r="P78" s="198"/>
      <c r="Q78" s="199"/>
      <c r="R78" s="198"/>
      <c r="S78" s="198"/>
      <c r="T78" s="198"/>
      <c r="U78" s="198"/>
      <c r="V78" s="198"/>
      <c r="W78" s="198"/>
      <c r="X78" s="947"/>
      <c r="Y78" s="1478"/>
      <c r="Z78" s="947"/>
      <c r="AA78" s="1478"/>
      <c r="AB78" s="947"/>
      <c r="AC78" s="1478"/>
      <c r="AD78" s="947"/>
      <c r="AE78" s="1478"/>
      <c r="AF78" s="166"/>
      <c r="AG78" s="166"/>
      <c r="AH78" s="166"/>
      <c r="AI78" s="166"/>
      <c r="AJ78" s="166"/>
      <c r="AK78" s="166"/>
      <c r="AL78" s="166"/>
      <c r="AM78" s="166"/>
      <c r="AN78" s="166"/>
      <c r="AO78" s="166"/>
      <c r="AP78" s="166"/>
      <c r="AQ78" s="166"/>
    </row>
    <row r="79" spans="2:43" ht="6" customHeight="1" outlineLevel="1">
      <c r="B79" s="1478"/>
      <c r="C79" s="1099"/>
      <c r="D79" s="1099"/>
      <c r="E79" s="167"/>
      <c r="F79" s="167"/>
      <c r="G79" s="167"/>
      <c r="H79" s="167"/>
      <c r="I79" s="167"/>
      <c r="J79" s="167"/>
      <c r="K79" s="167"/>
      <c r="L79" s="167"/>
      <c r="M79" s="167"/>
      <c r="N79" s="167"/>
      <c r="O79" s="197"/>
      <c r="P79" s="198"/>
      <c r="Q79" s="199"/>
      <c r="R79" s="198"/>
      <c r="S79" s="198"/>
      <c r="T79" s="198"/>
      <c r="U79" s="198"/>
      <c r="V79" s="198"/>
      <c r="W79" s="198"/>
      <c r="X79" s="947"/>
      <c r="Y79" s="1478"/>
      <c r="Z79" s="947"/>
      <c r="AA79" s="1478"/>
      <c r="AB79" s="947"/>
      <c r="AC79" s="1478"/>
      <c r="AD79" s="947"/>
      <c r="AE79" s="1478"/>
      <c r="AF79" s="166"/>
      <c r="AG79" s="166"/>
      <c r="AH79" s="166"/>
      <c r="AI79" s="166"/>
      <c r="AJ79" s="166"/>
      <c r="AK79" s="166"/>
      <c r="AL79" s="166"/>
      <c r="AM79" s="166"/>
      <c r="AN79" s="166"/>
      <c r="AO79" s="166"/>
      <c r="AP79" s="166"/>
      <c r="AQ79" s="166"/>
    </row>
    <row r="80" spans="2:43" outlineLevel="1">
      <c r="B80" s="1481" t="s">
        <v>41</v>
      </c>
      <c r="C80" s="1482" t="s">
        <v>42</v>
      </c>
      <c r="D80" s="1482"/>
      <c r="E80" s="167"/>
      <c r="F80" s="167"/>
      <c r="G80" s="167"/>
      <c r="H80" s="167"/>
      <c r="I80" s="167"/>
      <c r="J80" s="167"/>
      <c r="K80" s="167"/>
      <c r="L80" s="167"/>
      <c r="M80" s="167"/>
      <c r="N80" s="167"/>
      <c r="O80" s="197"/>
      <c r="P80" s="198"/>
      <c r="Q80" s="199"/>
      <c r="R80" s="198"/>
      <c r="S80" s="198"/>
      <c r="T80" s="198"/>
      <c r="U80" s="198"/>
      <c r="V80" s="198"/>
      <c r="W80" s="198"/>
      <c r="X80" s="1492"/>
      <c r="Y80" s="1443"/>
      <c r="Z80" s="1492"/>
      <c r="AA80" s="1443"/>
      <c r="AB80" s="1492"/>
      <c r="AC80" s="1443"/>
      <c r="AD80" s="1492"/>
      <c r="AE80" s="1443"/>
      <c r="AF80" s="207">
        <f t="shared" ref="AF80:AQ80" si="15">AF69/AF67</f>
        <v>0.22431263468726775</v>
      </c>
      <c r="AG80" s="207">
        <f t="shared" si="15"/>
        <v>0.22608100487025187</v>
      </c>
      <c r="AH80" s="207">
        <f t="shared" si="15"/>
        <v>0.22291778137822404</v>
      </c>
      <c r="AI80" s="207">
        <f t="shared" si="15"/>
        <v>0.23625259364909951</v>
      </c>
      <c r="AJ80" s="207">
        <f t="shared" si="15"/>
        <v>0.23477962785396048</v>
      </c>
      <c r="AK80" s="207">
        <f t="shared" si="15"/>
        <v>0.24336754297403934</v>
      </c>
      <c r="AL80" s="207">
        <f t="shared" si="15"/>
        <v>0.25559692725351119</v>
      </c>
      <c r="AM80" s="207">
        <f t="shared" si="15"/>
        <v>0.24484159005410214</v>
      </c>
      <c r="AN80" s="207">
        <f t="shared" si="15"/>
        <v>0.24030388327834323</v>
      </c>
      <c r="AO80" s="207">
        <f t="shared" si="15"/>
        <v>0.24871429614242621</v>
      </c>
      <c r="AP80" s="207">
        <f t="shared" si="15"/>
        <v>0.24377157898591428</v>
      </c>
      <c r="AQ80" s="207">
        <f t="shared" si="15"/>
        <v>0.2373384156001066</v>
      </c>
    </row>
    <row r="81" spans="2:43" ht="5.0999999999999996" customHeight="1" outlineLevel="1">
      <c r="B81" s="1478"/>
      <c r="C81" s="1099"/>
      <c r="D81" s="1099"/>
      <c r="E81" s="167"/>
      <c r="F81" s="167"/>
      <c r="G81" s="167"/>
      <c r="H81" s="167"/>
      <c r="I81" s="167"/>
      <c r="J81" s="167"/>
      <c r="K81" s="167"/>
      <c r="L81" s="167"/>
      <c r="M81" s="167"/>
      <c r="N81" s="167"/>
      <c r="O81" s="197"/>
      <c r="P81" s="198"/>
      <c r="Q81" s="199"/>
      <c r="R81" s="198"/>
      <c r="S81" s="198"/>
      <c r="T81" s="198"/>
      <c r="U81" s="198"/>
      <c r="V81" s="198"/>
      <c r="W81" s="198"/>
      <c r="X81" s="947"/>
      <c r="Y81" s="1478"/>
      <c r="Z81" s="947"/>
      <c r="AA81" s="1478"/>
      <c r="AB81" s="947"/>
      <c r="AC81" s="1478"/>
      <c r="AD81" s="947"/>
      <c r="AE81" s="1478"/>
      <c r="AF81" s="166"/>
      <c r="AG81" s="166"/>
      <c r="AH81" s="166"/>
      <c r="AI81" s="166"/>
      <c r="AJ81" s="166"/>
      <c r="AK81" s="166"/>
      <c r="AL81" s="166"/>
      <c r="AM81" s="166"/>
      <c r="AN81" s="166"/>
      <c r="AO81" s="166"/>
      <c r="AP81" s="166"/>
      <c r="AQ81" s="166"/>
    </row>
    <row r="82" spans="2:43" outlineLevel="1">
      <c r="B82" s="1480" t="s">
        <v>43</v>
      </c>
      <c r="C82" s="1099" t="s">
        <v>44</v>
      </c>
      <c r="D82" s="1099"/>
      <c r="E82" s="167"/>
      <c r="F82" s="167"/>
      <c r="G82" s="167"/>
      <c r="H82" s="167"/>
      <c r="I82" s="167"/>
      <c r="J82" s="167"/>
      <c r="K82" s="167"/>
      <c r="L82" s="167"/>
      <c r="M82" s="167"/>
      <c r="N82" s="167"/>
      <c r="O82" s="197"/>
      <c r="P82" s="198"/>
      <c r="Q82" s="199"/>
      <c r="R82" s="198"/>
      <c r="S82" s="198"/>
      <c r="T82" s="198"/>
      <c r="U82" s="198"/>
      <c r="V82" s="198"/>
      <c r="W82" s="198"/>
      <c r="X82" s="935"/>
      <c r="Y82" s="1478"/>
      <c r="Z82" s="935"/>
      <c r="AA82" s="1478"/>
      <c r="AB82" s="935"/>
      <c r="AC82" s="1478"/>
      <c r="AD82" s="935"/>
      <c r="AE82" s="1478"/>
      <c r="AF82" s="208">
        <f t="shared" ref="AF82:AQ82" si="16">AF76/AF67</f>
        <v>0.23952798053385443</v>
      </c>
      <c r="AG82" s="208">
        <f t="shared" si="16"/>
        <v>0.2515081487363105</v>
      </c>
      <c r="AH82" s="208">
        <f t="shared" si="16"/>
        <v>0.25074445986055716</v>
      </c>
      <c r="AI82" s="208">
        <f t="shared" si="16"/>
        <v>0.26699036515837088</v>
      </c>
      <c r="AJ82" s="208">
        <f t="shared" si="16"/>
        <v>0.27318890580850896</v>
      </c>
      <c r="AK82" s="208">
        <f t="shared" si="16"/>
        <v>0.28082799642147138</v>
      </c>
      <c r="AL82" s="208">
        <f t="shared" si="16"/>
        <v>0.29073671132592266</v>
      </c>
      <c r="AM82" s="208">
        <f t="shared" si="16"/>
        <v>0.27853670824551469</v>
      </c>
      <c r="AN82" s="208">
        <f t="shared" si="16"/>
        <v>0.27308449652355504</v>
      </c>
      <c r="AO82" s="208">
        <f t="shared" si="16"/>
        <v>0.28166559430683263</v>
      </c>
      <c r="AP82" s="208">
        <f t="shared" si="16"/>
        <v>0.27617065362846038</v>
      </c>
      <c r="AQ82" s="208">
        <f t="shared" si="16"/>
        <v>0.26848533580038653</v>
      </c>
    </row>
    <row r="83" spans="2:43" ht="5.0999999999999996" customHeight="1" outlineLevel="1">
      <c r="B83" s="1478"/>
      <c r="C83" s="1099"/>
      <c r="D83" s="1099"/>
      <c r="E83" s="167"/>
      <c r="F83" s="167"/>
      <c r="G83" s="167"/>
      <c r="H83" s="167"/>
      <c r="I83" s="167"/>
      <c r="J83" s="167"/>
      <c r="K83" s="167"/>
      <c r="L83" s="167"/>
      <c r="M83" s="167"/>
      <c r="N83" s="167"/>
      <c r="O83" s="197"/>
      <c r="P83" s="198"/>
      <c r="Q83" s="199"/>
      <c r="R83" s="198"/>
      <c r="S83" s="198"/>
      <c r="T83" s="198"/>
      <c r="U83" s="198"/>
      <c r="V83" s="198"/>
      <c r="W83" s="198"/>
      <c r="X83" s="947"/>
      <c r="Y83" s="1478"/>
      <c r="Z83" s="947"/>
      <c r="AA83" s="1478"/>
      <c r="AB83" s="947"/>
      <c r="AC83" s="1478"/>
      <c r="AD83" s="947"/>
      <c r="AE83" s="1478"/>
      <c r="AF83" s="166"/>
      <c r="AG83" s="166"/>
      <c r="AH83" s="166"/>
      <c r="AI83" s="166"/>
      <c r="AJ83" s="166"/>
      <c r="AK83" s="166"/>
      <c r="AL83" s="166"/>
      <c r="AM83" s="166"/>
      <c r="AN83" s="166"/>
      <c r="AO83" s="166"/>
      <c r="AP83" s="166"/>
      <c r="AQ83" s="166"/>
    </row>
    <row r="84" spans="2:43" outlineLevel="1">
      <c r="B84" s="1480" t="s">
        <v>45</v>
      </c>
      <c r="C84" s="1099" t="s">
        <v>46</v>
      </c>
      <c r="D84" s="1099"/>
      <c r="E84" s="167"/>
      <c r="F84" s="167"/>
      <c r="G84" s="167"/>
      <c r="H84" s="167"/>
      <c r="I84" s="167"/>
      <c r="J84" s="167"/>
      <c r="K84" s="167"/>
      <c r="L84" s="167"/>
      <c r="M84" s="167"/>
      <c r="N84" s="167"/>
      <c r="O84" s="197"/>
      <c r="P84" s="198"/>
      <c r="Q84" s="199"/>
      <c r="R84" s="198"/>
      <c r="S84" s="198"/>
      <c r="T84" s="198"/>
      <c r="U84" s="198"/>
      <c r="V84" s="198"/>
      <c r="W84" s="198"/>
      <c r="X84" s="935"/>
      <c r="Y84" s="1478"/>
      <c r="Z84" s="935"/>
      <c r="AA84" s="1478"/>
      <c r="AB84" s="935"/>
      <c r="AC84" s="1478"/>
      <c r="AD84" s="935"/>
      <c r="AE84" s="1478"/>
      <c r="AF84" s="208">
        <f t="shared" ref="AF84:AQ84" si="17">AF76/AF65</f>
        <v>0.28812273301785851</v>
      </c>
      <c r="AG84" s="208">
        <f t="shared" si="17"/>
        <v>0.30261126915167591</v>
      </c>
      <c r="AH84" s="208">
        <f t="shared" si="17"/>
        <v>0.30070154752253719</v>
      </c>
      <c r="AI84" s="208">
        <f t="shared" si="17"/>
        <v>0.31700939726122745</v>
      </c>
      <c r="AJ84" s="208">
        <f t="shared" si="17"/>
        <v>0.32352506743207782</v>
      </c>
      <c r="AK84" s="208">
        <f t="shared" si="17"/>
        <v>0.33511236194193306</v>
      </c>
      <c r="AL84" s="208">
        <f t="shared" si="17"/>
        <v>0.34599628116222686</v>
      </c>
      <c r="AM84" s="208">
        <f t="shared" si="17"/>
        <v>0.32970967558786712</v>
      </c>
      <c r="AN84" s="208">
        <f t="shared" si="17"/>
        <v>0.32447687520556379</v>
      </c>
      <c r="AO84" s="208">
        <f t="shared" si="17"/>
        <v>0.33447637242241302</v>
      </c>
      <c r="AP84" s="208">
        <f t="shared" si="17"/>
        <v>0.32972604761158653</v>
      </c>
      <c r="AQ84" s="208">
        <f t="shared" si="17"/>
        <v>0.3241499485695396</v>
      </c>
    </row>
    <row r="85" spans="2:43" ht="5.0999999999999996" customHeight="1" outlineLevel="1">
      <c r="B85" s="1445"/>
      <c r="C85" s="1445"/>
      <c r="D85" s="1445"/>
      <c r="E85" s="562"/>
      <c r="F85" s="562"/>
      <c r="G85" s="562"/>
      <c r="H85" s="562"/>
      <c r="I85" s="562"/>
      <c r="J85" s="562"/>
      <c r="K85" s="562"/>
      <c r="L85" s="562"/>
      <c r="M85" s="562"/>
      <c r="N85" s="562"/>
      <c r="O85" s="561"/>
      <c r="P85" s="194"/>
      <c r="Q85" s="194"/>
      <c r="R85" s="194"/>
      <c r="S85" s="194"/>
      <c r="T85" s="194"/>
      <c r="U85" s="194"/>
      <c r="V85" s="194"/>
      <c r="W85" s="194"/>
      <c r="X85" s="1475"/>
      <c r="Y85" s="1475"/>
      <c r="Z85" s="1475"/>
      <c r="AA85" s="1475"/>
      <c r="AB85" s="1475"/>
      <c r="AC85" s="1475"/>
      <c r="AD85" s="1475"/>
      <c r="AE85" s="1475"/>
      <c r="AF85" s="1475"/>
      <c r="AG85" s="1475"/>
      <c r="AH85" s="1475"/>
      <c r="AI85" s="1475"/>
      <c r="AJ85" s="1475"/>
      <c r="AK85" s="1475"/>
      <c r="AL85" s="1475"/>
      <c r="AM85" s="1475"/>
      <c r="AN85" s="1475"/>
      <c r="AO85" s="1475"/>
      <c r="AP85" s="1475"/>
      <c r="AQ85" s="1475"/>
    </row>
    <row r="86" spans="2:43" ht="6" customHeight="1" outlineLevel="1">
      <c r="B86" s="1099"/>
      <c r="C86" s="1099"/>
      <c r="D86" s="1099"/>
      <c r="E86" s="167"/>
      <c r="F86" s="167"/>
      <c r="G86" s="167"/>
      <c r="H86" s="167"/>
      <c r="I86" s="167"/>
      <c r="J86" s="167"/>
      <c r="K86" s="167"/>
      <c r="L86" s="167"/>
      <c r="M86" s="167"/>
      <c r="N86" s="167"/>
      <c r="O86" s="197"/>
      <c r="P86" s="198"/>
      <c r="Q86" s="199"/>
      <c r="R86" s="198"/>
      <c r="S86" s="198"/>
      <c r="T86" s="198"/>
      <c r="U86" s="198"/>
      <c r="V86" s="198"/>
      <c r="W86" s="198"/>
      <c r="X86" s="1478"/>
      <c r="Y86" s="1478"/>
      <c r="Z86" s="1478"/>
      <c r="AA86" s="1478"/>
      <c r="AB86" s="1478"/>
      <c r="AC86" s="1478"/>
      <c r="AD86" s="1478"/>
      <c r="AE86" s="1478"/>
      <c r="AF86" s="1478"/>
      <c r="AG86" s="1090"/>
      <c r="AK86" s="1079"/>
      <c r="AL86" s="1079"/>
      <c r="AP86" s="1096"/>
    </row>
    <row r="87" spans="2:43" ht="30" customHeight="1" outlineLevel="1">
      <c r="B87" s="1970" t="s">
        <v>47</v>
      </c>
      <c r="C87" s="1976"/>
      <c r="D87" s="1976"/>
      <c r="E87" s="1976"/>
      <c r="F87" s="1976"/>
      <c r="G87" s="1976"/>
      <c r="H87" s="1976"/>
      <c r="I87" s="1976"/>
      <c r="J87" s="1976"/>
      <c r="K87" s="1976"/>
      <c r="L87" s="1976"/>
      <c r="M87" s="1976"/>
      <c r="N87" s="1976"/>
      <c r="O87" s="1976"/>
      <c r="P87" s="1976"/>
      <c r="Q87" s="1976"/>
      <c r="R87" s="1976"/>
      <c r="S87" s="1976"/>
      <c r="T87" s="1976"/>
      <c r="U87" s="1976"/>
      <c r="V87" s="1976"/>
      <c r="W87" s="1976"/>
      <c r="X87" s="1976"/>
      <c r="Y87" s="1976"/>
      <c r="Z87" s="1976"/>
      <c r="AA87" s="1976"/>
      <c r="AB87" s="1976"/>
      <c r="AC87" s="1976"/>
      <c r="AD87" s="1976"/>
      <c r="AE87" s="1976"/>
      <c r="AF87" s="1976"/>
      <c r="AG87" s="1090"/>
      <c r="AK87" s="1079"/>
      <c r="AL87" s="1079"/>
    </row>
    <row r="88" spans="2:43" ht="10.5" customHeight="1">
      <c r="R88" s="1084"/>
      <c r="S88" s="1084"/>
      <c r="T88" s="1084"/>
      <c r="U88" s="1084"/>
      <c r="V88" s="1084"/>
      <c r="W88" s="1084"/>
      <c r="X88" s="1090"/>
      <c r="Y88" s="1090"/>
      <c r="Z88" s="1090"/>
      <c r="AA88" s="1090"/>
      <c r="AB88" s="1090"/>
      <c r="AC88" s="1090"/>
      <c r="AD88" s="1090"/>
      <c r="AE88" s="1090"/>
      <c r="AF88" s="1090"/>
      <c r="AG88" s="1090"/>
      <c r="AK88" s="1491"/>
      <c r="AL88" s="1491"/>
    </row>
    <row r="89" spans="2:43" ht="18" customHeight="1">
      <c r="R89" s="1084"/>
      <c r="S89" s="1084"/>
      <c r="T89" s="1084"/>
      <c r="U89" s="1084"/>
      <c r="V89" s="1084"/>
      <c r="W89" s="1084"/>
      <c r="X89" s="1090"/>
      <c r="Y89" s="1090"/>
      <c r="Z89" s="1090"/>
      <c r="AA89" s="1090"/>
      <c r="AB89" s="1090"/>
      <c r="AC89" s="1090"/>
      <c r="AD89" s="1090"/>
      <c r="AE89" s="1090"/>
      <c r="AF89" s="1090"/>
      <c r="AG89" s="1090"/>
      <c r="AK89" s="1491"/>
      <c r="AL89" s="1491"/>
    </row>
    <row r="90" spans="2:43">
      <c r="B90" s="1444" t="s">
        <v>444</v>
      </c>
      <c r="C90" s="1443"/>
      <c r="D90" s="1443"/>
      <c r="E90" s="1443"/>
      <c r="F90" s="1443"/>
      <c r="G90" s="1443"/>
      <c r="H90" s="1443"/>
      <c r="I90" s="1443"/>
      <c r="J90" s="1443"/>
      <c r="K90" s="1443"/>
      <c r="L90" s="1443"/>
      <c r="M90" s="1443"/>
      <c r="N90" s="1443"/>
      <c r="O90" s="1443"/>
      <c r="P90" s="1443"/>
      <c r="Q90" s="1443"/>
      <c r="R90" s="1443"/>
      <c r="S90" s="1443"/>
      <c r="T90" s="1443"/>
      <c r="U90" s="1443"/>
      <c r="V90" s="1443"/>
      <c r="W90" s="1443"/>
      <c r="X90" s="1443"/>
      <c r="Y90" s="1443"/>
      <c r="Z90" s="1443"/>
      <c r="AA90" s="1443"/>
      <c r="AB90" s="1443"/>
      <c r="AC90" s="1443"/>
      <c r="AD90" s="1443"/>
      <c r="AE90" s="1443"/>
      <c r="AF90" s="1443"/>
      <c r="AG90" s="1090"/>
      <c r="AK90" s="1491"/>
      <c r="AL90" s="1491"/>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6"/>
      <c r="AG91" s="1090"/>
      <c r="AK91" s="1491"/>
      <c r="AL91" s="1491"/>
    </row>
    <row r="92" spans="2:43">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196"/>
      <c r="AF92" s="211">
        <v>2009</v>
      </c>
      <c r="AG92" s="1082">
        <v>2010</v>
      </c>
      <c r="AH92" s="1082">
        <v>2011</v>
      </c>
      <c r="AI92" s="1082">
        <v>2012</v>
      </c>
      <c r="AJ92" s="1082">
        <v>2013</v>
      </c>
      <c r="AK92" s="1082">
        <v>2014</v>
      </c>
      <c r="AL92" s="1082">
        <v>2015</v>
      </c>
      <c r="AM92" s="1082">
        <v>2016</v>
      </c>
      <c r="AN92" s="1082">
        <v>2017</v>
      </c>
      <c r="AO92" s="1082">
        <v>2018</v>
      </c>
      <c r="AP92" s="1082">
        <v>2019</v>
      </c>
      <c r="AQ92" s="1082">
        <v>2020</v>
      </c>
    </row>
    <row r="93" spans="2:43">
      <c r="B93" s="1099"/>
      <c r="C93" s="1099"/>
      <c r="D93" s="1099"/>
      <c r="E93" s="1099"/>
      <c r="F93" s="1099"/>
      <c r="G93" s="1099"/>
      <c r="H93" s="1099"/>
      <c r="I93" s="1099"/>
      <c r="J93" s="1099"/>
      <c r="K93" s="1099"/>
      <c r="L93" s="1099"/>
      <c r="M93" s="1099"/>
      <c r="N93" s="1099"/>
      <c r="O93" s="1099"/>
      <c r="P93" s="1099"/>
      <c r="Q93" s="1099"/>
      <c r="R93" s="1100"/>
      <c r="S93" s="1100"/>
      <c r="T93" s="1100"/>
      <c r="U93" s="1100"/>
      <c r="V93" s="1100"/>
      <c r="W93" s="1100"/>
      <c r="X93" s="1101"/>
      <c r="Y93" s="1101"/>
      <c r="Z93" s="1101"/>
      <c r="AA93" s="1101"/>
      <c r="AB93" s="1101"/>
      <c r="AC93" s="1101"/>
      <c r="AD93" s="1101"/>
      <c r="AE93" s="1101"/>
      <c r="AF93" s="1101"/>
      <c r="AG93" s="1090"/>
    </row>
    <row r="94" spans="2:43" s="1102" customFormat="1">
      <c r="B94" s="1102" t="s">
        <v>49</v>
      </c>
      <c r="P94" s="1103">
        <f t="shared" ref="P94:V94" si="18">SUM(P96:P103)</f>
        <v>0</v>
      </c>
      <c r="Q94" s="1103">
        <f t="shared" si="18"/>
        <v>0</v>
      </c>
      <c r="R94" s="1103">
        <f t="shared" si="18"/>
        <v>0</v>
      </c>
      <c r="S94" s="1103">
        <f t="shared" si="18"/>
        <v>0</v>
      </c>
      <c r="T94" s="1103">
        <f t="shared" si="18"/>
        <v>0</v>
      </c>
      <c r="U94" s="1103">
        <f t="shared" si="18"/>
        <v>0</v>
      </c>
      <c r="V94" s="1103">
        <f t="shared" si="18"/>
        <v>0</v>
      </c>
      <c r="W94" s="1103"/>
      <c r="X94" s="1104">
        <v>0</v>
      </c>
      <c r="Y94" s="1104"/>
      <c r="Z94" s="1104">
        <v>0</v>
      </c>
      <c r="AA94" s="1104"/>
      <c r="AB94" s="1104">
        <v>0</v>
      </c>
      <c r="AC94" s="1104"/>
      <c r="AD94" s="1104">
        <v>0</v>
      </c>
      <c r="AE94" s="1104"/>
      <c r="AF94" s="1104">
        <v>0</v>
      </c>
      <c r="AG94" s="1104">
        <v>509054.10000000003</v>
      </c>
      <c r="AH94" s="1104">
        <v>522319.60000000003</v>
      </c>
      <c r="AI94" s="1104">
        <v>192003.3</v>
      </c>
      <c r="AJ94" s="1104">
        <v>194577.1</v>
      </c>
      <c r="AK94" s="1493">
        <v>237160.9</v>
      </c>
      <c r="AL94" s="1493">
        <v>246204.9878</v>
      </c>
      <c r="AM94" s="1104">
        <v>274054.5</v>
      </c>
      <c r="AN94" s="1104">
        <v>301200.40000000002</v>
      </c>
      <c r="AO94" s="1104">
        <v>330422.2</v>
      </c>
      <c r="AP94" s="1104">
        <v>399201.4</v>
      </c>
      <c r="AQ94" s="1104">
        <v>490895.63099999999</v>
      </c>
    </row>
    <row r="95" spans="2:43">
      <c r="R95" s="1084"/>
      <c r="S95" s="1084"/>
      <c r="T95" s="1084"/>
      <c r="U95" s="1084"/>
      <c r="V95" s="1084"/>
      <c r="W95" s="1084"/>
      <c r="X95" s="1085"/>
      <c r="Y95" s="1085"/>
      <c r="Z95" s="1085"/>
      <c r="AA95" s="1085"/>
      <c r="AB95" s="1085"/>
      <c r="AC95" s="1085"/>
      <c r="AD95" s="1105"/>
      <c r="AE95" s="1085"/>
      <c r="AF95" s="1105"/>
      <c r="AG95" s="1085"/>
      <c r="AH95" s="1085"/>
      <c r="AI95" s="1085"/>
      <c r="AJ95" s="1085"/>
      <c r="AK95" s="1489"/>
      <c r="AL95" s="1489"/>
      <c r="AM95" s="1085"/>
      <c r="AN95" s="1085"/>
      <c r="AO95" s="1085"/>
      <c r="AP95" s="1085"/>
      <c r="AQ95" s="1085"/>
    </row>
    <row r="96" spans="2:43">
      <c r="C96" s="369" t="s">
        <v>1525</v>
      </c>
      <c r="R96" s="1084"/>
      <c r="S96" s="1084"/>
      <c r="T96" s="1084"/>
      <c r="U96" s="1084"/>
      <c r="V96" s="1084"/>
      <c r="W96" s="1084"/>
      <c r="X96" s="1085"/>
      <c r="Y96" s="1085"/>
      <c r="Z96" s="1085"/>
      <c r="AA96" s="1085"/>
      <c r="AB96" s="1085"/>
      <c r="AC96" s="1085"/>
      <c r="AD96" s="1105"/>
      <c r="AE96" s="1085"/>
      <c r="AF96" s="1105"/>
      <c r="AG96" s="1085">
        <v>484137.6</v>
      </c>
      <c r="AH96" s="1085">
        <v>335022.7</v>
      </c>
      <c r="AI96" s="1085">
        <v>0</v>
      </c>
      <c r="AJ96" s="1085">
        <v>0</v>
      </c>
      <c r="AK96" s="1085">
        <v>0</v>
      </c>
      <c r="AL96" s="1085">
        <v>0</v>
      </c>
      <c r="AM96" s="1085">
        <v>0</v>
      </c>
      <c r="AN96" s="1085">
        <v>0</v>
      </c>
      <c r="AO96" s="1085">
        <v>0</v>
      </c>
      <c r="AP96" s="1085">
        <v>0</v>
      </c>
      <c r="AQ96" s="1085">
        <v>0</v>
      </c>
    </row>
    <row r="97" spans="2:43">
      <c r="C97" s="369" t="s">
        <v>1526</v>
      </c>
      <c r="R97" s="1084"/>
      <c r="S97" s="1084"/>
      <c r="T97" s="1084"/>
      <c r="U97" s="1084"/>
      <c r="V97" s="1084"/>
      <c r="W97" s="1084"/>
      <c r="X97" s="1085"/>
      <c r="Y97" s="1085"/>
      <c r="Z97" s="1085"/>
      <c r="AA97" s="1085"/>
      <c r="AB97" s="1085"/>
      <c r="AC97" s="1085"/>
      <c r="AD97" s="1105"/>
      <c r="AE97" s="1085"/>
      <c r="AF97" s="1105"/>
      <c r="AG97" s="1085">
        <v>9354.2000000000007</v>
      </c>
      <c r="AH97" s="1085">
        <v>3879</v>
      </c>
      <c r="AI97" s="1085">
        <v>3094</v>
      </c>
      <c r="AJ97" s="1085">
        <v>2583</v>
      </c>
      <c r="AK97" s="1489">
        <v>2254</v>
      </c>
      <c r="AL97" s="1489">
        <v>1890</v>
      </c>
      <c r="AM97" s="1085">
        <v>0</v>
      </c>
      <c r="AN97" s="1085">
        <v>0</v>
      </c>
      <c r="AO97" s="1085">
        <v>0</v>
      </c>
      <c r="AP97" s="1085">
        <v>0</v>
      </c>
      <c r="AQ97" s="1085">
        <v>0</v>
      </c>
    </row>
    <row r="98" spans="2:43">
      <c r="B98" s="369" t="s">
        <v>375</v>
      </c>
      <c r="X98" s="1086"/>
      <c r="Y98" s="1086"/>
      <c r="Z98" s="1086"/>
      <c r="AA98" s="1086"/>
      <c r="AB98" s="1086"/>
      <c r="AC98" s="1086"/>
      <c r="AD98" s="1086"/>
      <c r="AE98" s="1086"/>
      <c r="AF98" s="1086"/>
      <c r="AG98" s="1085"/>
      <c r="AH98" s="1085"/>
      <c r="AI98" s="1085"/>
      <c r="AJ98" s="1085"/>
      <c r="AK98" s="1489"/>
      <c r="AL98" s="1489"/>
      <c r="AM98" s="1085"/>
      <c r="AN98" s="1085"/>
      <c r="AO98" s="1085"/>
      <c r="AP98" s="1085"/>
      <c r="AQ98" s="1085"/>
    </row>
    <row r="99" spans="2:43">
      <c r="C99" s="369" t="s">
        <v>1527</v>
      </c>
      <c r="R99" s="1084"/>
      <c r="S99" s="1084"/>
      <c r="T99" s="1084"/>
      <c r="U99" s="1084"/>
      <c r="V99" s="1084"/>
      <c r="W99" s="1084"/>
      <c r="X99" s="1085"/>
      <c r="Y99" s="1085"/>
      <c r="Z99" s="1085"/>
      <c r="AA99" s="1085"/>
      <c r="AB99" s="1085"/>
      <c r="AC99" s="1085"/>
      <c r="AD99" s="1105"/>
      <c r="AE99" s="1085"/>
      <c r="AF99" s="1105"/>
      <c r="AG99" s="1085">
        <v>12563.7</v>
      </c>
      <c r="AH99" s="1085">
        <v>180190</v>
      </c>
      <c r="AI99" s="1085">
        <v>184171.4</v>
      </c>
      <c r="AJ99" s="1085">
        <v>185313</v>
      </c>
      <c r="AK99" s="1489">
        <v>190293.1</v>
      </c>
      <c r="AL99" s="1489">
        <v>194982.39999999999</v>
      </c>
      <c r="AM99" s="1085">
        <v>211482.6</v>
      </c>
      <c r="AN99" s="1085">
        <v>231801</v>
      </c>
      <c r="AO99" s="1085">
        <v>253832.5</v>
      </c>
      <c r="AP99" s="1085">
        <v>274586.40000000002</v>
      </c>
      <c r="AQ99" s="1085">
        <v>272636.59999999998</v>
      </c>
    </row>
    <row r="100" spans="2:43">
      <c r="C100" s="369" t="s">
        <v>1671</v>
      </c>
      <c r="R100" s="1084"/>
      <c r="S100" s="1084"/>
      <c r="T100" s="1084"/>
      <c r="U100" s="1084"/>
      <c r="V100" s="1084"/>
      <c r="W100" s="1084"/>
      <c r="X100" s="1085"/>
      <c r="Y100" s="1085"/>
      <c r="Z100" s="1085"/>
      <c r="AA100" s="1085"/>
      <c r="AB100" s="1085"/>
      <c r="AC100" s="1085"/>
      <c r="AD100" s="1105"/>
      <c r="AE100" s="1085"/>
      <c r="AF100" s="1105"/>
      <c r="AG100" s="1085"/>
      <c r="AH100" s="1085"/>
      <c r="AI100" s="1085"/>
      <c r="AJ100" s="1085"/>
      <c r="AK100" s="1489" t="s">
        <v>269</v>
      </c>
      <c r="AL100" s="1489" t="s">
        <v>269</v>
      </c>
      <c r="AM100" s="1489" t="s">
        <v>269</v>
      </c>
      <c r="AN100" s="1489" t="s">
        <v>269</v>
      </c>
      <c r="AO100" s="1489" t="s">
        <v>269</v>
      </c>
      <c r="AP100" s="1489" t="s">
        <v>269</v>
      </c>
      <c r="AQ100" s="1085">
        <v>21453.4</v>
      </c>
    </row>
    <row r="101" spans="2:43">
      <c r="C101" s="369" t="s">
        <v>1528</v>
      </c>
      <c r="R101" s="1084"/>
      <c r="S101" s="1084"/>
      <c r="T101" s="1084"/>
      <c r="U101" s="1084"/>
      <c r="V101" s="1084"/>
      <c r="W101" s="1084"/>
      <c r="X101" s="1085"/>
      <c r="Y101" s="1085"/>
      <c r="Z101" s="1085"/>
      <c r="AA101" s="1085"/>
      <c r="AB101" s="1085"/>
      <c r="AC101" s="1085"/>
      <c r="AD101" s="1105"/>
      <c r="AE101" s="1085"/>
      <c r="AF101" s="1105"/>
      <c r="AG101" s="1085"/>
      <c r="AH101" s="1085"/>
      <c r="AI101" s="1085"/>
      <c r="AJ101" s="1085"/>
      <c r="AK101" s="1489">
        <v>35955</v>
      </c>
      <c r="AL101" s="1489">
        <v>39240</v>
      </c>
      <c r="AM101" s="1085">
        <v>50485</v>
      </c>
      <c r="AN101" s="1085">
        <v>53691</v>
      </c>
      <c r="AO101" s="1085">
        <v>56295</v>
      </c>
      <c r="AP101" s="1085">
        <v>57395.7</v>
      </c>
      <c r="AQ101" s="1085">
        <v>59418.6</v>
      </c>
    </row>
    <row r="102" spans="2:43">
      <c r="R102" s="1084"/>
      <c r="S102" s="1084"/>
      <c r="T102" s="1084"/>
      <c r="U102" s="1084"/>
      <c r="V102" s="1084"/>
      <c r="W102" s="1084"/>
      <c r="X102" s="1085"/>
      <c r="Y102" s="1085"/>
      <c r="Z102" s="1085"/>
      <c r="AA102" s="1085"/>
      <c r="AB102" s="1085"/>
      <c r="AC102" s="1085"/>
      <c r="AD102" s="1105"/>
      <c r="AE102" s="1085"/>
      <c r="AF102" s="1105"/>
      <c r="AG102" s="1085"/>
      <c r="AH102" s="1085"/>
      <c r="AI102" s="1085"/>
      <c r="AJ102" s="1085"/>
      <c r="AK102" s="1489"/>
      <c r="AL102" s="1489"/>
      <c r="AM102" s="1085"/>
      <c r="AN102" s="1085"/>
      <c r="AO102" s="1085"/>
      <c r="AP102" s="1085"/>
      <c r="AQ102" s="1085"/>
    </row>
    <row r="103" spans="2:43">
      <c r="B103" s="369" t="s">
        <v>393</v>
      </c>
      <c r="R103" s="1084"/>
      <c r="S103" s="1084"/>
      <c r="T103" s="1084"/>
      <c r="U103" s="1084"/>
      <c r="V103" s="1084"/>
      <c r="W103" s="1084"/>
      <c r="X103" s="1085"/>
      <c r="Y103" s="1085"/>
      <c r="Z103" s="1085"/>
      <c r="AA103" s="1085"/>
      <c r="AB103" s="1085"/>
      <c r="AC103" s="1085"/>
      <c r="AD103" s="1105"/>
      <c r="AE103" s="1085"/>
      <c r="AF103" s="1105"/>
      <c r="AG103" s="1085"/>
      <c r="AH103" s="1085"/>
      <c r="AI103" s="1085"/>
      <c r="AJ103" s="1085"/>
      <c r="AK103" s="1489"/>
      <c r="AL103" s="1489"/>
      <c r="AM103" s="1085"/>
      <c r="AN103" s="1085"/>
      <c r="AO103" s="1085"/>
      <c r="AP103" s="1085"/>
      <c r="AQ103" s="1085"/>
    </row>
    <row r="104" spans="2:43">
      <c r="C104" s="369" t="s">
        <v>1529</v>
      </c>
      <c r="R104" s="1084"/>
      <c r="S104" s="1084"/>
      <c r="T104" s="1084"/>
      <c r="U104" s="1084"/>
      <c r="V104" s="1084"/>
      <c r="W104" s="1084"/>
      <c r="X104" s="1085"/>
      <c r="Y104" s="1085"/>
      <c r="Z104" s="1085"/>
      <c r="AA104" s="1085"/>
      <c r="AB104" s="1085"/>
      <c r="AC104" s="1085"/>
      <c r="AD104" s="1105"/>
      <c r="AE104" s="1085"/>
      <c r="AF104" s="1105"/>
      <c r="AG104" s="1085">
        <v>2901.7</v>
      </c>
      <c r="AH104" s="1085">
        <v>3136.5</v>
      </c>
      <c r="AI104" s="1085">
        <v>4651</v>
      </c>
      <c r="AJ104" s="1085">
        <v>6568</v>
      </c>
      <c r="AK104" s="1489">
        <v>8546</v>
      </c>
      <c r="AL104" s="1489">
        <v>10009</v>
      </c>
      <c r="AM104" s="1085">
        <v>11990</v>
      </c>
      <c r="AN104" s="1085">
        <v>15610</v>
      </c>
      <c r="AO104" s="1085">
        <v>20196</v>
      </c>
      <c r="AP104" s="1085">
        <v>24081.200000000001</v>
      </c>
      <c r="AQ104" s="1085">
        <v>26740.2</v>
      </c>
    </row>
    <row r="105" spans="2:43" s="1102" customFormat="1">
      <c r="C105" s="369" t="s">
        <v>1530</v>
      </c>
      <c r="P105" s="1103">
        <f t="shared" ref="P105:V105" si="19">SUM(P111:P113)</f>
        <v>0</v>
      </c>
      <c r="Q105" s="1103">
        <f t="shared" si="19"/>
        <v>0</v>
      </c>
      <c r="R105" s="1103">
        <f t="shared" si="19"/>
        <v>0</v>
      </c>
      <c r="S105" s="1103">
        <f t="shared" si="19"/>
        <v>0</v>
      </c>
      <c r="T105" s="1103">
        <f t="shared" si="19"/>
        <v>0</v>
      </c>
      <c r="U105" s="1103">
        <f t="shared" si="19"/>
        <v>0</v>
      </c>
      <c r="V105" s="1103">
        <f t="shared" si="19"/>
        <v>0</v>
      </c>
      <c r="W105" s="1103"/>
      <c r="X105" s="1104"/>
      <c r="Y105" s="1104"/>
      <c r="Z105" s="1104"/>
      <c r="AA105" s="1104"/>
      <c r="AB105" s="1104"/>
      <c r="AC105" s="1104"/>
      <c r="AD105" s="1104"/>
      <c r="AE105" s="1104"/>
      <c r="AF105" s="1104"/>
      <c r="AG105" s="1085">
        <v>96.9</v>
      </c>
      <c r="AH105" s="1085">
        <v>91.4</v>
      </c>
      <c r="AI105" s="1085">
        <v>86.9</v>
      </c>
      <c r="AJ105" s="1085">
        <v>113.1</v>
      </c>
      <c r="AK105" s="1489">
        <v>112.8</v>
      </c>
      <c r="AL105" s="1489">
        <v>83.587800000000001</v>
      </c>
      <c r="AM105" s="1085">
        <v>96.9</v>
      </c>
      <c r="AN105" s="1085">
        <v>98.4</v>
      </c>
      <c r="AO105" s="1085">
        <v>98.7</v>
      </c>
      <c r="AP105" s="1085">
        <v>77.099999999999994</v>
      </c>
      <c r="AQ105" s="1085">
        <v>64.8</v>
      </c>
    </row>
    <row r="106" spans="2:43" s="1102" customFormat="1">
      <c r="C106" s="369" t="s">
        <v>1672</v>
      </c>
      <c r="P106" s="1103"/>
      <c r="Q106" s="1103"/>
      <c r="R106" s="1103"/>
      <c r="S106" s="1103"/>
      <c r="T106" s="1103"/>
      <c r="U106" s="1103"/>
      <c r="V106" s="1103"/>
      <c r="W106" s="1103"/>
      <c r="X106" s="1104"/>
      <c r="Y106" s="1104"/>
      <c r="Z106" s="1104"/>
      <c r="AA106" s="1104"/>
      <c r="AB106" s="1104"/>
      <c r="AC106" s="1104"/>
      <c r="AD106" s="1104"/>
      <c r="AE106" s="1104"/>
      <c r="AF106" s="1104"/>
      <c r="AG106" s="1085">
        <v>0</v>
      </c>
      <c r="AH106" s="1085">
        <v>0</v>
      </c>
      <c r="AI106" s="1085">
        <v>0</v>
      </c>
      <c r="AJ106" s="1085">
        <v>0</v>
      </c>
      <c r="AK106" s="1489">
        <v>0</v>
      </c>
      <c r="AL106" s="1489">
        <v>0</v>
      </c>
      <c r="AM106" s="1085">
        <v>0</v>
      </c>
      <c r="AN106" s="1085">
        <v>0</v>
      </c>
      <c r="AO106" s="1085">
        <v>0</v>
      </c>
      <c r="AP106" s="1085">
        <v>43061</v>
      </c>
      <c r="AQ106" s="1085">
        <v>63879</v>
      </c>
    </row>
    <row r="107" spans="2:43" s="1102" customFormat="1">
      <c r="C107" s="369" t="s">
        <v>1673</v>
      </c>
      <c r="P107" s="1103"/>
      <c r="Q107" s="1103"/>
      <c r="R107" s="1103"/>
      <c r="S107" s="1103"/>
      <c r="T107" s="1103"/>
      <c r="U107" s="1103"/>
      <c r="V107" s="1103"/>
      <c r="W107" s="1103"/>
      <c r="X107" s="1104"/>
      <c r="Y107" s="1104"/>
      <c r="Z107" s="1104"/>
      <c r="AA107" s="1104"/>
      <c r="AB107" s="1104"/>
      <c r="AC107" s="1104"/>
      <c r="AD107" s="1104"/>
      <c r="AE107" s="1104"/>
      <c r="AF107" s="1104"/>
      <c r="AG107" s="1085"/>
      <c r="AH107" s="1085"/>
      <c r="AI107" s="1085"/>
      <c r="AJ107" s="1085"/>
      <c r="AK107" s="1489"/>
      <c r="AL107" s="1489"/>
      <c r="AM107" s="1085"/>
      <c r="AN107" s="1085"/>
      <c r="AO107" s="1085"/>
      <c r="AP107" s="1085"/>
      <c r="AQ107" s="1085"/>
    </row>
    <row r="108" spans="2:43" s="1102" customFormat="1">
      <c r="C108" s="1494" t="s">
        <v>1674</v>
      </c>
      <c r="P108" s="1103"/>
      <c r="Q108" s="1103"/>
      <c r="R108" s="1103"/>
      <c r="S108" s="1103"/>
      <c r="T108" s="1103"/>
      <c r="U108" s="1103"/>
      <c r="V108" s="1103"/>
      <c r="W108" s="1103"/>
      <c r="X108" s="1104"/>
      <c r="Y108" s="1104"/>
      <c r="Z108" s="1104"/>
      <c r="AA108" s="1104"/>
      <c r="AB108" s="1104"/>
      <c r="AC108" s="1104"/>
      <c r="AD108" s="1104"/>
      <c r="AE108" s="1104"/>
      <c r="AF108" s="1104"/>
      <c r="AG108" s="1085"/>
      <c r="AH108" s="1085"/>
      <c r="AI108" s="1085"/>
      <c r="AJ108" s="1085"/>
      <c r="AK108" s="1489"/>
      <c r="AL108" s="1489"/>
      <c r="AM108" s="1085"/>
      <c r="AN108" s="1085"/>
      <c r="AO108" s="1085"/>
      <c r="AP108" s="1085"/>
      <c r="AQ108" s="1085">
        <v>21187.856</v>
      </c>
    </row>
    <row r="109" spans="2:43" s="1102" customFormat="1">
      <c r="C109" s="1494" t="s">
        <v>1675</v>
      </c>
      <c r="P109" s="1103"/>
      <c r="Q109" s="1103"/>
      <c r="R109" s="1103"/>
      <c r="S109" s="1103"/>
      <c r="T109" s="1103"/>
      <c r="U109" s="1103"/>
      <c r="V109" s="1103"/>
      <c r="W109" s="1103"/>
      <c r="X109" s="1104"/>
      <c r="Y109" s="1104"/>
      <c r="Z109" s="1104"/>
      <c r="AA109" s="1104"/>
      <c r="AB109" s="1104"/>
      <c r="AC109" s="1104"/>
      <c r="AD109" s="1104"/>
      <c r="AE109" s="1104"/>
      <c r="AF109" s="1104"/>
      <c r="AG109" s="1085"/>
      <c r="AH109" s="1085"/>
      <c r="AI109" s="1085"/>
      <c r="AJ109" s="1085"/>
      <c r="AK109" s="1489"/>
      <c r="AL109" s="1489"/>
      <c r="AM109" s="1085"/>
      <c r="AN109" s="1085"/>
      <c r="AO109" s="1085"/>
      <c r="AP109" s="1085"/>
      <c r="AQ109" s="1085">
        <v>25515.174999999999</v>
      </c>
    </row>
    <row r="110" spans="2:43">
      <c r="R110" s="1084"/>
      <c r="S110" s="1084"/>
      <c r="T110" s="1084"/>
      <c r="U110" s="1084"/>
      <c r="V110" s="1084"/>
      <c r="W110" s="1084"/>
      <c r="X110" s="1085"/>
      <c r="Y110" s="1085"/>
      <c r="Z110" s="1085"/>
      <c r="AA110" s="1085"/>
      <c r="AB110" s="1085"/>
      <c r="AC110" s="1085"/>
      <c r="AD110" s="1105"/>
      <c r="AE110" s="1085"/>
      <c r="AF110" s="1105"/>
      <c r="AG110" s="1085"/>
      <c r="AH110" s="1085"/>
      <c r="AI110" s="1085"/>
      <c r="AJ110" s="1085"/>
      <c r="AK110" s="1489"/>
      <c r="AL110" s="1489"/>
      <c r="AM110" s="1085"/>
      <c r="AN110" s="1085"/>
      <c r="AO110" s="1085"/>
      <c r="AP110" s="1085"/>
      <c r="AQ110" s="1085"/>
    </row>
    <row r="111" spans="2:43">
      <c r="B111" s="1102" t="s">
        <v>78</v>
      </c>
      <c r="X111" s="1085">
        <v>0</v>
      </c>
      <c r="Y111" s="1085"/>
      <c r="Z111" s="1085">
        <v>0</v>
      </c>
      <c r="AA111" s="1085"/>
      <c r="AB111" s="1085">
        <v>0</v>
      </c>
      <c r="AC111" s="1085"/>
      <c r="AD111" s="1105">
        <v>0</v>
      </c>
      <c r="AE111" s="1085"/>
      <c r="AF111" s="1105">
        <v>0</v>
      </c>
      <c r="AG111" s="1493">
        <v>16218.3</v>
      </c>
      <c r="AH111" s="1493">
        <v>19696.7</v>
      </c>
      <c r="AI111" s="1104">
        <v>150939.5</v>
      </c>
      <c r="AJ111" s="1104">
        <v>168668.79999999999</v>
      </c>
      <c r="AK111" s="1493">
        <v>142947.642391</v>
      </c>
      <c r="AL111" s="1493">
        <v>140576.20000000001</v>
      </c>
      <c r="AM111" s="1104">
        <v>147575.6</v>
      </c>
      <c r="AN111" s="1104">
        <v>117283.7</v>
      </c>
      <c r="AO111" s="1104">
        <v>107032.2</v>
      </c>
      <c r="AP111" s="1104">
        <v>178159.5</v>
      </c>
      <c r="AQ111" s="1104">
        <v>232870.7</v>
      </c>
    </row>
    <row r="112" spans="2:43">
      <c r="X112" s="1085"/>
      <c r="Y112" s="1085"/>
      <c r="Z112" s="1085"/>
      <c r="AA112" s="1085"/>
      <c r="AB112" s="1085"/>
      <c r="AC112" s="1085"/>
      <c r="AD112" s="1105"/>
      <c r="AE112" s="1085"/>
      <c r="AF112" s="1105"/>
      <c r="AG112" s="1489"/>
      <c r="AH112" s="1489"/>
      <c r="AI112" s="1085"/>
      <c r="AJ112" s="1085"/>
      <c r="AK112" s="1489"/>
      <c r="AL112" s="1489"/>
      <c r="AM112" s="1085"/>
      <c r="AN112" s="1085"/>
      <c r="AO112" s="1085"/>
      <c r="AP112" s="1085"/>
      <c r="AQ112" s="1085"/>
    </row>
    <row r="113" spans="2:43">
      <c r="C113" s="369" t="s">
        <v>1531</v>
      </c>
      <c r="X113" s="1085"/>
      <c r="Y113" s="1085"/>
      <c r="Z113" s="1085"/>
      <c r="AA113" s="1085"/>
      <c r="AB113" s="1085"/>
      <c r="AC113" s="1085"/>
      <c r="AD113" s="1105"/>
      <c r="AE113" s="1085"/>
      <c r="AF113" s="1105"/>
      <c r="AG113" s="1489">
        <v>3263.2</v>
      </c>
      <c r="AH113" s="1489">
        <v>2290.8000000000002</v>
      </c>
      <c r="AI113" s="1085">
        <v>2408</v>
      </c>
      <c r="AJ113" s="1085">
        <v>2678</v>
      </c>
      <c r="AK113" s="1489">
        <v>3282</v>
      </c>
      <c r="AL113" s="1085">
        <v>3777</v>
      </c>
      <c r="AM113" s="1085">
        <v>4353</v>
      </c>
      <c r="AN113" s="1085">
        <v>5596</v>
      </c>
      <c r="AO113" s="1085">
        <v>6542</v>
      </c>
      <c r="AP113" s="1085">
        <v>8927.2000000000007</v>
      </c>
      <c r="AQ113" s="1085">
        <v>9455.2000000000007</v>
      </c>
    </row>
    <row r="114" spans="2:43">
      <c r="C114" s="369" t="s">
        <v>1532</v>
      </c>
      <c r="X114" s="1085"/>
      <c r="Y114" s="1085"/>
      <c r="Z114" s="1085"/>
      <c r="AA114" s="1085"/>
      <c r="AB114" s="1085"/>
      <c r="AC114" s="1085"/>
      <c r="AD114" s="1105"/>
      <c r="AE114" s="1085"/>
      <c r="AF114" s="1105"/>
      <c r="AG114" s="1489">
        <v>89.1</v>
      </c>
      <c r="AH114" s="1489">
        <v>59.9</v>
      </c>
      <c r="AI114" s="1085">
        <v>42</v>
      </c>
      <c r="AJ114" s="1085">
        <v>36.6</v>
      </c>
      <c r="AK114" s="1489">
        <v>44.6</v>
      </c>
      <c r="AL114" s="1085">
        <v>44.2</v>
      </c>
      <c r="AM114" s="1085">
        <v>44.7</v>
      </c>
      <c r="AN114" s="1085">
        <v>38.5</v>
      </c>
      <c r="AO114" s="1085">
        <v>38.9</v>
      </c>
      <c r="AP114" s="1085">
        <v>30.3</v>
      </c>
      <c r="AQ114" s="1085">
        <v>25.5</v>
      </c>
    </row>
    <row r="115" spans="2:43">
      <c r="C115" s="369" t="s">
        <v>1533</v>
      </c>
      <c r="X115" s="1085"/>
      <c r="Y115" s="1085"/>
      <c r="Z115" s="1085"/>
      <c r="AA115" s="1085"/>
      <c r="AB115" s="1085"/>
      <c r="AC115" s="1085"/>
      <c r="AD115" s="1105"/>
      <c r="AE115" s="1085"/>
      <c r="AF115" s="1105"/>
      <c r="AG115" s="1489">
        <v>12866</v>
      </c>
      <c r="AH115" s="1489">
        <v>17346</v>
      </c>
      <c r="AI115" s="1085">
        <v>23446.6</v>
      </c>
      <c r="AJ115" s="1085">
        <v>11488</v>
      </c>
      <c r="AK115" s="1489">
        <v>254.54239100000001</v>
      </c>
      <c r="AL115" s="1489">
        <v>0</v>
      </c>
      <c r="AM115" s="1085">
        <v>0</v>
      </c>
      <c r="AN115" s="1085">
        <v>0</v>
      </c>
      <c r="AO115" s="1085">
        <v>0</v>
      </c>
      <c r="AP115" s="1085">
        <v>0</v>
      </c>
      <c r="AQ115" s="1085">
        <v>0</v>
      </c>
    </row>
    <row r="116" spans="2:43">
      <c r="C116" s="369" t="s">
        <v>445</v>
      </c>
      <c r="X116" s="1085"/>
      <c r="Y116" s="1085"/>
      <c r="Z116" s="1085"/>
      <c r="AA116" s="1085"/>
      <c r="AB116" s="1085"/>
      <c r="AC116" s="1085"/>
      <c r="AD116" s="1105"/>
      <c r="AE116" s="1085"/>
      <c r="AF116" s="1105"/>
      <c r="AG116" s="1489"/>
      <c r="AH116" s="1489"/>
      <c r="AI116" s="1085">
        <v>125042.9</v>
      </c>
      <c r="AJ116" s="1085">
        <v>38345.199999999997</v>
      </c>
      <c r="AK116" s="1085">
        <v>0.6</v>
      </c>
      <c r="AL116" s="1085">
        <v>0</v>
      </c>
      <c r="AM116" s="1085">
        <v>0</v>
      </c>
      <c r="AN116" s="1085">
        <v>0</v>
      </c>
      <c r="AO116" s="1085">
        <v>0</v>
      </c>
      <c r="AP116" s="1085">
        <v>0</v>
      </c>
      <c r="AQ116" s="1085">
        <v>0</v>
      </c>
    </row>
    <row r="117" spans="2:43">
      <c r="C117" s="369" t="s">
        <v>1676</v>
      </c>
      <c r="X117" s="1085"/>
      <c r="Y117" s="1085"/>
      <c r="Z117" s="1085"/>
      <c r="AA117" s="1085"/>
      <c r="AB117" s="1085"/>
      <c r="AC117" s="1085"/>
      <c r="AD117" s="1105"/>
      <c r="AE117" s="1085"/>
      <c r="AF117" s="1105"/>
      <c r="AG117" s="1489"/>
      <c r="AH117" s="1489"/>
      <c r="AI117" s="1085"/>
      <c r="AJ117" s="1085">
        <v>116121</v>
      </c>
      <c r="AK117" s="1085">
        <v>139365.9</v>
      </c>
      <c r="AL117" s="1085">
        <v>136755</v>
      </c>
      <c r="AM117" s="1085">
        <v>143177.9</v>
      </c>
      <c r="AN117" s="1085">
        <v>111649.2</v>
      </c>
      <c r="AO117" s="1085">
        <v>100451.3</v>
      </c>
      <c r="AP117" s="1085">
        <v>108160.1</v>
      </c>
      <c r="AQ117" s="1085">
        <v>115968</v>
      </c>
    </row>
    <row r="118" spans="2:43">
      <c r="C118" s="369" t="s">
        <v>1677</v>
      </c>
      <c r="X118" s="1085"/>
      <c r="Y118" s="1085"/>
      <c r="Z118" s="1085"/>
      <c r="AA118" s="1085"/>
      <c r="AB118" s="1085"/>
      <c r="AC118" s="1085"/>
      <c r="AD118" s="1105"/>
      <c r="AE118" s="1085"/>
      <c r="AF118" s="1105"/>
      <c r="AG118" s="1489">
        <v>0</v>
      </c>
      <c r="AH118" s="1489">
        <v>0</v>
      </c>
      <c r="AI118" s="1085">
        <v>0</v>
      </c>
      <c r="AJ118" s="1085">
        <v>0</v>
      </c>
      <c r="AK118" s="1085">
        <v>0</v>
      </c>
      <c r="AL118" s="1085">
        <v>0</v>
      </c>
      <c r="AM118" s="1085">
        <v>0</v>
      </c>
      <c r="AN118" s="1085">
        <v>0</v>
      </c>
      <c r="AO118" s="1085">
        <v>0</v>
      </c>
      <c r="AP118" s="1085">
        <v>61041.9</v>
      </c>
      <c r="AQ118" s="1085">
        <v>81522</v>
      </c>
    </row>
    <row r="119" spans="2:43">
      <c r="C119" s="369" t="s">
        <v>1673</v>
      </c>
      <c r="X119" s="1085"/>
      <c r="Y119" s="1085"/>
      <c r="Z119" s="1085"/>
      <c r="AA119" s="1085"/>
      <c r="AB119" s="1085"/>
      <c r="AC119" s="1085"/>
      <c r="AD119" s="1105"/>
      <c r="AE119" s="1085"/>
      <c r="AF119" s="1105"/>
      <c r="AG119" s="1489">
        <v>0</v>
      </c>
      <c r="AH119" s="1489">
        <v>0</v>
      </c>
      <c r="AI119" s="1085">
        <v>0</v>
      </c>
      <c r="AJ119" s="1085">
        <v>0</v>
      </c>
      <c r="AK119" s="1085">
        <v>0</v>
      </c>
      <c r="AL119" s="1085">
        <v>0</v>
      </c>
      <c r="AM119" s="1085">
        <v>0</v>
      </c>
      <c r="AN119" s="1085">
        <v>0</v>
      </c>
      <c r="AO119" s="1085">
        <v>0</v>
      </c>
      <c r="AP119" s="1085">
        <v>0</v>
      </c>
      <c r="AQ119" s="1085">
        <v>25900</v>
      </c>
    </row>
    <row r="120" spans="2:43">
      <c r="AD120" s="1114"/>
      <c r="AF120" s="1114"/>
      <c r="AG120" s="1085"/>
      <c r="AH120" s="1085"/>
      <c r="AI120" s="1085"/>
      <c r="AJ120" s="1085"/>
      <c r="AK120" s="1085"/>
      <c r="AL120" s="1085"/>
      <c r="AM120" s="1085"/>
      <c r="AN120" s="1085"/>
      <c r="AO120" s="1085"/>
      <c r="AP120" s="1085"/>
      <c r="AQ120" s="1085"/>
    </row>
    <row r="121" spans="2:43">
      <c r="AD121" s="1114"/>
      <c r="AF121" s="1114"/>
      <c r="AG121" s="1085"/>
      <c r="AH121" s="1085"/>
      <c r="AI121" s="1085"/>
      <c r="AJ121" s="1085"/>
      <c r="AK121" s="1085"/>
      <c r="AL121" s="1085"/>
      <c r="AM121" s="1085"/>
      <c r="AN121" s="1085"/>
      <c r="AO121" s="1085"/>
      <c r="AP121" s="1085"/>
      <c r="AQ121" s="1085"/>
    </row>
    <row r="122" spans="2:43">
      <c r="P122" s="1103">
        <f t="shared" ref="P122:V122" si="20">SUM(P124:P124)</f>
        <v>0</v>
      </c>
      <c r="Q122" s="1103">
        <f t="shared" si="20"/>
        <v>0</v>
      </c>
      <c r="R122" s="1103">
        <f t="shared" si="20"/>
        <v>0</v>
      </c>
      <c r="S122" s="1103">
        <f t="shared" si="20"/>
        <v>0</v>
      </c>
      <c r="T122" s="1103">
        <f t="shared" si="20"/>
        <v>0</v>
      </c>
      <c r="U122" s="1103">
        <f t="shared" si="20"/>
        <v>0</v>
      </c>
      <c r="V122" s="1103">
        <f t="shared" si="20"/>
        <v>0</v>
      </c>
      <c r="W122" s="1084"/>
      <c r="X122" s="1104"/>
      <c r="Y122" s="1104"/>
      <c r="Z122" s="1104"/>
      <c r="AA122" s="1104"/>
      <c r="AB122" s="1113"/>
      <c r="AC122" s="1104"/>
      <c r="AD122" s="1104"/>
      <c r="AE122" s="1104"/>
      <c r="AF122" s="1104"/>
      <c r="AG122" s="1104"/>
      <c r="AH122" s="1104"/>
      <c r="AI122" s="1104"/>
      <c r="AJ122" s="1104"/>
      <c r="AK122" s="1104"/>
      <c r="AL122" s="1104"/>
      <c r="AM122" s="1085"/>
      <c r="AN122" s="1085"/>
      <c r="AO122" s="1085"/>
      <c r="AP122" s="1085"/>
      <c r="AQ122" s="1085"/>
    </row>
    <row r="123" spans="2:43" ht="13.5">
      <c r="B123" s="1112" t="s">
        <v>446</v>
      </c>
      <c r="R123" s="1084"/>
      <c r="S123" s="1084"/>
      <c r="T123" s="1084"/>
      <c r="U123" s="1084"/>
      <c r="V123" s="1084"/>
      <c r="W123" s="1084"/>
      <c r="X123" s="1085"/>
      <c r="Y123" s="1085"/>
      <c r="Z123" s="1085"/>
      <c r="AA123" s="1085"/>
      <c r="AB123" s="1105"/>
      <c r="AC123" s="1085"/>
      <c r="AD123" s="1105"/>
      <c r="AE123" s="1085"/>
      <c r="AF123" s="1105"/>
      <c r="AG123" s="1085"/>
      <c r="AH123" s="1085"/>
      <c r="AI123" s="1085"/>
      <c r="AJ123" s="1085"/>
      <c r="AK123" s="1085"/>
      <c r="AL123" s="1085"/>
      <c r="AM123" s="1085"/>
      <c r="AN123" s="1085"/>
      <c r="AO123" s="1085"/>
      <c r="AP123" s="1085"/>
      <c r="AQ123" s="1085"/>
    </row>
    <row r="124" spans="2:43">
      <c r="B124" s="217" t="s">
        <v>447</v>
      </c>
      <c r="R124" s="1084"/>
      <c r="S124" s="1084"/>
      <c r="T124" s="1084"/>
      <c r="U124" s="1084"/>
      <c r="V124" s="1084"/>
      <c r="W124" s="1084"/>
      <c r="X124" s="1085">
        <v>0</v>
      </c>
      <c r="Y124" s="1085"/>
      <c r="Z124" s="1085">
        <v>0</v>
      </c>
      <c r="AA124" s="1085"/>
      <c r="AB124" s="1105">
        <v>0</v>
      </c>
      <c r="AC124" s="1085"/>
      <c r="AD124" s="1105">
        <v>0</v>
      </c>
      <c r="AE124" s="1085"/>
      <c r="AF124" s="1105">
        <v>0</v>
      </c>
      <c r="AG124" s="1104">
        <v>9985.1</v>
      </c>
      <c r="AH124" s="1104">
        <v>7544.8</v>
      </c>
      <c r="AI124" s="1104">
        <v>7476</v>
      </c>
      <c r="AJ124" s="1104">
        <v>7752</v>
      </c>
      <c r="AK124" s="1104">
        <v>11154</v>
      </c>
      <c r="AL124" s="1104">
        <v>14748</v>
      </c>
      <c r="AM124" s="1104">
        <v>18524</v>
      </c>
      <c r="AN124" s="1104">
        <v>23050</v>
      </c>
      <c r="AO124" s="1104">
        <v>26090</v>
      </c>
      <c r="AP124" s="1104">
        <v>35067</v>
      </c>
      <c r="AQ124" s="1104">
        <v>37664.800000000003</v>
      </c>
    </row>
    <row r="125" spans="2:43" ht="15">
      <c r="B125" s="545"/>
      <c r="E125" s="1081"/>
      <c r="F125" s="1081"/>
      <c r="G125" s="1081"/>
      <c r="H125" s="1081"/>
      <c r="I125" s="1081"/>
      <c r="J125" s="1081"/>
      <c r="K125" s="1081"/>
      <c r="L125" s="1081"/>
      <c r="M125" s="1081"/>
      <c r="N125" s="1081"/>
      <c r="O125" s="1081"/>
      <c r="P125" s="1081"/>
      <c r="Q125" s="1081"/>
      <c r="R125" s="1081"/>
      <c r="S125" s="1081"/>
      <c r="T125" s="1081"/>
      <c r="U125" s="1081"/>
      <c r="V125" s="1081"/>
      <c r="W125" s="1081"/>
      <c r="X125" s="1115"/>
      <c r="Y125" s="1115"/>
      <c r="Z125" s="1115"/>
      <c r="AA125" s="1115"/>
      <c r="AB125" s="1115"/>
      <c r="AC125" s="1115"/>
      <c r="AD125" s="1115"/>
      <c r="AE125" s="1115"/>
      <c r="AF125" s="1115"/>
      <c r="AG125" s="1495"/>
      <c r="AH125" s="1495"/>
      <c r="AI125" s="1495"/>
      <c r="AJ125" s="1495"/>
      <c r="AK125" s="1495"/>
      <c r="AL125" s="1495"/>
      <c r="AM125" s="1495"/>
      <c r="AN125" s="1495"/>
      <c r="AO125" s="1495"/>
      <c r="AP125" s="1495"/>
      <c r="AQ125" s="1495"/>
    </row>
    <row r="126" spans="2:43">
      <c r="C126" s="369" t="s">
        <v>1534</v>
      </c>
      <c r="AG126" s="1085">
        <v>9985.1</v>
      </c>
      <c r="AH126" s="1085">
        <v>7544.8</v>
      </c>
      <c r="AI126" s="1085">
        <v>7476</v>
      </c>
      <c r="AJ126" s="1085">
        <v>7752</v>
      </c>
      <c r="AK126" s="1085">
        <v>11154</v>
      </c>
      <c r="AL126" s="1085">
        <v>14748</v>
      </c>
      <c r="AM126" s="1085">
        <v>18524</v>
      </c>
      <c r="AN126" s="1085">
        <v>23050</v>
      </c>
      <c r="AO126" s="1085">
        <v>26090</v>
      </c>
      <c r="AP126" s="1085">
        <v>35067</v>
      </c>
      <c r="AQ126" s="1085">
        <v>37664.800000000003</v>
      </c>
    </row>
    <row r="127" spans="2:43" ht="18.75" customHeight="1">
      <c r="B127" s="1496"/>
      <c r="C127" s="1496"/>
      <c r="D127" s="1496"/>
      <c r="E127" s="1496"/>
      <c r="F127" s="1496"/>
      <c r="G127" s="1496"/>
      <c r="H127" s="1496"/>
      <c r="I127" s="1496"/>
      <c r="J127" s="1496"/>
      <c r="K127" s="1496"/>
      <c r="L127" s="1496"/>
      <c r="M127" s="1496"/>
      <c r="N127" s="1496"/>
      <c r="O127" s="1496"/>
      <c r="P127" s="1496"/>
      <c r="Q127" s="1496"/>
      <c r="R127" s="1496"/>
      <c r="S127" s="1496"/>
      <c r="T127" s="1496"/>
      <c r="U127" s="1496"/>
      <c r="V127" s="1496"/>
      <c r="W127" s="1496"/>
      <c r="X127" s="1496"/>
      <c r="Y127" s="1496"/>
      <c r="Z127" s="1496"/>
      <c r="AA127" s="1496"/>
      <c r="AB127" s="1496"/>
      <c r="AC127" s="1496"/>
      <c r="AD127" s="1496"/>
      <c r="AE127" s="1496"/>
      <c r="AF127" s="1496"/>
      <c r="AG127" s="1497"/>
      <c r="AH127" s="1115"/>
      <c r="AI127" s="1115"/>
      <c r="AJ127" s="1115"/>
      <c r="AK127" s="1081"/>
      <c r="AL127" s="1081"/>
      <c r="AM127" s="1081"/>
      <c r="AN127" s="1081"/>
      <c r="AO127" s="1081"/>
      <c r="AP127" s="1081"/>
      <c r="AQ127" s="1081"/>
    </row>
    <row r="128" spans="2:43">
      <c r="C128" s="369" t="s">
        <v>1678</v>
      </c>
    </row>
    <row r="137" spans="2:2">
      <c r="B137" s="1099"/>
    </row>
    <row r="140" spans="2:2">
      <c r="B140" s="1117"/>
    </row>
  </sheetData>
  <mergeCells count="4">
    <mergeCell ref="B49:Z49"/>
    <mergeCell ref="B55:Z55"/>
    <mergeCell ref="B87:AF87"/>
    <mergeCell ref="B15:AQ15"/>
  </mergeCells>
  <pageMargins left="0.70866141732283472" right="0.70866141732283472" top="0.74803149606299213" bottom="0.74803149606299213" header="0.31496062992125984" footer="0.31496062992125984"/>
  <pageSetup paperSize="9" scale="5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O238"/>
  <sheetViews>
    <sheetView topLeftCell="B15" zoomScale="80" zoomScaleNormal="80" workbookViewId="0">
      <selection activeCell="B15" sqref="B15:AR185"/>
    </sheetView>
  </sheetViews>
  <sheetFormatPr defaultColWidth="7.109375" defaultRowHeight="12.75" outlineLevelRow="1"/>
  <cols>
    <col min="1" max="1" width="10.109375" style="311" hidden="1" customWidth="1"/>
    <col min="2" max="2" width="2.21875" style="311" customWidth="1"/>
    <col min="3" max="3" width="68.44140625" style="311" customWidth="1"/>
    <col min="4" max="14" width="1.77734375" style="311" hidden="1" customWidth="1"/>
    <col min="15" max="15" width="5.44140625" style="311" hidden="1" customWidth="1"/>
    <col min="16" max="17" width="6" style="311" hidden="1" customWidth="1"/>
    <col min="18" max="20" width="6" style="312" hidden="1" customWidth="1"/>
    <col min="21" max="21" width="7.109375" style="312" hidden="1" customWidth="1"/>
    <col min="22" max="22" width="7.109375" style="311" hidden="1" customWidth="1"/>
    <col min="23" max="23" width="6.5546875" style="311" hidden="1" customWidth="1"/>
    <col min="24" max="24" width="10.109375" style="848" customWidth="1"/>
    <col min="25" max="25" width="1.44140625" style="848" customWidth="1"/>
    <col min="26" max="26" width="8.77734375" style="848" customWidth="1"/>
    <col min="27" max="27" width="1.44140625" style="848" customWidth="1"/>
    <col min="28" max="28" width="8.6640625" style="848" customWidth="1"/>
    <col min="29" max="29" width="1.109375" style="848" customWidth="1"/>
    <col min="30" max="30" width="7.33203125" style="848" customWidth="1"/>
    <col min="31" max="31" width="1.44140625" style="848" customWidth="1"/>
    <col min="32" max="32" width="7.33203125" style="848" customWidth="1"/>
    <col min="33" max="38" width="7.33203125" style="311" customWidth="1"/>
    <col min="39" max="39" width="7.33203125" style="313" customWidth="1"/>
    <col min="40" max="44" width="7.33203125" style="311" customWidth="1"/>
    <col min="45" max="45" width="14.109375" style="311" bestFit="1" customWidth="1"/>
    <col min="46" max="46" width="14.77734375" style="311" bestFit="1" customWidth="1"/>
    <col min="47" max="67" width="3.5546875" style="311" customWidth="1"/>
    <col min="68" max="16384" width="7.109375" style="311"/>
  </cols>
  <sheetData>
    <row r="1" spans="1:67" ht="18" hidden="1" customHeight="1" outlineLevel="1">
      <c r="B1" s="217" t="s">
        <v>1316</v>
      </c>
    </row>
    <row r="2" spans="1:67" ht="18" hidden="1" customHeight="1" outlineLevel="1">
      <c r="W2" s="311" t="s">
        <v>1317</v>
      </c>
    </row>
    <row r="3" spans="1:67" ht="18" hidden="1" customHeight="1" outlineLevel="1"/>
    <row r="4" spans="1:67" ht="18" hidden="1" customHeight="1" outlineLevel="1">
      <c r="B4" s="311" t="s">
        <v>1318</v>
      </c>
      <c r="C4" s="849"/>
      <c r="O4" s="311">
        <v>1992</v>
      </c>
      <c r="P4" s="311">
        <v>1993</v>
      </c>
      <c r="Q4" s="311">
        <v>1994</v>
      </c>
      <c r="R4" s="312">
        <v>1995</v>
      </c>
      <c r="S4" s="312">
        <v>1996</v>
      </c>
      <c r="T4" s="312">
        <v>1997</v>
      </c>
      <c r="U4" s="312">
        <v>1998</v>
      </c>
      <c r="V4" s="311">
        <v>1999</v>
      </c>
      <c r="W4" s="311">
        <v>2000</v>
      </c>
      <c r="X4" s="307">
        <v>2001</v>
      </c>
      <c r="Y4" s="307"/>
      <c r="Z4" s="307">
        <v>2003</v>
      </c>
      <c r="AA4" s="307"/>
      <c r="AB4" s="307">
        <v>2005</v>
      </c>
      <c r="AC4" s="307"/>
      <c r="AD4" s="307">
        <v>2007</v>
      </c>
      <c r="AE4" s="307"/>
      <c r="AF4" s="307">
        <v>2009</v>
      </c>
      <c r="AG4" s="307">
        <v>2010</v>
      </c>
      <c r="AH4" s="307">
        <v>2011</v>
      </c>
      <c r="AI4" s="307">
        <v>2012</v>
      </c>
      <c r="AJ4" s="307">
        <v>2013</v>
      </c>
      <c r="AK4" s="307">
        <v>2014</v>
      </c>
      <c r="AL4" s="307">
        <v>2015</v>
      </c>
      <c r="AM4" s="307">
        <v>2016</v>
      </c>
      <c r="AN4" s="307">
        <v>2017</v>
      </c>
      <c r="AO4" s="307">
        <v>2018</v>
      </c>
      <c r="AP4" s="307">
        <v>2019</v>
      </c>
      <c r="AQ4" s="307">
        <v>2020</v>
      </c>
      <c r="AR4" s="307">
        <v>2021</v>
      </c>
    </row>
    <row r="5" spans="1:67" ht="18" hidden="1" customHeight="1" outlineLevel="1">
      <c r="X5" s="850"/>
      <c r="Y5" s="850"/>
      <c r="Z5" s="850"/>
      <c r="AA5" s="850"/>
      <c r="AB5" s="850"/>
      <c r="AC5" s="850"/>
      <c r="AD5" s="850"/>
      <c r="AE5" s="850"/>
      <c r="AF5" s="850"/>
      <c r="AG5" s="312"/>
      <c r="AH5" s="312"/>
      <c r="AI5" s="312"/>
      <c r="AM5" s="311"/>
    </row>
    <row r="6" spans="1:67" ht="18" hidden="1" customHeight="1" outlineLevel="1">
      <c r="A6" s="311" t="s">
        <v>2</v>
      </c>
      <c r="B6" s="311" t="s">
        <v>3</v>
      </c>
      <c r="P6" s="851">
        <f t="shared" ref="P6:U6" si="0">P92</f>
        <v>0</v>
      </c>
      <c r="Q6" s="851">
        <f t="shared" si="0"/>
        <v>0</v>
      </c>
      <c r="R6" s="851">
        <f t="shared" si="0"/>
        <v>0</v>
      </c>
      <c r="S6" s="851">
        <f t="shared" si="0"/>
        <v>0</v>
      </c>
      <c r="T6" s="851">
        <f t="shared" si="0"/>
        <v>0</v>
      </c>
      <c r="U6" s="851">
        <f t="shared" si="0"/>
        <v>0</v>
      </c>
      <c r="V6" s="851">
        <f>V92</f>
        <v>0</v>
      </c>
      <c r="W6" s="851">
        <f>W92</f>
        <v>0</v>
      </c>
      <c r="X6" s="852">
        <f>X92</f>
        <v>2389</v>
      </c>
      <c r="Y6" s="853"/>
      <c r="Z6" s="852">
        <f>Z92</f>
        <v>1728</v>
      </c>
      <c r="AA6" s="853"/>
      <c r="AB6" s="852">
        <f>AB92</f>
        <v>3306</v>
      </c>
      <c r="AC6" s="853"/>
      <c r="AD6" s="852">
        <f>AD92</f>
        <v>3896</v>
      </c>
      <c r="AE6" s="853"/>
      <c r="AF6" s="852">
        <f t="shared" ref="AF6:AL6" si="1">AF92</f>
        <v>4510</v>
      </c>
      <c r="AG6" s="852">
        <f t="shared" si="1"/>
        <v>4533</v>
      </c>
      <c r="AH6" s="852">
        <f t="shared" si="1"/>
        <v>4877</v>
      </c>
      <c r="AI6" s="852">
        <f t="shared" si="1"/>
        <v>4941</v>
      </c>
      <c r="AJ6" s="852">
        <f t="shared" si="1"/>
        <v>5084</v>
      </c>
      <c r="AK6" s="852">
        <f t="shared" si="1"/>
        <v>5454</v>
      </c>
      <c r="AL6" s="852">
        <f t="shared" si="1"/>
        <v>5531</v>
      </c>
      <c r="AM6" s="852">
        <f>AM92</f>
        <v>5500</v>
      </c>
      <c r="AN6" s="852">
        <f>AN92</f>
        <v>5904</v>
      </c>
      <c r="AO6" s="852">
        <f>AO92</f>
        <v>6203</v>
      </c>
      <c r="AP6" s="852">
        <f>AP92</f>
        <v>8058</v>
      </c>
      <c r="AQ6" s="852">
        <f t="shared" ref="AQ6:AR6" si="2">AQ92</f>
        <v>8396</v>
      </c>
      <c r="AR6" s="852">
        <f t="shared" si="2"/>
        <v>9863</v>
      </c>
    </row>
    <row r="7" spans="1:67" ht="18" hidden="1" customHeight="1" outlineLevel="1">
      <c r="A7" s="311" t="s">
        <v>4</v>
      </c>
      <c r="B7" s="311" t="s">
        <v>5</v>
      </c>
      <c r="P7" s="851">
        <f t="shared" ref="P7:U7" si="3">P153</f>
        <v>160</v>
      </c>
      <c r="Q7" s="851">
        <f t="shared" si="3"/>
        <v>169</v>
      </c>
      <c r="R7" s="851">
        <f t="shared" si="3"/>
        <v>184</v>
      </c>
      <c r="S7" s="851">
        <f t="shared" si="3"/>
        <v>196</v>
      </c>
      <c r="T7" s="851">
        <f t="shared" si="3"/>
        <v>211</v>
      </c>
      <c r="U7" s="851">
        <f t="shared" si="3"/>
        <v>230</v>
      </c>
      <c r="V7" s="851">
        <f>V153</f>
        <v>250</v>
      </c>
      <c r="W7" s="851">
        <f>W153</f>
        <v>0</v>
      </c>
      <c r="X7" s="852">
        <f>X153</f>
        <v>1170</v>
      </c>
      <c r="Y7" s="853"/>
      <c r="Z7" s="854">
        <f>Z153</f>
        <v>1510</v>
      </c>
      <c r="AA7" s="853"/>
      <c r="AB7" s="854">
        <f>AB153</f>
        <v>1992</v>
      </c>
      <c r="AC7" s="853"/>
      <c r="AD7" s="854">
        <f>AD153</f>
        <v>2800</v>
      </c>
      <c r="AE7" s="853"/>
      <c r="AF7" s="854">
        <f t="shared" ref="AF7:AL7" si="4">AF153</f>
        <v>3140</v>
      </c>
      <c r="AG7" s="854">
        <f t="shared" si="4"/>
        <v>3240</v>
      </c>
      <c r="AH7" s="854">
        <f t="shared" si="4"/>
        <v>3625</v>
      </c>
      <c r="AI7" s="854">
        <f t="shared" si="4"/>
        <v>3955</v>
      </c>
      <c r="AJ7" s="854">
        <f t="shared" si="4"/>
        <v>4025</v>
      </c>
      <c r="AK7" s="854">
        <f t="shared" si="4"/>
        <v>4305</v>
      </c>
      <c r="AL7" s="854">
        <f t="shared" si="4"/>
        <v>5090</v>
      </c>
      <c r="AM7" s="854">
        <f>AM153</f>
        <v>4810</v>
      </c>
      <c r="AN7" s="854">
        <f>AN153</f>
        <v>5285</v>
      </c>
      <c r="AO7" s="854">
        <f>AO153</f>
        <v>5645</v>
      </c>
      <c r="AP7" s="854">
        <f>AP153</f>
        <v>5830</v>
      </c>
      <c r="AQ7" s="854">
        <f t="shared" ref="AQ7:AR7" si="5">AQ153</f>
        <v>5750</v>
      </c>
      <c r="AR7" s="854">
        <f t="shared" si="5"/>
        <v>5740</v>
      </c>
    </row>
    <row r="8" spans="1:67" ht="18" hidden="1" customHeight="1" outlineLevel="1">
      <c r="A8" s="311" t="s">
        <v>6</v>
      </c>
      <c r="O8" s="855"/>
      <c r="P8" s="855">
        <f t="shared" ref="P8:X8" si="6">P6+P7</f>
        <v>160</v>
      </c>
      <c r="Q8" s="855">
        <f t="shared" si="6"/>
        <v>169</v>
      </c>
      <c r="R8" s="855">
        <f t="shared" si="6"/>
        <v>184</v>
      </c>
      <c r="S8" s="855">
        <f t="shared" si="6"/>
        <v>196</v>
      </c>
      <c r="T8" s="855">
        <f t="shared" si="6"/>
        <v>211</v>
      </c>
      <c r="U8" s="855">
        <f t="shared" si="6"/>
        <v>230</v>
      </c>
      <c r="V8" s="855">
        <f t="shared" si="6"/>
        <v>250</v>
      </c>
      <c r="W8" s="855">
        <f t="shared" si="6"/>
        <v>0</v>
      </c>
      <c r="X8" s="852">
        <f t="shared" si="6"/>
        <v>3559</v>
      </c>
      <c r="Y8" s="853"/>
      <c r="Z8" s="852">
        <f>Z6+Z7</f>
        <v>3238</v>
      </c>
      <c r="AA8" s="853"/>
      <c r="AB8" s="852">
        <f>AB6+AB7</f>
        <v>5298</v>
      </c>
      <c r="AC8" s="853"/>
      <c r="AD8" s="852">
        <f>AD6+AD7</f>
        <v>6696</v>
      </c>
      <c r="AE8" s="853"/>
      <c r="AF8" s="852">
        <f t="shared" ref="AF8:AL8" si="7">AF6+AF7</f>
        <v>7650</v>
      </c>
      <c r="AG8" s="852">
        <f t="shared" si="7"/>
        <v>7773</v>
      </c>
      <c r="AH8" s="852">
        <f t="shared" si="7"/>
        <v>8502</v>
      </c>
      <c r="AI8" s="852">
        <f t="shared" si="7"/>
        <v>8896</v>
      </c>
      <c r="AJ8" s="852">
        <f t="shared" si="7"/>
        <v>9109</v>
      </c>
      <c r="AK8" s="852">
        <f t="shared" si="7"/>
        <v>9759</v>
      </c>
      <c r="AL8" s="852">
        <f t="shared" si="7"/>
        <v>10621</v>
      </c>
      <c r="AM8" s="852">
        <f>AM6+AM7</f>
        <v>10310</v>
      </c>
      <c r="AN8" s="852">
        <f>AN6+AN7</f>
        <v>11189</v>
      </c>
      <c r="AO8" s="852">
        <f>AO6+AO7</f>
        <v>11848</v>
      </c>
      <c r="AP8" s="852">
        <f>AP6+AP7</f>
        <v>13888</v>
      </c>
      <c r="AQ8" s="852">
        <f t="shared" ref="AQ8:AR8" si="8">AQ6+AQ7</f>
        <v>14146</v>
      </c>
      <c r="AR8" s="852">
        <f t="shared" si="8"/>
        <v>15603</v>
      </c>
    </row>
    <row r="9" spans="1:67" ht="18" hidden="1" customHeight="1" outlineLevel="1">
      <c r="O9" s="855"/>
      <c r="P9" s="855"/>
      <c r="Q9" s="855"/>
      <c r="R9" s="855"/>
      <c r="S9" s="855"/>
      <c r="T9" s="855"/>
      <c r="U9" s="855"/>
      <c r="V9" s="855"/>
      <c r="W9" s="855"/>
      <c r="X9" s="852"/>
      <c r="Y9" s="853"/>
      <c r="Z9" s="852"/>
      <c r="AA9" s="853"/>
      <c r="AB9" s="852"/>
      <c r="AC9" s="853"/>
      <c r="AD9" s="852"/>
      <c r="AE9" s="853"/>
      <c r="AF9" s="852"/>
      <c r="AG9" s="852"/>
      <c r="AH9" s="852"/>
      <c r="AI9" s="852"/>
      <c r="AJ9" s="852"/>
      <c r="AK9" s="852"/>
      <c r="AL9" s="852"/>
      <c r="AM9" s="852"/>
      <c r="AN9" s="852"/>
      <c r="AO9" s="852"/>
      <c r="AP9" s="852"/>
      <c r="AQ9" s="852"/>
      <c r="AR9" s="852"/>
    </row>
    <row r="10" spans="1:67" ht="18" hidden="1" customHeight="1" outlineLevel="1">
      <c r="B10" s="311" t="s">
        <v>7</v>
      </c>
      <c r="O10" s="855"/>
      <c r="P10" s="855">
        <f t="shared" ref="P10:W10" si="9">P192</f>
        <v>0</v>
      </c>
      <c r="Q10" s="855">
        <f t="shared" si="9"/>
        <v>0</v>
      </c>
      <c r="R10" s="855">
        <f t="shared" si="9"/>
        <v>0</v>
      </c>
      <c r="S10" s="855">
        <f t="shared" si="9"/>
        <v>0</v>
      </c>
      <c r="T10" s="855">
        <f t="shared" si="9"/>
        <v>0</v>
      </c>
      <c r="U10" s="855">
        <f t="shared" si="9"/>
        <v>0</v>
      </c>
      <c r="V10" s="855">
        <f t="shared" si="9"/>
        <v>0</v>
      </c>
      <c r="W10" s="312">
        <f t="shared" si="9"/>
        <v>0</v>
      </c>
      <c r="X10" s="852">
        <f>X173</f>
        <v>9215</v>
      </c>
      <c r="Y10" s="853"/>
      <c r="Z10" s="852">
        <f>Z173</f>
        <v>13540</v>
      </c>
      <c r="AA10" s="853"/>
      <c r="AB10" s="852">
        <f>AB173</f>
        <v>19525</v>
      </c>
      <c r="AC10" s="853"/>
      <c r="AD10" s="852">
        <f>AD173</f>
        <v>38868</v>
      </c>
      <c r="AE10" s="853"/>
      <c r="AF10" s="852">
        <f t="shared" ref="AF10:AL10" si="10">AF173</f>
        <v>25336</v>
      </c>
      <c r="AG10" s="852">
        <f t="shared" si="10"/>
        <v>29110</v>
      </c>
      <c r="AH10" s="852">
        <f t="shared" si="10"/>
        <v>28770</v>
      </c>
      <c r="AI10" s="852">
        <f t="shared" si="10"/>
        <v>26870</v>
      </c>
      <c r="AJ10" s="852">
        <f t="shared" si="10"/>
        <v>26880</v>
      </c>
      <c r="AK10" s="852">
        <f t="shared" si="10"/>
        <v>29830</v>
      </c>
      <c r="AL10" s="852">
        <f t="shared" si="10"/>
        <v>34390</v>
      </c>
      <c r="AM10" s="852">
        <f>AM173</f>
        <v>34090</v>
      </c>
      <c r="AN10" s="852">
        <f>AN173</f>
        <v>36550</v>
      </c>
      <c r="AO10" s="852">
        <f>AO173</f>
        <v>40170</v>
      </c>
      <c r="AP10" s="852">
        <f>AP173</f>
        <v>37000</v>
      </c>
      <c r="AQ10" s="852">
        <f t="shared" ref="AQ10:AR10" si="11">AQ173</f>
        <v>33960</v>
      </c>
      <c r="AR10" s="852">
        <f t="shared" si="11"/>
        <v>47400</v>
      </c>
    </row>
    <row r="11" spans="1:67" ht="18" hidden="1" customHeight="1" outlineLevel="1">
      <c r="O11" s="855"/>
      <c r="P11" s="855"/>
      <c r="Q11" s="855"/>
      <c r="R11" s="855"/>
      <c r="S11" s="855"/>
      <c r="T11" s="855"/>
      <c r="U11" s="855"/>
      <c r="V11" s="855"/>
      <c r="X11" s="856"/>
      <c r="Y11" s="850"/>
      <c r="Z11" s="856"/>
      <c r="AA11" s="850"/>
      <c r="AB11" s="856"/>
      <c r="AC11" s="850"/>
      <c r="AD11" s="856"/>
      <c r="AE11" s="850"/>
      <c r="AF11" s="856"/>
      <c r="AG11" s="856"/>
      <c r="AH11" s="856"/>
      <c r="AI11" s="856"/>
      <c r="AJ11" s="856"/>
      <c r="AK11" s="856"/>
      <c r="AL11" s="856"/>
      <c r="AM11" s="856"/>
      <c r="AN11" s="856"/>
      <c r="AO11" s="856"/>
      <c r="AP11" s="856"/>
      <c r="AQ11" s="856"/>
      <c r="AR11" s="856"/>
    </row>
    <row r="12" spans="1:67" ht="18" hidden="1" customHeight="1" outlineLevel="1">
      <c r="B12" s="311" t="s">
        <v>8</v>
      </c>
      <c r="X12" s="852">
        <f>X94</f>
        <v>376</v>
      </c>
      <c r="Y12" s="857"/>
      <c r="Z12" s="852">
        <f t="shared" ref="Z12:AG12" si="12">Z94</f>
        <v>385</v>
      </c>
      <c r="AA12" s="857"/>
      <c r="AB12" s="852">
        <f t="shared" si="12"/>
        <v>430</v>
      </c>
      <c r="AC12" s="857"/>
      <c r="AD12" s="852">
        <f t="shared" si="12"/>
        <v>470</v>
      </c>
      <c r="AE12" s="857"/>
      <c r="AF12" s="852">
        <f t="shared" si="12"/>
        <v>585</v>
      </c>
      <c r="AG12" s="852">
        <f t="shared" si="12"/>
        <v>560</v>
      </c>
      <c r="AH12" s="852">
        <f t="shared" ref="AH12:AP12" si="13">AH94</f>
        <v>500</v>
      </c>
      <c r="AI12" s="852">
        <f t="shared" si="13"/>
        <v>370</v>
      </c>
      <c r="AJ12" s="852">
        <f t="shared" si="13"/>
        <v>140</v>
      </c>
      <c r="AK12" s="852">
        <f t="shared" si="13"/>
        <v>120</v>
      </c>
      <c r="AL12" s="852">
        <f t="shared" si="13"/>
        <v>7</v>
      </c>
      <c r="AM12" s="852">
        <f t="shared" si="13"/>
        <v>6</v>
      </c>
      <c r="AN12" s="852">
        <f t="shared" si="13"/>
        <v>5</v>
      </c>
      <c r="AO12" s="852">
        <f t="shared" si="13"/>
        <v>4</v>
      </c>
      <c r="AP12" s="852">
        <f t="shared" si="13"/>
        <v>4</v>
      </c>
      <c r="AQ12" s="852">
        <f t="shared" ref="AQ12:AR12" si="14">AQ94</f>
        <v>3</v>
      </c>
      <c r="AR12" s="852">
        <f t="shared" si="14"/>
        <v>3</v>
      </c>
    </row>
    <row r="13" spans="1:67" ht="18" hidden="1" customHeight="1" outlineLevel="1"/>
    <row r="14" spans="1:67" ht="18" hidden="1" customHeight="1" outlineLevel="1"/>
    <row r="15" spans="1:67" ht="30" customHeight="1" collapsed="1">
      <c r="B15" s="1917" t="s">
        <v>1319</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c r="AR15" s="1917"/>
      <c r="AS15" s="858"/>
      <c r="AT15" s="858"/>
      <c r="AU15" s="858"/>
      <c r="AV15" s="858"/>
      <c r="AW15" s="858"/>
      <c r="AX15" s="858"/>
      <c r="AY15" s="858"/>
      <c r="AZ15" s="858"/>
      <c r="BA15" s="858"/>
      <c r="BB15" s="858"/>
      <c r="BC15" s="858"/>
      <c r="BD15" s="858"/>
      <c r="BE15" s="858"/>
      <c r="BF15" s="858"/>
      <c r="BG15" s="858"/>
      <c r="BH15" s="858"/>
      <c r="BI15" s="858"/>
      <c r="BJ15" s="858"/>
      <c r="BK15" s="858"/>
      <c r="BL15" s="858"/>
      <c r="BM15" s="858"/>
      <c r="BN15" s="858"/>
      <c r="BO15" s="858"/>
    </row>
    <row r="16" spans="1:67" ht="21" customHeight="1">
      <c r="B16" s="286" t="s">
        <v>1316</v>
      </c>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row>
    <row r="17" spans="2:44" ht="24" customHeight="1">
      <c r="B17" s="286" t="s">
        <v>243</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row>
    <row r="18" spans="2:44" ht="6" customHeight="1">
      <c r="B18" s="226"/>
      <c r="C18" s="226"/>
      <c r="D18" s="226"/>
      <c r="E18" s="226"/>
      <c r="F18" s="226"/>
      <c r="G18" s="226"/>
      <c r="H18" s="226"/>
      <c r="I18" s="226"/>
      <c r="J18" s="226"/>
      <c r="K18" s="226"/>
      <c r="L18" s="226"/>
      <c r="M18" s="226"/>
      <c r="N18" s="226"/>
      <c r="O18" s="859"/>
      <c r="P18" s="859"/>
      <c r="Q18" s="859"/>
      <c r="R18" s="859"/>
      <c r="S18" s="859"/>
      <c r="T18" s="859"/>
      <c r="U18" s="859"/>
      <c r="V18" s="859"/>
      <c r="W18" s="859"/>
      <c r="X18" s="860"/>
      <c r="Y18" s="860"/>
      <c r="Z18" s="860"/>
      <c r="AA18" s="860"/>
      <c r="AB18" s="860"/>
      <c r="AC18" s="860"/>
      <c r="AD18" s="860"/>
      <c r="AE18" s="860"/>
      <c r="AF18" s="860"/>
    </row>
    <row r="19" spans="2:44" ht="15.75">
      <c r="B19" s="158"/>
      <c r="C19" s="158"/>
      <c r="D19" s="158"/>
      <c r="E19" s="158"/>
      <c r="F19" s="158"/>
      <c r="G19" s="158"/>
      <c r="H19" s="158"/>
      <c r="I19" s="158"/>
      <c r="J19" s="158"/>
      <c r="K19" s="158"/>
      <c r="L19" s="158"/>
      <c r="M19" s="158"/>
      <c r="N19" s="158"/>
      <c r="O19" s="283"/>
      <c r="P19" s="283"/>
      <c r="Q19" s="283"/>
      <c r="R19" s="283"/>
      <c r="S19" s="283"/>
      <c r="T19" s="283"/>
      <c r="U19" s="283"/>
      <c r="V19" s="283"/>
      <c r="W19" s="283"/>
      <c r="X19" s="861" t="s">
        <v>1320</v>
      </c>
      <c r="Y19" s="862"/>
      <c r="Z19" s="861" t="s">
        <v>1321</v>
      </c>
      <c r="AA19" s="862"/>
      <c r="AB19" s="861" t="s">
        <v>1322</v>
      </c>
      <c r="AC19" s="862"/>
      <c r="AD19" s="861" t="s">
        <v>1323</v>
      </c>
      <c r="AE19" s="862"/>
      <c r="AF19" s="861" t="s">
        <v>1324</v>
      </c>
      <c r="AG19" s="863">
        <v>2010</v>
      </c>
      <c r="AH19" s="863">
        <v>2011</v>
      </c>
      <c r="AI19" s="864" t="s">
        <v>1549</v>
      </c>
      <c r="AJ19" s="863">
        <v>2013</v>
      </c>
      <c r="AK19" s="863">
        <v>2014</v>
      </c>
      <c r="AL19" s="863" t="s">
        <v>1550</v>
      </c>
      <c r="AM19" s="863" t="s">
        <v>1551</v>
      </c>
      <c r="AN19" s="863">
        <v>2017</v>
      </c>
      <c r="AO19" s="863">
        <v>2018</v>
      </c>
      <c r="AP19" s="863">
        <v>2019</v>
      </c>
      <c r="AQ19" s="863" t="s">
        <v>1795</v>
      </c>
      <c r="AR19" s="863">
        <v>2021</v>
      </c>
    </row>
    <row r="20" spans="2:44">
      <c r="B20" s="865">
        <v>1</v>
      </c>
      <c r="C20" s="305" t="s">
        <v>410</v>
      </c>
      <c r="D20" s="158"/>
      <c r="E20" s="158"/>
      <c r="F20" s="158"/>
      <c r="G20" s="158"/>
      <c r="H20" s="158"/>
      <c r="I20" s="158"/>
      <c r="J20" s="158"/>
      <c r="K20" s="158"/>
      <c r="L20" s="158"/>
      <c r="M20" s="158"/>
      <c r="N20" s="158"/>
      <c r="O20" s="283"/>
      <c r="P20" s="283"/>
      <c r="Q20" s="283"/>
      <c r="R20" s="283"/>
      <c r="S20" s="283"/>
      <c r="T20" s="283"/>
      <c r="U20" s="283"/>
      <c r="V20" s="283"/>
      <c r="W20" s="283"/>
      <c r="X20" s="866"/>
      <c r="Y20" s="866"/>
      <c r="Z20" s="866"/>
      <c r="AA20" s="866"/>
      <c r="AB20" s="866"/>
      <c r="AC20" s="866"/>
      <c r="AD20" s="866"/>
      <c r="AE20" s="866"/>
      <c r="AF20" s="866"/>
      <c r="AG20" s="867"/>
      <c r="AH20" s="867"/>
    </row>
    <row r="21" spans="2:44">
      <c r="B21" s="291" t="s">
        <v>289</v>
      </c>
      <c r="C21" s="305" t="s">
        <v>12</v>
      </c>
      <c r="D21" s="158"/>
      <c r="E21" s="158"/>
      <c r="F21" s="158"/>
      <c r="G21" s="158"/>
      <c r="H21" s="158"/>
      <c r="I21" s="158"/>
      <c r="J21" s="158"/>
      <c r="K21" s="158"/>
      <c r="L21" s="158"/>
      <c r="M21" s="158"/>
      <c r="N21" s="158"/>
      <c r="O21" s="283"/>
      <c r="P21" s="283"/>
      <c r="Q21" s="283"/>
      <c r="R21" s="283"/>
      <c r="S21" s="283"/>
      <c r="T21" s="283"/>
      <c r="U21" s="283"/>
      <c r="V21" s="283"/>
      <c r="W21" s="283"/>
      <c r="X21" s="866"/>
      <c r="Y21" s="866"/>
      <c r="Z21" s="866"/>
      <c r="AA21" s="866"/>
      <c r="AB21" s="866"/>
      <c r="AC21" s="866"/>
      <c r="AD21" s="866"/>
      <c r="AE21" s="866"/>
      <c r="AF21" s="866"/>
      <c r="AG21" s="867"/>
      <c r="AH21" s="867"/>
    </row>
    <row r="22" spans="2:44">
      <c r="B22" s="291"/>
      <c r="C22" s="868" t="s">
        <v>1325</v>
      </c>
      <c r="D22" s="158"/>
      <c r="E22" s="158"/>
      <c r="F22" s="158"/>
      <c r="G22" s="158"/>
      <c r="H22" s="158"/>
      <c r="I22" s="158"/>
      <c r="J22" s="158"/>
      <c r="K22" s="158"/>
      <c r="L22" s="158"/>
      <c r="M22" s="158"/>
      <c r="N22" s="158"/>
      <c r="O22" s="283"/>
      <c r="P22" s="283"/>
      <c r="Q22" s="283"/>
      <c r="R22" s="283"/>
      <c r="S22" s="283"/>
      <c r="T22" s="283"/>
      <c r="U22" s="283"/>
      <c r="V22" s="283"/>
      <c r="W22" s="283"/>
      <c r="X22" s="869">
        <v>0.37806857399948934</v>
      </c>
      <c r="Y22" s="869"/>
      <c r="Z22" s="869">
        <v>0.03</v>
      </c>
      <c r="AA22" s="869"/>
      <c r="AB22" s="869">
        <v>0.84</v>
      </c>
      <c r="AC22" s="869"/>
      <c r="AD22" s="869">
        <v>0.12072804254714115</v>
      </c>
      <c r="AE22" s="869"/>
      <c r="AF22" s="869">
        <v>2.7992241728591074E-2</v>
      </c>
      <c r="AG22" s="870">
        <v>4.8335164338901053E-2</v>
      </c>
      <c r="AH22" s="870">
        <v>6.7655212420871774E-2</v>
      </c>
      <c r="AI22" s="871"/>
      <c r="AJ22" s="872">
        <v>5.3647298080616003E-2</v>
      </c>
      <c r="AK22" s="872">
        <v>8.375397819593465E-2</v>
      </c>
      <c r="AL22" s="873">
        <v>0.28085283917509779</v>
      </c>
      <c r="AM22" s="873">
        <v>0.28071358772691374</v>
      </c>
      <c r="AN22" s="873">
        <v>0.29479944434804628</v>
      </c>
      <c r="AO22" s="873">
        <v>0.2958991678399262</v>
      </c>
      <c r="AP22" s="873">
        <v>0.32776942984495228</v>
      </c>
      <c r="AQ22" s="874">
        <v>0.2</v>
      </c>
      <c r="AR22" s="873">
        <v>0.27</v>
      </c>
    </row>
    <row r="23" spans="2:44">
      <c r="B23" s="291"/>
      <c r="C23" s="868" t="s">
        <v>1326</v>
      </c>
      <c r="D23" s="158"/>
      <c r="E23" s="158"/>
      <c r="F23" s="158"/>
      <c r="G23" s="158"/>
      <c r="H23" s="158"/>
      <c r="I23" s="158"/>
      <c r="J23" s="158"/>
      <c r="K23" s="158"/>
      <c r="L23" s="158"/>
      <c r="M23" s="158"/>
      <c r="N23" s="158"/>
      <c r="O23" s="283"/>
      <c r="P23" s="283"/>
      <c r="Q23" s="283"/>
      <c r="R23" s="283"/>
      <c r="S23" s="283"/>
      <c r="T23" s="283"/>
      <c r="U23" s="283"/>
      <c r="V23" s="283"/>
      <c r="W23" s="283"/>
      <c r="X23" s="875">
        <v>0.38200466129128352</v>
      </c>
      <c r="Y23" s="875"/>
      <c r="Z23" s="869">
        <v>1.25</v>
      </c>
      <c r="AA23" s="869"/>
      <c r="AB23" s="869">
        <v>0.14000000000000001</v>
      </c>
      <c r="AC23" s="869"/>
      <c r="AD23" s="869">
        <v>6.5940044426767708E-2</v>
      </c>
      <c r="AE23" s="869"/>
      <c r="AF23" s="870">
        <v>5.9862853484869777E-2</v>
      </c>
      <c r="AG23" s="873" t="s">
        <v>300</v>
      </c>
      <c r="AH23" s="873" t="s">
        <v>300</v>
      </c>
      <c r="AI23" s="873"/>
      <c r="AJ23" s="873" t="s">
        <v>300</v>
      </c>
      <c r="AK23" s="873" t="s">
        <v>300</v>
      </c>
      <c r="AL23" s="873" t="s">
        <v>300</v>
      </c>
      <c r="AM23" s="873" t="s">
        <v>300</v>
      </c>
      <c r="AN23" s="873" t="s">
        <v>300</v>
      </c>
      <c r="AO23" s="873" t="s">
        <v>300</v>
      </c>
      <c r="AP23" s="873" t="s">
        <v>300</v>
      </c>
      <c r="AQ23" s="874" t="s">
        <v>300</v>
      </c>
      <c r="AR23" s="873" t="s">
        <v>300</v>
      </c>
    </row>
    <row r="24" spans="2:44">
      <c r="B24" s="291"/>
      <c r="C24" s="868" t="s">
        <v>1327</v>
      </c>
      <c r="D24" s="158"/>
      <c r="E24" s="158"/>
      <c r="F24" s="158"/>
      <c r="G24" s="158"/>
      <c r="H24" s="158"/>
      <c r="I24" s="158"/>
      <c r="J24" s="158"/>
      <c r="K24" s="158"/>
      <c r="L24" s="158"/>
      <c r="M24" s="158"/>
      <c r="N24" s="158"/>
      <c r="O24" s="283"/>
      <c r="P24" s="283"/>
      <c r="Q24" s="283"/>
      <c r="R24" s="283"/>
      <c r="S24" s="283"/>
      <c r="T24" s="283"/>
      <c r="U24" s="283"/>
      <c r="V24" s="283"/>
      <c r="W24" s="283"/>
      <c r="X24" s="875">
        <v>0.25708143620624985</v>
      </c>
      <c r="Y24" s="875"/>
      <c r="Z24" s="869">
        <v>0.77</v>
      </c>
      <c r="AA24" s="869"/>
      <c r="AB24" s="869">
        <v>0.67</v>
      </c>
      <c r="AC24" s="869"/>
      <c r="AD24" s="869">
        <v>0.67</v>
      </c>
      <c r="AE24" s="869"/>
      <c r="AF24" s="873" t="s">
        <v>300</v>
      </c>
      <c r="AG24" s="873" t="s">
        <v>300</v>
      </c>
      <c r="AH24" s="873" t="s">
        <v>300</v>
      </c>
      <c r="AI24" s="873"/>
      <c r="AJ24" s="873" t="s">
        <v>300</v>
      </c>
      <c r="AK24" s="873" t="s">
        <v>300</v>
      </c>
      <c r="AL24" s="873" t="s">
        <v>300</v>
      </c>
      <c r="AM24" s="873" t="s">
        <v>300</v>
      </c>
      <c r="AN24" s="873" t="s">
        <v>300</v>
      </c>
      <c r="AO24" s="873" t="s">
        <v>300</v>
      </c>
      <c r="AP24" s="873" t="s">
        <v>300</v>
      </c>
      <c r="AQ24" s="874" t="s">
        <v>300</v>
      </c>
      <c r="AR24" s="873" t="s">
        <v>300</v>
      </c>
    </row>
    <row r="25" spans="2:44" ht="15">
      <c r="B25" s="291" t="s">
        <v>291</v>
      </c>
      <c r="C25" s="305" t="s">
        <v>506</v>
      </c>
      <c r="D25" s="158"/>
      <c r="E25" s="158"/>
      <c r="F25" s="158"/>
      <c r="G25" s="158"/>
      <c r="H25" s="158"/>
      <c r="I25" s="158"/>
      <c r="J25" s="158"/>
      <c r="K25" s="158"/>
      <c r="L25" s="158"/>
      <c r="M25" s="158"/>
      <c r="N25" s="158"/>
      <c r="O25" s="283"/>
      <c r="P25" s="283"/>
      <c r="Q25" s="283"/>
      <c r="R25" s="283"/>
      <c r="S25" s="283"/>
      <c r="T25" s="283"/>
      <c r="U25" s="283"/>
      <c r="V25" s="283"/>
      <c r="W25" s="283"/>
      <c r="X25" s="875"/>
      <c r="Y25" s="875"/>
      <c r="Z25" s="869"/>
      <c r="AA25" s="869"/>
      <c r="AB25" s="869"/>
      <c r="AC25" s="869"/>
      <c r="AD25" s="869"/>
      <c r="AE25" s="869"/>
      <c r="AF25" s="876"/>
      <c r="AG25" s="876"/>
      <c r="AH25" s="876"/>
      <c r="AI25" s="871"/>
      <c r="AJ25" s="877"/>
      <c r="AK25" s="877"/>
      <c r="AL25" s="873"/>
      <c r="AM25" s="873"/>
      <c r="AN25" s="873"/>
      <c r="AO25" s="873"/>
      <c r="AP25" s="873"/>
      <c r="AQ25" s="874"/>
      <c r="AR25" s="873"/>
    </row>
    <row r="26" spans="2:44" ht="15">
      <c r="B26" s="291" t="s">
        <v>411</v>
      </c>
      <c r="C26" s="305" t="s">
        <v>1552</v>
      </c>
      <c r="D26" s="158"/>
      <c r="E26" s="158"/>
      <c r="F26" s="158"/>
      <c r="G26" s="158"/>
      <c r="H26" s="158"/>
      <c r="I26" s="158"/>
      <c r="J26" s="158"/>
      <c r="K26" s="158"/>
      <c r="L26" s="158"/>
      <c r="M26" s="158"/>
      <c r="N26" s="158"/>
      <c r="O26" s="283"/>
      <c r="P26" s="283"/>
      <c r="Q26" s="283"/>
      <c r="R26" s="283"/>
      <c r="S26" s="283"/>
      <c r="T26" s="283"/>
      <c r="U26" s="283"/>
      <c r="V26" s="283"/>
      <c r="W26" s="283"/>
      <c r="AI26" s="878"/>
      <c r="AJ26" s="877"/>
      <c r="AK26" s="877"/>
      <c r="AL26" s="873"/>
      <c r="AM26" s="873"/>
      <c r="AN26" s="873"/>
      <c r="AO26" s="873"/>
      <c r="AP26" s="873"/>
      <c r="AQ26" s="874"/>
      <c r="AR26" s="873"/>
    </row>
    <row r="27" spans="2:44">
      <c r="B27" s="291"/>
      <c r="C27" s="868" t="s">
        <v>1328</v>
      </c>
      <c r="D27" s="158"/>
      <c r="E27" s="158"/>
      <c r="F27" s="158"/>
      <c r="G27" s="158"/>
      <c r="H27" s="158"/>
      <c r="I27" s="158"/>
      <c r="J27" s="158"/>
      <c r="K27" s="158"/>
      <c r="L27" s="158"/>
      <c r="M27" s="158"/>
      <c r="N27" s="158"/>
      <c r="O27" s="283"/>
      <c r="P27" s="283"/>
      <c r="Q27" s="283"/>
      <c r="R27" s="283"/>
      <c r="S27" s="283"/>
      <c r="T27" s="283"/>
      <c r="U27" s="283"/>
      <c r="V27" s="283"/>
      <c r="W27" s="283"/>
      <c r="X27" s="875">
        <v>16.831511010712617</v>
      </c>
      <c r="Y27" s="875"/>
      <c r="Z27" s="869">
        <v>15.07</v>
      </c>
      <c r="AA27" s="869"/>
      <c r="AB27" s="869">
        <v>13.58</v>
      </c>
      <c r="AC27" s="869"/>
      <c r="AD27" s="869">
        <v>1.95</v>
      </c>
      <c r="AE27" s="869"/>
      <c r="AF27" s="879">
        <v>1.91</v>
      </c>
      <c r="AG27" s="870">
        <v>1.95</v>
      </c>
      <c r="AH27" s="870">
        <v>1.73</v>
      </c>
      <c r="AI27" s="878">
        <v>1.39</v>
      </c>
      <c r="AJ27" s="878">
        <v>1.28</v>
      </c>
      <c r="AK27" s="878">
        <v>1.3</v>
      </c>
      <c r="AL27" s="873">
        <v>1.26</v>
      </c>
      <c r="AM27" s="873">
        <v>1.1584578752644448</v>
      </c>
      <c r="AN27" s="873">
        <v>1.4414406284503061</v>
      </c>
      <c r="AO27" s="873">
        <v>1.49</v>
      </c>
      <c r="AP27" s="873">
        <v>1.56</v>
      </c>
      <c r="AQ27" s="874" t="s">
        <v>300</v>
      </c>
      <c r="AR27" s="873" t="s">
        <v>300</v>
      </c>
    </row>
    <row r="28" spans="2:44">
      <c r="B28" s="291"/>
      <c r="C28" s="868" t="s">
        <v>1329</v>
      </c>
      <c r="D28" s="158"/>
      <c r="E28" s="158"/>
      <c r="F28" s="158"/>
      <c r="G28" s="158"/>
      <c r="H28" s="158"/>
      <c r="I28" s="158"/>
      <c r="J28" s="158"/>
      <c r="K28" s="158"/>
      <c r="L28" s="158"/>
      <c r="M28" s="158"/>
      <c r="N28" s="158"/>
      <c r="O28" s="283"/>
      <c r="P28" s="283"/>
      <c r="Q28" s="283"/>
      <c r="R28" s="283"/>
      <c r="S28" s="283"/>
      <c r="T28" s="283"/>
      <c r="U28" s="283"/>
      <c r="V28" s="283"/>
      <c r="W28" s="283"/>
      <c r="X28" s="875">
        <v>2.6626000024778027</v>
      </c>
      <c r="Y28" s="875"/>
      <c r="Z28" s="869">
        <v>10.45</v>
      </c>
      <c r="AA28" s="869"/>
      <c r="AB28" s="869">
        <v>9.5</v>
      </c>
      <c r="AC28" s="869"/>
      <c r="AD28" s="869">
        <v>0.26</v>
      </c>
      <c r="AE28" s="869"/>
      <c r="AF28" s="879">
        <v>0.36</v>
      </c>
      <c r="AG28" s="870">
        <v>0.37</v>
      </c>
      <c r="AH28" s="870">
        <v>0.43</v>
      </c>
      <c r="AI28" s="878">
        <v>0.24</v>
      </c>
      <c r="AJ28" s="311">
        <v>0.22</v>
      </c>
      <c r="AK28" s="311">
        <v>0.23</v>
      </c>
      <c r="AL28" s="873">
        <v>0.2</v>
      </c>
      <c r="AM28" s="873">
        <v>0.16558935531989794</v>
      </c>
      <c r="AN28" s="873">
        <v>0.1744554177814876</v>
      </c>
      <c r="AO28" s="873">
        <v>0.15</v>
      </c>
      <c r="AP28" s="873">
        <v>0.2</v>
      </c>
      <c r="AQ28" s="874" t="s">
        <v>300</v>
      </c>
      <c r="AR28" s="873" t="s">
        <v>300</v>
      </c>
    </row>
    <row r="29" spans="2:44" ht="15">
      <c r="B29" s="865">
        <v>2</v>
      </c>
      <c r="C29" s="305" t="s">
        <v>413</v>
      </c>
      <c r="D29" s="158"/>
      <c r="E29" s="158"/>
      <c r="F29" s="158"/>
      <c r="G29" s="158"/>
      <c r="H29" s="158"/>
      <c r="I29" s="158"/>
      <c r="J29" s="158"/>
      <c r="K29" s="158"/>
      <c r="L29" s="158"/>
      <c r="M29" s="158"/>
      <c r="N29" s="158"/>
      <c r="O29" s="283"/>
      <c r="P29" s="283"/>
      <c r="Q29" s="283"/>
      <c r="R29" s="283"/>
      <c r="S29" s="283"/>
      <c r="T29" s="283"/>
      <c r="U29" s="283"/>
      <c r="V29" s="283"/>
      <c r="W29" s="283"/>
      <c r="X29" s="875"/>
      <c r="Y29" s="875"/>
      <c r="Z29" s="869"/>
      <c r="AA29" s="869"/>
      <c r="AB29" s="869"/>
      <c r="AC29" s="869"/>
      <c r="AD29" s="869"/>
      <c r="AE29" s="869"/>
      <c r="AF29" s="879"/>
      <c r="AG29" s="870"/>
      <c r="AH29" s="870"/>
      <c r="AI29" s="878"/>
      <c r="AJ29" s="877"/>
      <c r="AK29" s="877"/>
      <c r="AL29" s="873"/>
      <c r="AM29" s="873"/>
      <c r="AN29" s="873"/>
      <c r="AO29" s="873"/>
      <c r="AP29" s="873"/>
      <c r="AQ29" s="874"/>
      <c r="AR29" s="873"/>
    </row>
    <row r="30" spans="2:44" ht="15">
      <c r="B30" s="291" t="s">
        <v>414</v>
      </c>
      <c r="C30" s="305" t="s">
        <v>12</v>
      </c>
      <c r="D30" s="158"/>
      <c r="E30" s="158"/>
      <c r="F30" s="158"/>
      <c r="G30" s="158"/>
      <c r="H30" s="158"/>
      <c r="I30" s="158"/>
      <c r="J30" s="158"/>
      <c r="K30" s="158"/>
      <c r="L30" s="158"/>
      <c r="M30" s="158"/>
      <c r="N30" s="158"/>
      <c r="O30" s="283"/>
      <c r="P30" s="283"/>
      <c r="Q30" s="283"/>
      <c r="R30" s="283"/>
      <c r="S30" s="283"/>
      <c r="T30" s="283"/>
      <c r="U30" s="283"/>
      <c r="V30" s="283"/>
      <c r="W30" s="283"/>
      <c r="AI30" s="871"/>
      <c r="AJ30" s="877"/>
      <c r="AK30" s="877"/>
      <c r="AL30" s="873"/>
      <c r="AM30" s="873"/>
      <c r="AN30" s="873"/>
      <c r="AO30" s="873"/>
      <c r="AP30" s="873"/>
      <c r="AQ30" s="874"/>
      <c r="AR30" s="873"/>
    </row>
    <row r="31" spans="2:44">
      <c r="B31" s="291"/>
      <c r="C31" s="868" t="s">
        <v>1330</v>
      </c>
      <c r="D31" s="158"/>
      <c r="E31" s="158"/>
      <c r="F31" s="158"/>
      <c r="G31" s="158"/>
      <c r="H31" s="158"/>
      <c r="I31" s="158"/>
      <c r="J31" s="158"/>
      <c r="K31" s="158"/>
      <c r="L31" s="158"/>
      <c r="M31" s="158"/>
      <c r="N31" s="158"/>
      <c r="O31" s="283"/>
      <c r="P31" s="283"/>
      <c r="Q31" s="283"/>
      <c r="R31" s="283"/>
      <c r="S31" s="283"/>
      <c r="T31" s="283"/>
      <c r="U31" s="283"/>
      <c r="V31" s="283"/>
      <c r="W31" s="283"/>
      <c r="X31" s="875">
        <v>0.68121425162514182</v>
      </c>
      <c r="Y31" s="875"/>
      <c r="Z31" s="869">
        <v>0</v>
      </c>
      <c r="AA31" s="869"/>
      <c r="AB31" s="869">
        <v>0.54</v>
      </c>
      <c r="AC31" s="869"/>
      <c r="AD31" s="869">
        <v>0.20960464430738895</v>
      </c>
      <c r="AE31" s="869"/>
      <c r="AF31" s="879">
        <v>7.6598117362103021E-2</v>
      </c>
      <c r="AG31" s="870">
        <v>0.10087238455393512</v>
      </c>
      <c r="AH31" s="870">
        <v>0.12399244000524516</v>
      </c>
      <c r="AI31" s="871"/>
      <c r="AJ31" s="872">
        <v>4.604613120068226E-2</v>
      </c>
      <c r="AK31" s="872">
        <v>6.7901559127488173E-2</v>
      </c>
      <c r="AL31" s="873">
        <v>0.10608135224368014</v>
      </c>
      <c r="AM31" s="873">
        <v>0.10730418620239048</v>
      </c>
      <c r="AN31" s="873">
        <v>8.4573644608580759E-2</v>
      </c>
      <c r="AO31" s="873">
        <v>8.7693634525390529E-2</v>
      </c>
      <c r="AP31" s="873">
        <v>9.8036809171593839E-2</v>
      </c>
      <c r="AQ31" s="874">
        <v>0.34</v>
      </c>
      <c r="AR31" s="873">
        <v>0.4</v>
      </c>
    </row>
    <row r="32" spans="2:44" ht="15">
      <c r="B32" s="865">
        <v>3</v>
      </c>
      <c r="C32" s="305" t="s">
        <v>14</v>
      </c>
      <c r="D32" s="158"/>
      <c r="E32" s="158"/>
      <c r="F32" s="158"/>
      <c r="G32" s="158"/>
      <c r="H32" s="158"/>
      <c r="I32" s="158"/>
      <c r="J32" s="158"/>
      <c r="K32" s="158"/>
      <c r="L32" s="158"/>
      <c r="M32" s="158"/>
      <c r="N32" s="158"/>
      <c r="O32" s="283"/>
      <c r="P32" s="283"/>
      <c r="Q32" s="283"/>
      <c r="R32" s="283"/>
      <c r="S32" s="283"/>
      <c r="T32" s="283"/>
      <c r="U32" s="283"/>
      <c r="V32" s="283"/>
      <c r="W32" s="283"/>
      <c r="X32" s="875"/>
      <c r="Y32" s="875"/>
      <c r="Z32" s="869"/>
      <c r="AA32" s="869"/>
      <c r="AI32" s="871"/>
      <c r="AJ32" s="877"/>
      <c r="AK32" s="877"/>
      <c r="AL32" s="873"/>
      <c r="AM32" s="873"/>
      <c r="AN32" s="873"/>
      <c r="AO32" s="873"/>
      <c r="AP32" s="873"/>
      <c r="AQ32" s="874"/>
      <c r="AR32" s="873"/>
    </row>
    <row r="33" spans="2:55">
      <c r="B33" s="865"/>
      <c r="C33" s="880" t="s">
        <v>1331</v>
      </c>
      <c r="D33" s="158"/>
      <c r="E33" s="158"/>
      <c r="F33" s="158"/>
      <c r="G33" s="158"/>
      <c r="H33" s="158"/>
      <c r="I33" s="158"/>
      <c r="J33" s="158"/>
      <c r="K33" s="158"/>
      <c r="L33" s="158"/>
      <c r="M33" s="158"/>
      <c r="N33" s="158"/>
      <c r="O33" s="283"/>
      <c r="P33" s="283"/>
      <c r="Q33" s="283"/>
      <c r="R33" s="283"/>
      <c r="S33" s="283"/>
      <c r="T33" s="283"/>
      <c r="U33" s="283"/>
      <c r="V33" s="283"/>
      <c r="W33" s="283"/>
      <c r="X33" s="881"/>
      <c r="Y33" s="881"/>
      <c r="Z33" s="879"/>
      <c r="AA33" s="879"/>
      <c r="AB33" s="869"/>
      <c r="AC33" s="869"/>
      <c r="AD33" s="869">
        <v>0.02</v>
      </c>
      <c r="AE33" s="869"/>
      <c r="AF33" s="869">
        <v>0</v>
      </c>
      <c r="AG33" s="873" t="s">
        <v>300</v>
      </c>
      <c r="AH33" s="873" t="s">
        <v>300</v>
      </c>
      <c r="AI33" s="871"/>
      <c r="AJ33" s="872">
        <v>0.35844121847598309</v>
      </c>
      <c r="AK33" s="872">
        <v>0.36399794986059331</v>
      </c>
      <c r="AL33" s="873">
        <v>0.13251968116087132</v>
      </c>
      <c r="AM33" s="873">
        <v>0.13562474533039673</v>
      </c>
      <c r="AN33" s="873">
        <v>0.14725471317901692</v>
      </c>
      <c r="AO33" s="873">
        <v>0.14897350560237757</v>
      </c>
      <c r="AP33" s="873">
        <v>0.16672758391412545</v>
      </c>
      <c r="AQ33" s="874">
        <v>0.05</v>
      </c>
      <c r="AR33" s="873">
        <v>0.13</v>
      </c>
    </row>
    <row r="34" spans="2:55" ht="15">
      <c r="B34" s="291" t="s">
        <v>417</v>
      </c>
      <c r="C34" s="305" t="s">
        <v>418</v>
      </c>
      <c r="D34" s="158"/>
      <c r="E34" s="158"/>
      <c r="F34" s="158"/>
      <c r="G34" s="158"/>
      <c r="H34" s="158"/>
      <c r="I34" s="158"/>
      <c r="J34" s="158"/>
      <c r="K34" s="158"/>
      <c r="L34" s="158"/>
      <c r="M34" s="158"/>
      <c r="N34" s="158"/>
      <c r="O34" s="283"/>
      <c r="P34" s="283"/>
      <c r="Q34" s="283"/>
      <c r="R34" s="283"/>
      <c r="S34" s="283"/>
      <c r="T34" s="283"/>
      <c r="U34" s="283"/>
      <c r="V34" s="283"/>
      <c r="W34" s="283"/>
      <c r="AI34" s="871"/>
      <c r="AJ34" s="877"/>
      <c r="AK34" s="877"/>
      <c r="AL34" s="873"/>
      <c r="AM34" s="873"/>
      <c r="AN34" s="873"/>
      <c r="AO34" s="873"/>
      <c r="AP34" s="873"/>
      <c r="AQ34" s="874"/>
      <c r="AR34" s="873"/>
    </row>
    <row r="35" spans="2:55">
      <c r="B35" s="291"/>
      <c r="C35" s="868" t="s">
        <v>1553</v>
      </c>
      <c r="D35" s="158"/>
      <c r="E35" s="158"/>
      <c r="F35" s="158"/>
      <c r="G35" s="158"/>
      <c r="H35" s="158"/>
      <c r="I35" s="158"/>
      <c r="J35" s="158"/>
      <c r="K35" s="158"/>
      <c r="L35" s="158"/>
      <c r="M35" s="158"/>
      <c r="N35" s="158"/>
      <c r="O35" s="283"/>
      <c r="P35" s="283"/>
      <c r="Q35" s="283"/>
      <c r="R35" s="283"/>
      <c r="S35" s="283"/>
      <c r="T35" s="283"/>
      <c r="U35" s="283"/>
      <c r="V35" s="283"/>
      <c r="W35" s="283"/>
      <c r="X35" s="875">
        <v>0.44895804426650254</v>
      </c>
      <c r="Y35" s="875"/>
      <c r="Z35" s="869">
        <v>0.09</v>
      </c>
      <c r="AA35" s="869"/>
      <c r="AB35" s="869">
        <v>0.05</v>
      </c>
      <c r="AC35" s="869"/>
      <c r="AD35" s="869">
        <v>0</v>
      </c>
      <c r="AE35" s="869"/>
      <c r="AF35" s="869">
        <v>8.4357266537238556E-3</v>
      </c>
      <c r="AG35" s="870">
        <v>9.8946159414559615E-2</v>
      </c>
      <c r="AH35" s="870">
        <v>0.12490560860679852</v>
      </c>
      <c r="AI35" s="871"/>
      <c r="AJ35" s="873" t="s">
        <v>300</v>
      </c>
      <c r="AK35" s="873" t="s">
        <v>300</v>
      </c>
      <c r="AL35" s="873" t="s">
        <v>300</v>
      </c>
      <c r="AM35" s="873" t="s">
        <v>300</v>
      </c>
      <c r="AN35" s="873" t="s">
        <v>300</v>
      </c>
      <c r="AO35" s="873" t="s">
        <v>300</v>
      </c>
      <c r="AP35" s="873" t="s">
        <v>300</v>
      </c>
      <c r="AQ35" s="874" t="s">
        <v>300</v>
      </c>
      <c r="AR35" s="873" t="s">
        <v>300</v>
      </c>
    </row>
    <row r="36" spans="2:55" ht="15">
      <c r="B36" s="865">
        <v>4</v>
      </c>
      <c r="C36" s="305" t="s">
        <v>419</v>
      </c>
      <c r="D36" s="158"/>
      <c r="E36" s="158"/>
      <c r="F36" s="158"/>
      <c r="G36" s="158"/>
      <c r="H36" s="158"/>
      <c r="I36" s="158"/>
      <c r="J36" s="158"/>
      <c r="K36" s="158"/>
      <c r="L36" s="158"/>
      <c r="M36" s="158"/>
      <c r="N36" s="158"/>
      <c r="O36" s="283"/>
      <c r="P36" s="283"/>
      <c r="Q36" s="283"/>
      <c r="R36" s="283"/>
      <c r="S36" s="283"/>
      <c r="T36" s="283"/>
      <c r="U36" s="283"/>
      <c r="V36" s="283"/>
      <c r="W36" s="283"/>
      <c r="X36" s="875"/>
      <c r="Y36" s="875"/>
      <c r="Z36" s="869"/>
      <c r="AA36" s="869"/>
      <c r="AB36" s="869"/>
      <c r="AC36" s="869"/>
      <c r="AD36" s="869"/>
      <c r="AE36" s="869"/>
      <c r="AF36" s="879"/>
      <c r="AG36" s="870"/>
      <c r="AH36" s="870"/>
      <c r="AI36" s="871"/>
      <c r="AJ36" s="877"/>
      <c r="AK36" s="877"/>
      <c r="AL36" s="873"/>
      <c r="AM36" s="873"/>
      <c r="AN36" s="873"/>
      <c r="AO36" s="873"/>
      <c r="AP36" s="873"/>
      <c r="AQ36" s="874"/>
      <c r="AR36" s="873"/>
      <c r="AY36" s="545"/>
      <c r="AZ36" s="545"/>
      <c r="BA36" s="545"/>
      <c r="BB36" s="545"/>
      <c r="BC36" s="545"/>
    </row>
    <row r="37" spans="2:55" ht="15">
      <c r="B37" s="291" t="s">
        <v>296</v>
      </c>
      <c r="C37" s="305" t="s">
        <v>420</v>
      </c>
      <c r="D37" s="158"/>
      <c r="E37" s="158"/>
      <c r="F37" s="158"/>
      <c r="G37" s="158"/>
      <c r="H37" s="158"/>
      <c r="I37" s="158"/>
      <c r="J37" s="158"/>
      <c r="K37" s="158"/>
      <c r="L37" s="158"/>
      <c r="M37" s="158"/>
      <c r="N37" s="158"/>
      <c r="O37" s="283"/>
      <c r="P37" s="283"/>
      <c r="Q37" s="283"/>
      <c r="R37" s="283"/>
      <c r="S37" s="283"/>
      <c r="T37" s="283"/>
      <c r="U37" s="283"/>
      <c r="V37" s="283"/>
      <c r="W37" s="283"/>
      <c r="AI37" s="871"/>
      <c r="AJ37" s="877"/>
      <c r="AK37" s="877"/>
      <c r="AL37" s="873"/>
      <c r="AM37" s="873"/>
      <c r="AN37" s="873"/>
      <c r="AO37" s="873"/>
      <c r="AP37" s="873"/>
      <c r="AQ37" s="874"/>
      <c r="AR37" s="873"/>
      <c r="AY37" s="545"/>
      <c r="AZ37" s="545"/>
      <c r="BA37" s="545"/>
      <c r="BB37" s="545"/>
      <c r="BC37" s="545"/>
    </row>
    <row r="38" spans="2:55" ht="15">
      <c r="B38" s="291"/>
      <c r="C38" s="868" t="s">
        <v>1796</v>
      </c>
      <c r="D38" s="158"/>
      <c r="E38" s="158"/>
      <c r="F38" s="158"/>
      <c r="G38" s="158"/>
      <c r="H38" s="158"/>
      <c r="I38" s="158"/>
      <c r="J38" s="158"/>
      <c r="K38" s="158"/>
      <c r="L38" s="158"/>
      <c r="M38" s="158"/>
      <c r="N38" s="158"/>
      <c r="O38" s="283"/>
      <c r="P38" s="283"/>
      <c r="Q38" s="283"/>
      <c r="R38" s="283"/>
      <c r="S38" s="283"/>
      <c r="T38" s="283"/>
      <c r="U38" s="283"/>
      <c r="V38" s="283"/>
      <c r="W38" s="283"/>
      <c r="X38" s="875">
        <v>1.0336939255200217</v>
      </c>
      <c r="Y38" s="875"/>
      <c r="Z38" s="869">
        <v>1.49</v>
      </c>
      <c r="AA38" s="869"/>
      <c r="AB38" s="869">
        <v>1.44</v>
      </c>
      <c r="AC38" s="869"/>
      <c r="AD38" s="869">
        <v>0.24099063150047292</v>
      </c>
      <c r="AE38" s="869"/>
      <c r="AF38" s="879">
        <v>6.483810651871591E-2</v>
      </c>
      <c r="AG38" s="870">
        <v>9.8584572939129117E-2</v>
      </c>
      <c r="AH38" s="870">
        <v>0.12329840755991517</v>
      </c>
      <c r="AI38" s="871"/>
      <c r="AJ38" s="872">
        <v>0.10688489009781281</v>
      </c>
      <c r="AK38" s="872">
        <v>0.11245295523062029</v>
      </c>
      <c r="AL38" s="873">
        <v>6.0115149834024162E-2</v>
      </c>
      <c r="AM38" s="873">
        <v>6.2567434853120885E-2</v>
      </c>
      <c r="AN38" s="873">
        <v>5.9754144179132274E-2</v>
      </c>
      <c r="AO38" s="873">
        <v>5.4184208843014919E-2</v>
      </c>
      <c r="AP38" s="873" t="s">
        <v>1797</v>
      </c>
      <c r="AQ38" s="874" t="s">
        <v>1797</v>
      </c>
      <c r="AR38" s="873">
        <v>0.06</v>
      </c>
      <c r="AY38" s="545"/>
      <c r="AZ38" s="545"/>
      <c r="BA38" s="545"/>
      <c r="BB38" s="545"/>
      <c r="BC38" s="545"/>
    </row>
    <row r="39" spans="2:55">
      <c r="B39" s="291"/>
      <c r="C39" s="868" t="s">
        <v>1332</v>
      </c>
      <c r="D39" s="158"/>
      <c r="E39" s="158"/>
      <c r="F39" s="158"/>
      <c r="G39" s="158"/>
      <c r="H39" s="158"/>
      <c r="I39" s="158"/>
      <c r="J39" s="158"/>
      <c r="K39" s="158"/>
      <c r="L39" s="158"/>
      <c r="M39" s="158"/>
      <c r="N39" s="158"/>
      <c r="O39" s="283"/>
      <c r="P39" s="283"/>
      <c r="Q39" s="283"/>
      <c r="R39" s="283"/>
      <c r="S39" s="283"/>
      <c r="T39" s="283"/>
      <c r="U39" s="283"/>
      <c r="V39" s="283"/>
      <c r="W39" s="283"/>
      <c r="X39" s="875">
        <v>0.16531459466353135</v>
      </c>
      <c r="Y39" s="875"/>
      <c r="Z39" s="869">
        <v>1.02</v>
      </c>
      <c r="AA39" s="869"/>
      <c r="AB39" s="869">
        <v>0.61</v>
      </c>
      <c r="AC39" s="869"/>
      <c r="AD39" s="869">
        <v>0.14030090225174804</v>
      </c>
      <c r="AE39" s="869"/>
      <c r="AF39" s="870">
        <v>0.12823923802296758</v>
      </c>
      <c r="AG39" s="873" t="s">
        <v>300</v>
      </c>
      <c r="AH39" s="873" t="s">
        <v>300</v>
      </c>
      <c r="AI39" s="873"/>
      <c r="AJ39" s="873" t="s">
        <v>300</v>
      </c>
      <c r="AK39" s="873" t="s">
        <v>300</v>
      </c>
      <c r="AL39" s="873" t="s">
        <v>300</v>
      </c>
      <c r="AM39" s="873" t="s">
        <v>300</v>
      </c>
      <c r="AN39" s="873" t="s">
        <v>300</v>
      </c>
      <c r="AO39" s="873" t="s">
        <v>300</v>
      </c>
      <c r="AP39" s="873" t="s">
        <v>300</v>
      </c>
      <c r="AQ39" s="874" t="s">
        <v>300</v>
      </c>
      <c r="AR39" s="873" t="s">
        <v>300</v>
      </c>
    </row>
    <row r="40" spans="2:55">
      <c r="B40" s="291"/>
      <c r="C40" s="868" t="s">
        <v>1333</v>
      </c>
      <c r="D40" s="158"/>
      <c r="E40" s="158"/>
      <c r="F40" s="158"/>
      <c r="G40" s="158"/>
      <c r="H40" s="158"/>
      <c r="I40" s="158"/>
      <c r="J40" s="158"/>
      <c r="K40" s="158"/>
      <c r="L40" s="158"/>
      <c r="M40" s="158"/>
      <c r="N40" s="158"/>
      <c r="O40" s="283"/>
      <c r="P40" s="283"/>
      <c r="Q40" s="283"/>
      <c r="R40" s="283"/>
      <c r="S40" s="283"/>
      <c r="T40" s="283"/>
      <c r="U40" s="283"/>
      <c r="V40" s="283"/>
      <c r="W40" s="283"/>
      <c r="X40" s="875">
        <v>0</v>
      </c>
      <c r="Y40" s="875"/>
      <c r="Z40" s="869">
        <v>0.19</v>
      </c>
      <c r="AA40" s="869"/>
      <c r="AB40" s="869">
        <v>0.31</v>
      </c>
      <c r="AC40" s="869"/>
      <c r="AD40" s="869">
        <v>0</v>
      </c>
      <c r="AE40" s="869"/>
      <c r="AF40" s="870">
        <v>7.3687897394867268E-3</v>
      </c>
      <c r="AG40" s="879">
        <v>0.13800202952304166</v>
      </c>
      <c r="AH40" s="879">
        <v>0.2034136365146304</v>
      </c>
      <c r="AI40" s="871"/>
      <c r="AJ40" s="872">
        <v>0.16463260881583705</v>
      </c>
      <c r="AK40" s="872">
        <v>0.23080278082462025</v>
      </c>
      <c r="AL40" s="873">
        <v>0.168519573331465</v>
      </c>
      <c r="AM40" s="873">
        <v>0.1718773096595832</v>
      </c>
      <c r="AN40" s="873">
        <v>0.18078510854136293</v>
      </c>
      <c r="AO40" s="873">
        <v>0.18234119217443498</v>
      </c>
      <c r="AP40" s="873">
        <v>0.20544879554021661</v>
      </c>
      <c r="AQ40" s="874">
        <v>0</v>
      </c>
      <c r="AR40" s="873">
        <v>0.73</v>
      </c>
    </row>
    <row r="41" spans="2:55" ht="15">
      <c r="B41" s="291" t="s">
        <v>301</v>
      </c>
      <c r="C41" s="305" t="s">
        <v>508</v>
      </c>
      <c r="D41" s="158"/>
      <c r="E41" s="158"/>
      <c r="F41" s="158"/>
      <c r="G41" s="158"/>
      <c r="H41" s="158"/>
      <c r="I41" s="158"/>
      <c r="J41" s="158"/>
      <c r="K41" s="158"/>
      <c r="L41" s="158"/>
      <c r="M41" s="158"/>
      <c r="N41" s="158"/>
      <c r="O41" s="283"/>
      <c r="P41" s="283"/>
      <c r="Q41" s="283"/>
      <c r="R41" s="283"/>
      <c r="S41" s="283"/>
      <c r="T41" s="283"/>
      <c r="U41" s="283"/>
      <c r="V41" s="283"/>
      <c r="W41" s="283"/>
      <c r="AI41" s="871"/>
      <c r="AJ41" s="872"/>
      <c r="AK41" s="877"/>
      <c r="AL41" s="873"/>
      <c r="AM41" s="873"/>
      <c r="AN41" s="873"/>
      <c r="AO41" s="873"/>
      <c r="AP41" s="873"/>
      <c r="AQ41" s="874"/>
      <c r="AR41" s="873"/>
    </row>
    <row r="42" spans="2:55">
      <c r="B42" s="291"/>
      <c r="C42" s="868" t="s">
        <v>1334</v>
      </c>
      <c r="D42" s="158"/>
      <c r="E42" s="158"/>
      <c r="F42" s="158"/>
      <c r="G42" s="158"/>
      <c r="H42" s="158"/>
      <c r="I42" s="158"/>
      <c r="J42" s="158"/>
      <c r="K42" s="158"/>
      <c r="L42" s="158"/>
      <c r="M42" s="158"/>
      <c r="N42" s="158"/>
      <c r="O42" s="283"/>
      <c r="P42" s="283"/>
      <c r="Q42" s="283"/>
      <c r="R42" s="283"/>
      <c r="S42" s="283"/>
      <c r="T42" s="283"/>
      <c r="U42" s="283"/>
      <c r="V42" s="283"/>
      <c r="W42" s="283"/>
      <c r="X42" s="875">
        <v>0.63797695024216039</v>
      </c>
      <c r="Y42" s="875"/>
      <c r="Z42" s="869">
        <v>0.92</v>
      </c>
      <c r="AA42" s="869"/>
      <c r="AB42" s="869">
        <v>1.43</v>
      </c>
      <c r="AC42" s="869"/>
      <c r="AD42" s="869">
        <v>0.71785953892972021</v>
      </c>
      <c r="AE42" s="869"/>
      <c r="AF42" s="879">
        <v>0.40714637180494895</v>
      </c>
      <c r="AG42" s="870">
        <v>0.41853668550724948</v>
      </c>
      <c r="AH42" s="870">
        <v>0.50387749190782161</v>
      </c>
      <c r="AI42" s="871"/>
      <c r="AJ42" s="872">
        <v>0.42074428244761863</v>
      </c>
      <c r="AK42" s="872">
        <v>0.51726368669804768</v>
      </c>
      <c r="AL42" s="873">
        <v>0.47540678671955366</v>
      </c>
      <c r="AM42" s="873">
        <v>0.50959579079285922</v>
      </c>
      <c r="AN42" s="873">
        <v>0.61280149377961612</v>
      </c>
      <c r="AO42" s="873">
        <v>0.61058291380782648</v>
      </c>
      <c r="AP42" s="873">
        <v>0.67581500994869159</v>
      </c>
      <c r="AQ42" s="874">
        <v>0.83</v>
      </c>
      <c r="AR42" s="873">
        <v>0.76</v>
      </c>
    </row>
    <row r="43" spans="2:55">
      <c r="B43" s="291"/>
      <c r="C43" s="882" t="s">
        <v>1335</v>
      </c>
      <c r="D43" s="158"/>
      <c r="E43" s="158"/>
      <c r="F43" s="158"/>
      <c r="G43" s="158"/>
      <c r="H43" s="158"/>
      <c r="I43" s="158"/>
      <c r="J43" s="158"/>
      <c r="K43" s="158"/>
      <c r="L43" s="158"/>
      <c r="M43" s="158"/>
      <c r="N43" s="158"/>
      <c r="O43" s="283"/>
      <c r="P43" s="283"/>
      <c r="Q43" s="283"/>
      <c r="R43" s="283"/>
      <c r="S43" s="283"/>
      <c r="T43" s="283"/>
      <c r="U43" s="283"/>
      <c r="V43" s="283"/>
      <c r="W43" s="283"/>
      <c r="X43" s="875"/>
      <c r="Y43" s="875"/>
      <c r="Z43" s="869"/>
      <c r="AA43" s="869"/>
      <c r="AB43" s="879"/>
      <c r="AC43" s="879"/>
      <c r="AD43" s="879"/>
      <c r="AE43" s="879"/>
      <c r="AF43" s="870">
        <v>5.0242715153808336E-4</v>
      </c>
      <c r="AG43" s="870">
        <v>4.6596997000271229E-2</v>
      </c>
      <c r="AH43" s="870">
        <v>5.3872027779712908E-2</v>
      </c>
      <c r="AI43" s="871"/>
      <c r="AJ43" s="873" t="s">
        <v>300</v>
      </c>
      <c r="AK43" s="873" t="s">
        <v>300</v>
      </c>
      <c r="AL43" s="873" t="s">
        <v>300</v>
      </c>
      <c r="AM43" s="873" t="s">
        <v>300</v>
      </c>
      <c r="AN43" s="873" t="s">
        <v>300</v>
      </c>
      <c r="AO43" s="873" t="s">
        <v>300</v>
      </c>
      <c r="AP43" s="873" t="s">
        <v>300</v>
      </c>
      <c r="AQ43" s="874" t="s">
        <v>300</v>
      </c>
      <c r="AR43" s="873" t="s">
        <v>300</v>
      </c>
    </row>
    <row r="44" spans="2:55" ht="15">
      <c r="B44" s="865">
        <v>6</v>
      </c>
      <c r="C44" s="305" t="s">
        <v>425</v>
      </c>
      <c r="D44" s="158"/>
      <c r="E44" s="158"/>
      <c r="F44" s="158"/>
      <c r="G44" s="158"/>
      <c r="H44" s="158"/>
      <c r="I44" s="158"/>
      <c r="J44" s="158"/>
      <c r="K44" s="158"/>
      <c r="L44" s="158"/>
      <c r="M44" s="158"/>
      <c r="N44" s="158"/>
      <c r="O44" s="283"/>
      <c r="P44" s="283"/>
      <c r="Q44" s="283"/>
      <c r="R44" s="283"/>
      <c r="S44" s="283"/>
      <c r="T44" s="283"/>
      <c r="U44" s="283"/>
      <c r="V44" s="283"/>
      <c r="W44" s="283"/>
      <c r="X44" s="875"/>
      <c r="Y44" s="875"/>
      <c r="Z44" s="869"/>
      <c r="AA44" s="869"/>
      <c r="AB44" s="879"/>
      <c r="AC44" s="879"/>
      <c r="AD44" s="879"/>
      <c r="AE44" s="879"/>
      <c r="AF44" s="870"/>
      <c r="AG44" s="870"/>
      <c r="AH44" s="870"/>
      <c r="AI44" s="871"/>
      <c r="AJ44" s="872"/>
      <c r="AK44" s="877"/>
      <c r="AL44" s="873"/>
      <c r="AM44" s="873"/>
      <c r="AN44" s="873"/>
      <c r="AO44" s="873"/>
      <c r="AP44" s="873"/>
      <c r="AQ44" s="874"/>
      <c r="AR44" s="873"/>
    </row>
    <row r="45" spans="2:55" ht="15">
      <c r="B45" s="291" t="s">
        <v>428</v>
      </c>
      <c r="C45" s="305" t="s">
        <v>429</v>
      </c>
      <c r="D45" s="158"/>
      <c r="E45" s="158"/>
      <c r="F45" s="158"/>
      <c r="G45" s="158"/>
      <c r="H45" s="158"/>
      <c r="I45" s="158"/>
      <c r="J45" s="158"/>
      <c r="K45" s="158"/>
      <c r="L45" s="158"/>
      <c r="M45" s="158"/>
      <c r="N45" s="158"/>
      <c r="O45" s="283"/>
      <c r="P45" s="283"/>
      <c r="Q45" s="283"/>
      <c r="R45" s="283"/>
      <c r="S45" s="283"/>
      <c r="T45" s="283"/>
      <c r="U45" s="283"/>
      <c r="V45" s="283"/>
      <c r="W45" s="283"/>
      <c r="X45" s="870"/>
      <c r="Y45" s="870"/>
      <c r="Z45" s="870"/>
      <c r="AA45" s="870"/>
      <c r="AB45" s="870"/>
      <c r="AC45" s="870"/>
      <c r="AD45" s="870"/>
      <c r="AE45" s="870"/>
      <c r="AF45" s="870"/>
      <c r="AG45" s="870"/>
      <c r="AH45" s="870"/>
      <c r="AI45" s="871"/>
      <c r="AJ45" s="872"/>
      <c r="AK45" s="877"/>
      <c r="AL45" s="873"/>
      <c r="AM45" s="873"/>
      <c r="AN45" s="873"/>
      <c r="AO45" s="873"/>
      <c r="AP45" s="873"/>
      <c r="AQ45" s="874"/>
      <c r="AR45" s="873"/>
    </row>
    <row r="46" spans="2:55">
      <c r="B46" s="291"/>
      <c r="C46" s="305" t="s">
        <v>1336</v>
      </c>
      <c r="D46" s="158"/>
      <c r="E46" s="158"/>
      <c r="F46" s="158"/>
      <c r="G46" s="158"/>
      <c r="H46" s="158"/>
      <c r="I46" s="158"/>
      <c r="J46" s="158"/>
      <c r="K46" s="158"/>
      <c r="L46" s="158"/>
      <c r="M46" s="158"/>
      <c r="N46" s="158"/>
      <c r="O46" s="283"/>
      <c r="P46" s="283"/>
      <c r="Q46" s="283"/>
      <c r="R46" s="283"/>
      <c r="S46" s="283"/>
      <c r="T46" s="283"/>
      <c r="U46" s="283"/>
      <c r="V46" s="283"/>
      <c r="W46" s="283"/>
      <c r="X46" s="875">
        <v>1.1018780772463035</v>
      </c>
      <c r="Y46" s="875"/>
      <c r="Z46" s="869">
        <v>0.81</v>
      </c>
      <c r="AA46" s="869"/>
      <c r="AB46" s="869">
        <v>1.1100000000000001</v>
      </c>
      <c r="AC46" s="869"/>
      <c r="AD46" s="869">
        <v>0.32674632107666518</v>
      </c>
      <c r="AE46" s="869"/>
      <c r="AF46" s="879">
        <v>0.12757399244953999</v>
      </c>
      <c r="AG46" s="870">
        <v>0.55297846481764934</v>
      </c>
      <c r="AH46" s="870">
        <v>0.66911048253826166</v>
      </c>
      <c r="AI46" s="871"/>
      <c r="AJ46" s="872">
        <v>0.13954028778018693</v>
      </c>
      <c r="AK46" s="872">
        <v>0.19230402198922655</v>
      </c>
      <c r="AL46" s="873">
        <v>0.23366982220500973</v>
      </c>
      <c r="AM46" s="873">
        <v>0.24139249711361702</v>
      </c>
      <c r="AN46" s="873">
        <v>0.25511130479289434</v>
      </c>
      <c r="AO46" s="873">
        <v>0.22245131596497331</v>
      </c>
      <c r="AP46" s="873" t="s">
        <v>1797</v>
      </c>
      <c r="AQ46" s="874" t="s">
        <v>1797</v>
      </c>
      <c r="AR46" s="873">
        <v>0.24</v>
      </c>
    </row>
    <row r="47" spans="2:55" s="894" customFormat="1" ht="18.75" customHeight="1">
      <c r="B47" s="883">
        <v>9</v>
      </c>
      <c r="C47" s="884" t="s">
        <v>1022</v>
      </c>
      <c r="D47" s="884"/>
      <c r="E47" s="884"/>
      <c r="F47" s="884"/>
      <c r="G47" s="884"/>
      <c r="H47" s="884"/>
      <c r="I47" s="884"/>
      <c r="J47" s="884"/>
      <c r="K47" s="884"/>
      <c r="L47" s="884"/>
      <c r="M47" s="884"/>
      <c r="N47" s="884"/>
      <c r="O47" s="885"/>
      <c r="P47" s="885"/>
      <c r="Q47" s="885"/>
      <c r="R47" s="885"/>
      <c r="S47" s="885"/>
      <c r="T47" s="885"/>
      <c r="U47" s="885"/>
      <c r="V47" s="885"/>
      <c r="W47" s="885"/>
      <c r="X47" s="886">
        <v>23.59</v>
      </c>
      <c r="Y47" s="886"/>
      <c r="Z47" s="886">
        <v>24.63</v>
      </c>
      <c r="AA47" s="886"/>
      <c r="AB47" s="886">
        <v>23.78</v>
      </c>
      <c r="AC47" s="886"/>
      <c r="AD47" s="886">
        <v>22.482819409611803</v>
      </c>
      <c r="AE47" s="886"/>
      <c r="AF47" s="887">
        <v>20.875132801610029</v>
      </c>
      <c r="AG47" s="888">
        <v>20.490992085998009</v>
      </c>
      <c r="AH47" s="888">
        <v>21.150899038696412</v>
      </c>
      <c r="AI47" s="889"/>
      <c r="AJ47" s="890">
        <v>22.78594453196995</v>
      </c>
      <c r="AK47" s="891">
        <v>23.53728219230916</v>
      </c>
      <c r="AL47" s="892">
        <v>23.916321411414007</v>
      </c>
      <c r="AM47" s="892">
        <v>24.114625143456021</v>
      </c>
      <c r="AN47" s="892">
        <v>24.020166520513243</v>
      </c>
      <c r="AO47" s="892">
        <v>24.359712216383794</v>
      </c>
      <c r="AP47" s="892">
        <v>24.779820453140143</v>
      </c>
      <c r="AQ47" s="893">
        <v>22.56</v>
      </c>
      <c r="AR47" s="892">
        <v>22.91</v>
      </c>
    </row>
    <row r="48" spans="2:55" s="895" customFormat="1" ht="57.75" customHeight="1">
      <c r="B48" s="1918" t="s">
        <v>1617</v>
      </c>
      <c r="C48" s="1918"/>
      <c r="D48" s="1918"/>
      <c r="E48" s="1918"/>
      <c r="F48" s="1918"/>
      <c r="G48" s="1918"/>
      <c r="H48" s="1918"/>
      <c r="I48" s="1918"/>
      <c r="J48" s="1918"/>
      <c r="K48" s="1918"/>
      <c r="L48" s="1918"/>
      <c r="M48" s="1918"/>
      <c r="N48" s="1918"/>
      <c r="O48" s="1918"/>
      <c r="P48" s="1918"/>
      <c r="Q48" s="1918"/>
      <c r="R48" s="1918"/>
      <c r="S48" s="1918"/>
      <c r="T48" s="1918"/>
      <c r="U48" s="1918"/>
      <c r="V48" s="1918"/>
      <c r="W48" s="1918"/>
      <c r="X48" s="1918"/>
      <c r="Y48" s="1918"/>
      <c r="Z48" s="1918"/>
      <c r="AA48" s="1918"/>
      <c r="AB48" s="1918"/>
      <c r="AC48" s="1918"/>
      <c r="AD48" s="1918"/>
      <c r="AE48" s="1918"/>
      <c r="AF48" s="1918"/>
      <c r="AG48" s="1918"/>
      <c r="AH48" s="1918"/>
      <c r="AI48" s="1918"/>
      <c r="AJ48" s="1918"/>
      <c r="AK48" s="1918"/>
      <c r="AL48" s="1918"/>
      <c r="AM48" s="1918"/>
      <c r="AN48" s="1918"/>
      <c r="AO48" s="1918"/>
      <c r="AP48" s="1918"/>
      <c r="AQ48" s="1918"/>
      <c r="AR48" s="1918"/>
    </row>
    <row r="49" spans="2:44" ht="14.25" customHeight="1">
      <c r="B49" s="165" t="s">
        <v>1554</v>
      </c>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row>
    <row r="50" spans="2:44" ht="14.25" customHeight="1">
      <c r="B50" s="165" t="s">
        <v>1555</v>
      </c>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row>
    <row r="51" spans="2:44" ht="17.25" customHeight="1">
      <c r="B51" s="165" t="s">
        <v>1337</v>
      </c>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row>
    <row r="52" spans="2:44">
      <c r="B52" s="165" t="s">
        <v>1338</v>
      </c>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row>
    <row r="53" spans="2:44" s="167" customFormat="1" ht="15" customHeight="1">
      <c r="B53" s="165" t="s">
        <v>1339</v>
      </c>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210"/>
      <c r="AH53" s="210"/>
      <c r="AI53" s="210"/>
      <c r="AM53" s="190"/>
    </row>
    <row r="54" spans="2:44" s="167" customFormat="1" ht="15" customHeight="1">
      <c r="B54" s="165" t="s">
        <v>1556</v>
      </c>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210"/>
      <c r="AH54" s="210"/>
      <c r="AI54" s="210"/>
      <c r="AM54" s="190"/>
    </row>
    <row r="55" spans="2:44" s="167" customFormat="1" ht="15" customHeight="1">
      <c r="B55" s="165" t="s">
        <v>1557</v>
      </c>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210"/>
      <c r="AH55" s="210"/>
      <c r="AI55" s="210"/>
      <c r="AM55" s="190"/>
    </row>
    <row r="56" spans="2:44" s="167" customFormat="1" ht="15" customHeight="1">
      <c r="B56" s="165" t="s">
        <v>1558</v>
      </c>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210"/>
      <c r="AH56" s="210"/>
      <c r="AI56" s="210"/>
      <c r="AM56" s="190"/>
    </row>
    <row r="57" spans="2:44" s="167" customFormat="1">
      <c r="B57" s="165" t="s">
        <v>1559</v>
      </c>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210"/>
      <c r="AH57" s="210"/>
      <c r="AI57" s="210"/>
      <c r="AM57" s="190"/>
    </row>
    <row r="58" spans="2:44" s="167" customFormat="1">
      <c r="B58" s="165" t="s">
        <v>1798</v>
      </c>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210"/>
      <c r="AH58" s="210"/>
      <c r="AI58" s="210"/>
      <c r="AM58" s="190"/>
    </row>
    <row r="59" spans="2:44" s="167" customFormat="1">
      <c r="B59" s="167" t="s">
        <v>1799</v>
      </c>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210"/>
      <c r="AH59" s="210"/>
      <c r="AI59" s="210"/>
      <c r="AM59" s="190"/>
    </row>
    <row r="60" spans="2:44" s="167" customFormat="1">
      <c r="B60" s="165" t="s">
        <v>1340</v>
      </c>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210"/>
      <c r="AH60" s="210"/>
      <c r="AI60" s="210"/>
      <c r="AM60" s="190"/>
    </row>
    <row r="61" spans="2:44" s="167" customFormat="1" outlineLevel="1">
      <c r="B61" s="286" t="s">
        <v>26</v>
      </c>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10"/>
      <c r="AH61" s="210"/>
      <c r="AI61" s="210"/>
      <c r="AM61" s="190"/>
    </row>
    <row r="62" spans="2:44" s="167" customFormat="1" outlineLevel="1">
      <c r="B62" s="190" t="s">
        <v>1341</v>
      </c>
      <c r="C62" s="287"/>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210"/>
      <c r="AH62" s="210"/>
      <c r="AI62" s="210"/>
      <c r="AM62" s="190"/>
    </row>
    <row r="63" spans="2:44" s="167" customFormat="1" outlineLevel="1">
      <c r="B63" s="896" t="s">
        <v>1809</v>
      </c>
      <c r="C63" s="560"/>
      <c r="D63" s="559"/>
      <c r="E63" s="560"/>
      <c r="F63" s="560"/>
      <c r="G63" s="560"/>
      <c r="H63" s="560"/>
      <c r="I63" s="560"/>
      <c r="J63" s="560"/>
      <c r="K63" s="560"/>
      <c r="L63" s="560"/>
      <c r="M63" s="560"/>
      <c r="N63" s="560"/>
      <c r="O63" s="637"/>
      <c r="P63" s="638"/>
      <c r="Q63" s="638"/>
      <c r="R63" s="638"/>
      <c r="S63" s="638"/>
      <c r="T63" s="638"/>
      <c r="U63" s="638"/>
      <c r="V63" s="638"/>
      <c r="W63" s="638"/>
      <c r="X63" s="290">
        <v>2001</v>
      </c>
      <c r="Y63" s="290"/>
      <c r="Z63" s="290">
        <v>2003</v>
      </c>
      <c r="AA63" s="289"/>
      <c r="AB63" s="290">
        <v>2005</v>
      </c>
      <c r="AC63" s="289"/>
      <c r="AD63" s="290">
        <v>2007</v>
      </c>
      <c r="AE63" s="289"/>
      <c r="AF63" s="290">
        <v>2009</v>
      </c>
      <c r="AG63" s="307">
        <v>2010</v>
      </c>
      <c r="AH63" s="307">
        <v>2011</v>
      </c>
      <c r="AI63" s="307">
        <v>2012</v>
      </c>
      <c r="AJ63" s="307">
        <v>2013</v>
      </c>
      <c r="AK63" s="307">
        <v>2014</v>
      </c>
      <c r="AL63" s="307">
        <v>2015</v>
      </c>
      <c r="AM63" s="307">
        <v>2016</v>
      </c>
      <c r="AN63" s="307">
        <v>2017</v>
      </c>
      <c r="AO63" s="307">
        <v>2018</v>
      </c>
      <c r="AP63" s="307">
        <v>2019</v>
      </c>
      <c r="AQ63" s="307">
        <v>2020</v>
      </c>
      <c r="AR63" s="307">
        <v>2021</v>
      </c>
    </row>
    <row r="64" spans="2:44" s="167" customFormat="1" outlineLevel="1">
      <c r="B64" s="165" t="s">
        <v>1810</v>
      </c>
      <c r="C64" s="158"/>
      <c r="D64" s="158"/>
      <c r="O64" s="197"/>
      <c r="P64" s="198"/>
      <c r="Q64" s="199"/>
      <c r="R64" s="198"/>
      <c r="S64" s="198"/>
      <c r="T64" s="198"/>
      <c r="U64" s="198"/>
      <c r="V64" s="198"/>
      <c r="W64" s="198"/>
      <c r="X64" s="276"/>
      <c r="Y64" s="291"/>
      <c r="Z64" s="276"/>
      <c r="AA64" s="291"/>
      <c r="AB64" s="276"/>
      <c r="AC64" s="291"/>
      <c r="AD64" s="276"/>
      <c r="AE64" s="291"/>
      <c r="AF64" s="276"/>
      <c r="AG64" s="564"/>
      <c r="AH64" s="564"/>
      <c r="AI64" s="564"/>
      <c r="AJ64" s="191"/>
      <c r="AK64" s="191"/>
      <c r="AL64" s="276"/>
      <c r="AM64" s="276"/>
      <c r="AN64" s="276"/>
      <c r="AO64" s="276"/>
      <c r="AP64" s="276"/>
      <c r="AQ64" s="276"/>
      <c r="AR64" s="276"/>
    </row>
    <row r="65" spans="2:44" s="167" customFormat="1" outlineLevel="1">
      <c r="B65" s="308" t="s">
        <v>28</v>
      </c>
      <c r="C65" s="158"/>
      <c r="D65" s="158"/>
      <c r="O65" s="197"/>
      <c r="P65" s="198"/>
      <c r="Q65" s="199"/>
      <c r="R65" s="198"/>
      <c r="S65" s="198"/>
      <c r="T65" s="198"/>
      <c r="U65" s="198"/>
      <c r="V65" s="198"/>
      <c r="W65" s="198"/>
      <c r="X65" s="285"/>
      <c r="Y65" s="276"/>
      <c r="Z65" s="285"/>
      <c r="AA65" s="276"/>
      <c r="AB65" s="285"/>
      <c r="AC65" s="276"/>
      <c r="AD65" s="285"/>
      <c r="AE65" s="285"/>
      <c r="AF65" s="285"/>
      <c r="AG65" s="285"/>
      <c r="AH65" s="285"/>
      <c r="AI65" s="564"/>
      <c r="AJ65" s="565"/>
      <c r="AK65" s="565"/>
      <c r="AL65" s="285"/>
      <c r="AM65" s="285"/>
      <c r="AN65" s="285"/>
      <c r="AO65" s="285"/>
      <c r="AP65" s="285"/>
      <c r="AQ65" s="285"/>
      <c r="AR65" s="285"/>
    </row>
    <row r="66" spans="2:44" s="167" customFormat="1" outlineLevel="1">
      <c r="B66" s="158"/>
      <c r="C66" s="158" t="s">
        <v>29</v>
      </c>
      <c r="D66" s="158"/>
      <c r="O66" s="197"/>
      <c r="P66" s="198"/>
      <c r="Q66" s="199"/>
      <c r="R66" s="198"/>
      <c r="S66" s="198"/>
      <c r="T66" s="198"/>
      <c r="U66" s="198"/>
      <c r="V66" s="198"/>
      <c r="W66" s="198"/>
      <c r="X66" s="285">
        <v>437257</v>
      </c>
      <c r="Y66" s="285">
        <v>468662</v>
      </c>
      <c r="Z66" s="285">
        <v>500697</v>
      </c>
      <c r="AA66" s="285">
        <v>532151</v>
      </c>
      <c r="AB66" s="285">
        <v>566355</v>
      </c>
      <c r="AC66" s="285">
        <v>616089</v>
      </c>
      <c r="AD66" s="285">
        <v>666396</v>
      </c>
      <c r="AE66" s="285">
        <v>688387</v>
      </c>
      <c r="AF66" s="285">
        <v>729647</v>
      </c>
      <c r="AG66" s="285">
        <v>773734</v>
      </c>
      <c r="AH66" s="285">
        <v>814231</v>
      </c>
      <c r="AI66" s="564">
        <v>850354</v>
      </c>
      <c r="AJ66" s="565">
        <v>888292</v>
      </c>
      <c r="AK66" s="565">
        <v>922877</v>
      </c>
      <c r="AL66" s="285">
        <v>957772</v>
      </c>
      <c r="AM66" s="285">
        <v>991351</v>
      </c>
      <c r="AN66" s="285">
        <v>1031696</v>
      </c>
      <c r="AO66" s="285">
        <v>1065471</v>
      </c>
      <c r="AP66" s="285">
        <v>1048690</v>
      </c>
      <c r="AQ66" s="285"/>
      <c r="AR66" s="285"/>
    </row>
    <row r="67" spans="2:44" s="167" customFormat="1" outlineLevel="1">
      <c r="B67" s="308" t="s">
        <v>30</v>
      </c>
      <c r="C67" s="158"/>
      <c r="D67" s="158"/>
      <c r="O67" s="197"/>
      <c r="P67" s="198"/>
      <c r="Q67" s="199"/>
      <c r="R67" s="198"/>
      <c r="S67" s="198"/>
      <c r="T67" s="198"/>
      <c r="U67" s="198"/>
      <c r="V67" s="198"/>
      <c r="W67" s="198"/>
      <c r="X67" s="285"/>
      <c r="Y67" s="285"/>
      <c r="Z67" s="285"/>
      <c r="AA67" s="285"/>
      <c r="AB67" s="285"/>
      <c r="AC67" s="285"/>
      <c r="AD67" s="285"/>
      <c r="AE67" s="285"/>
      <c r="AF67" s="285"/>
      <c r="AG67" s="285"/>
      <c r="AH67" s="285"/>
      <c r="AI67" s="564"/>
      <c r="AJ67" s="565"/>
      <c r="AK67" s="565"/>
      <c r="AL67" s="285"/>
      <c r="AM67" s="285"/>
      <c r="AN67" s="285"/>
      <c r="AO67" s="285"/>
      <c r="AP67" s="285"/>
      <c r="AQ67" s="285"/>
      <c r="AR67" s="285"/>
    </row>
    <row r="68" spans="2:44" s="167" customFormat="1" outlineLevel="1">
      <c r="B68" s="158"/>
      <c r="C68" s="158" t="s">
        <v>31</v>
      </c>
      <c r="D68" s="158"/>
      <c r="O68" s="197"/>
      <c r="P68" s="198"/>
      <c r="Q68" s="199"/>
      <c r="R68" s="198"/>
      <c r="S68" s="198"/>
      <c r="T68" s="198"/>
      <c r="U68" s="198"/>
      <c r="V68" s="198"/>
      <c r="W68" s="198"/>
      <c r="X68" s="285">
        <v>493796</v>
      </c>
      <c r="Y68" s="285">
        <v>528050</v>
      </c>
      <c r="Z68" s="285">
        <v>564521</v>
      </c>
      <c r="AA68" s="285">
        <v>601705</v>
      </c>
      <c r="AB68" s="285">
        <v>641085</v>
      </c>
      <c r="AC68" s="285">
        <v>697987</v>
      </c>
      <c r="AD68" s="285">
        <v>760244</v>
      </c>
      <c r="AE68" s="285">
        <v>790749</v>
      </c>
      <c r="AF68" s="285">
        <v>836317</v>
      </c>
      <c r="AG68" s="285">
        <v>887038</v>
      </c>
      <c r="AH68" s="285">
        <v>935182</v>
      </c>
      <c r="AI68" s="285">
        <v>969471</v>
      </c>
      <c r="AJ68" s="285">
        <v>1012880</v>
      </c>
      <c r="AK68" s="285">
        <v>1050908</v>
      </c>
      <c r="AL68" s="285">
        <v>1097909</v>
      </c>
      <c r="AM68" s="285">
        <v>1141038</v>
      </c>
      <c r="AN68" s="285">
        <v>1189626</v>
      </c>
      <c r="AO68" s="285">
        <v>1240296</v>
      </c>
      <c r="AP68" s="285">
        <v>1245837</v>
      </c>
      <c r="AQ68" s="285"/>
      <c r="AR68" s="285"/>
    </row>
    <row r="69" spans="2:44" s="167" customFormat="1" outlineLevel="1">
      <c r="B69" s="308" t="s">
        <v>32</v>
      </c>
      <c r="C69" s="158"/>
      <c r="D69" s="158"/>
      <c r="O69" s="197"/>
      <c r="P69" s="198"/>
      <c r="Q69" s="199"/>
      <c r="R69" s="198"/>
      <c r="S69" s="198"/>
      <c r="T69" s="198"/>
      <c r="U69" s="198"/>
      <c r="V69" s="198"/>
      <c r="W69" s="198"/>
      <c r="X69" s="285"/>
      <c r="Y69" s="285"/>
      <c r="Z69" s="285"/>
      <c r="AA69" s="285"/>
      <c r="AB69" s="285"/>
      <c r="AC69" s="285"/>
      <c r="AD69" s="285"/>
      <c r="AE69" s="285"/>
      <c r="AF69" s="285"/>
      <c r="AG69" s="285"/>
      <c r="AH69" s="285"/>
      <c r="AI69" s="564"/>
      <c r="AJ69" s="565"/>
      <c r="AK69" s="565"/>
      <c r="AL69" s="285"/>
      <c r="AM69" s="285"/>
      <c r="AN69" s="285"/>
      <c r="AO69" s="285"/>
      <c r="AP69" s="285"/>
      <c r="AQ69" s="285"/>
      <c r="AR69" s="285"/>
    </row>
    <row r="70" spans="2:44" s="167" customFormat="1" outlineLevel="1">
      <c r="B70" s="158"/>
      <c r="C70" s="158" t="s">
        <v>33</v>
      </c>
      <c r="D70" s="158"/>
      <c r="O70" s="197"/>
      <c r="P70" s="198"/>
      <c r="Q70" s="199"/>
      <c r="R70" s="198"/>
      <c r="S70" s="198"/>
      <c r="T70" s="198"/>
      <c r="U70" s="198"/>
      <c r="V70" s="198"/>
      <c r="W70" s="198"/>
      <c r="X70" s="285">
        <f>SUM(X72:X73)</f>
        <v>48674</v>
      </c>
      <c r="Y70" s="285">
        <f t="shared" ref="Y70:AN70" si="15">SUM(Y72:Y73)</f>
        <v>53794</v>
      </c>
      <c r="Z70" s="285">
        <f t="shared" si="15"/>
        <v>56670</v>
      </c>
      <c r="AA70" s="285">
        <f t="shared" si="15"/>
        <v>58998</v>
      </c>
      <c r="AB70" s="285">
        <f t="shared" si="15"/>
        <v>62232</v>
      </c>
      <c r="AC70" s="285">
        <f t="shared" si="15"/>
        <v>65225</v>
      </c>
      <c r="AD70" s="285">
        <f t="shared" si="15"/>
        <v>69096</v>
      </c>
      <c r="AE70" s="285">
        <f t="shared" si="15"/>
        <v>67974</v>
      </c>
      <c r="AF70" s="285">
        <f t="shared" si="15"/>
        <v>72221</v>
      </c>
      <c r="AG70" s="285">
        <f t="shared" si="15"/>
        <v>74835</v>
      </c>
      <c r="AH70" s="285">
        <f t="shared" si="15"/>
        <v>75008</v>
      </c>
      <c r="AI70" s="564">
        <f t="shared" si="15"/>
        <v>76600</v>
      </c>
      <c r="AJ70" s="565">
        <f t="shared" si="15"/>
        <v>81183</v>
      </c>
      <c r="AK70" s="565">
        <f t="shared" si="15"/>
        <v>81427</v>
      </c>
      <c r="AL70" s="285">
        <f t="shared" si="15"/>
        <v>83221</v>
      </c>
      <c r="AM70" s="285">
        <f t="shared" si="15"/>
        <v>85802</v>
      </c>
      <c r="AN70" s="285">
        <f t="shared" si="15"/>
        <v>89373</v>
      </c>
      <c r="AO70" s="285">
        <f>SUM(AO72:AO73)</f>
        <v>91315</v>
      </c>
      <c r="AP70" s="285">
        <f t="shared" ref="AP70" si="16">SUM(AP72:AP73)</f>
        <v>89785</v>
      </c>
      <c r="AQ70" s="285"/>
      <c r="AR70" s="285"/>
    </row>
    <row r="71" spans="2:44" s="167" customFormat="1" outlineLevel="1">
      <c r="B71" s="158"/>
      <c r="C71" s="158"/>
      <c r="D71" s="158"/>
      <c r="O71" s="197"/>
      <c r="P71" s="198"/>
      <c r="Q71" s="199"/>
      <c r="R71" s="198"/>
      <c r="S71" s="198"/>
      <c r="T71" s="198"/>
      <c r="U71" s="198"/>
      <c r="V71" s="198"/>
      <c r="W71" s="198"/>
      <c r="X71" s="285"/>
      <c r="Y71" s="276"/>
      <c r="Z71" s="285"/>
      <c r="AA71" s="276"/>
      <c r="AB71" s="285"/>
      <c r="AC71" s="276"/>
      <c r="AD71" s="285"/>
      <c r="AE71" s="285"/>
      <c r="AF71" s="285"/>
      <c r="AG71" s="285"/>
      <c r="AH71" s="285"/>
      <c r="AI71" s="564"/>
      <c r="AJ71" s="565"/>
      <c r="AK71" s="565"/>
      <c r="AL71" s="285"/>
      <c r="AM71" s="285"/>
      <c r="AN71" s="285"/>
      <c r="AO71" s="285"/>
      <c r="AP71" s="285"/>
      <c r="AQ71" s="285"/>
      <c r="AR71" s="285"/>
    </row>
    <row r="72" spans="2:44" s="167" customFormat="1" outlineLevel="1">
      <c r="B72" s="158"/>
      <c r="C72" s="158" t="s">
        <v>34</v>
      </c>
      <c r="D72" s="158"/>
      <c r="O72" s="197"/>
      <c r="P72" s="198"/>
      <c r="Q72" s="199"/>
      <c r="R72" s="198"/>
      <c r="S72" s="198"/>
      <c r="T72" s="198"/>
      <c r="U72" s="198"/>
      <c r="V72" s="198"/>
      <c r="W72" s="198"/>
      <c r="X72" s="285">
        <v>28180</v>
      </c>
      <c r="Y72" s="276">
        <v>32153</v>
      </c>
      <c r="Z72" s="285">
        <v>34774</v>
      </c>
      <c r="AA72" s="276">
        <v>36148</v>
      </c>
      <c r="AB72" s="285">
        <v>39436</v>
      </c>
      <c r="AC72" s="276">
        <v>41655</v>
      </c>
      <c r="AD72" s="285">
        <v>44739</v>
      </c>
      <c r="AE72" s="285">
        <v>42768</v>
      </c>
      <c r="AF72" s="285">
        <v>46849</v>
      </c>
      <c r="AG72" s="285">
        <v>48146</v>
      </c>
      <c r="AH72" s="285">
        <v>48683</v>
      </c>
      <c r="AI72" s="564">
        <v>50175</v>
      </c>
      <c r="AJ72" s="565">
        <v>54711</v>
      </c>
      <c r="AK72" s="565">
        <v>56921</v>
      </c>
      <c r="AL72" s="285">
        <v>60680</v>
      </c>
      <c r="AM72" s="285">
        <v>63029</v>
      </c>
      <c r="AN72" s="285">
        <v>65700</v>
      </c>
      <c r="AO72" s="285">
        <v>66829</v>
      </c>
      <c r="AP72" s="285">
        <v>65720</v>
      </c>
      <c r="AQ72" s="285"/>
      <c r="AR72" s="285"/>
    </row>
    <row r="73" spans="2:44" s="167" customFormat="1" outlineLevel="1">
      <c r="B73" s="158"/>
      <c r="C73" s="158" t="s">
        <v>35</v>
      </c>
      <c r="D73" s="158"/>
      <c r="O73" s="197"/>
      <c r="P73" s="198"/>
      <c r="Q73" s="199"/>
      <c r="R73" s="198"/>
      <c r="S73" s="198"/>
      <c r="T73" s="198"/>
      <c r="U73" s="198"/>
      <c r="V73" s="198"/>
      <c r="W73" s="198"/>
      <c r="X73" s="285">
        <v>20494</v>
      </c>
      <c r="Y73" s="276">
        <v>21641</v>
      </c>
      <c r="Z73" s="285">
        <v>21896</v>
      </c>
      <c r="AA73" s="276">
        <v>22850</v>
      </c>
      <c r="AB73" s="285">
        <v>22796</v>
      </c>
      <c r="AC73" s="276">
        <v>23570</v>
      </c>
      <c r="AD73" s="285">
        <v>24357</v>
      </c>
      <c r="AE73" s="285">
        <v>25206</v>
      </c>
      <c r="AF73" s="285">
        <v>25372</v>
      </c>
      <c r="AG73" s="285">
        <v>26689</v>
      </c>
      <c r="AH73" s="285">
        <v>26325</v>
      </c>
      <c r="AI73" s="564">
        <v>26425</v>
      </c>
      <c r="AJ73" s="565">
        <v>26472</v>
      </c>
      <c r="AK73" s="565">
        <v>24506</v>
      </c>
      <c r="AL73" s="285">
        <v>22541</v>
      </c>
      <c r="AM73" s="285">
        <v>22773</v>
      </c>
      <c r="AN73" s="285">
        <v>23673</v>
      </c>
      <c r="AO73" s="285">
        <v>24486</v>
      </c>
      <c r="AP73" s="285">
        <v>24065</v>
      </c>
      <c r="AQ73" s="285"/>
      <c r="AR73" s="285"/>
    </row>
    <row r="74" spans="2:44" s="167" customFormat="1" outlineLevel="1">
      <c r="B74" s="308" t="s">
        <v>36</v>
      </c>
      <c r="C74" s="158"/>
      <c r="D74" s="158"/>
      <c r="O74" s="197"/>
      <c r="P74" s="198"/>
      <c r="Q74" s="199"/>
      <c r="R74" s="198"/>
      <c r="S74" s="198"/>
      <c r="T74" s="198"/>
      <c r="U74" s="198"/>
      <c r="V74" s="198"/>
      <c r="W74" s="198"/>
      <c r="X74" s="285"/>
      <c r="Y74" s="276"/>
      <c r="Z74" s="285"/>
      <c r="AA74" s="276"/>
      <c r="AB74" s="285"/>
      <c r="AC74" s="276"/>
      <c r="AD74" s="285"/>
      <c r="AE74" s="285"/>
      <c r="AF74" s="285"/>
      <c r="AG74" s="285"/>
      <c r="AH74" s="285"/>
      <c r="AI74" s="564"/>
      <c r="AJ74" s="565"/>
      <c r="AK74" s="565"/>
      <c r="AL74" s="285"/>
      <c r="AM74" s="285"/>
      <c r="AN74" s="285"/>
      <c r="AO74" s="285"/>
      <c r="AP74" s="285"/>
      <c r="AQ74" s="285"/>
      <c r="AR74" s="285"/>
    </row>
    <row r="75" spans="2:44" s="167" customFormat="1" outlineLevel="1">
      <c r="B75" s="158"/>
      <c r="C75" s="158" t="s">
        <v>37</v>
      </c>
      <c r="D75" s="158"/>
      <c r="O75" s="197"/>
      <c r="P75" s="198"/>
      <c r="Q75" s="199"/>
      <c r="R75" s="198"/>
      <c r="S75" s="198"/>
      <c r="T75" s="198"/>
      <c r="U75" s="198"/>
      <c r="V75" s="198"/>
      <c r="W75" s="198"/>
      <c r="X75" s="285">
        <v>60429</v>
      </c>
      <c r="Y75" s="276">
        <v>66303</v>
      </c>
      <c r="Z75" s="285">
        <v>69617</v>
      </c>
      <c r="AA75" s="276">
        <v>72223</v>
      </c>
      <c r="AB75" s="285">
        <v>75360</v>
      </c>
      <c r="AC75" s="276">
        <v>79452</v>
      </c>
      <c r="AD75" s="285">
        <v>84104</v>
      </c>
      <c r="AE75" s="285">
        <v>83739</v>
      </c>
      <c r="AF75" s="285">
        <v>87696</v>
      </c>
      <c r="AG75" s="285">
        <v>90824</v>
      </c>
      <c r="AH75" s="285">
        <v>92915</v>
      </c>
      <c r="AI75" s="564">
        <v>95897</v>
      </c>
      <c r="AJ75" s="565">
        <v>101312</v>
      </c>
      <c r="AK75" s="565">
        <v>103619</v>
      </c>
      <c r="AL75" s="285">
        <v>109050</v>
      </c>
      <c r="AM75" s="285">
        <v>111934</v>
      </c>
      <c r="AN75" s="285">
        <v>118867</v>
      </c>
      <c r="AO75" s="285">
        <v>122053</v>
      </c>
      <c r="AP75" s="285">
        <v>123639</v>
      </c>
      <c r="AQ75" s="285"/>
      <c r="AR75" s="285"/>
    </row>
    <row r="76" spans="2:44" s="167" customFormat="1" outlineLevel="1">
      <c r="B76" s="308" t="s">
        <v>38</v>
      </c>
      <c r="C76" s="158"/>
      <c r="D76" s="158"/>
      <c r="O76" s="197"/>
      <c r="P76" s="198"/>
      <c r="Q76" s="199"/>
      <c r="R76" s="198"/>
      <c r="S76" s="198"/>
      <c r="T76" s="198"/>
      <c r="U76" s="198"/>
      <c r="V76" s="198"/>
      <c r="W76" s="198"/>
      <c r="X76" s="285"/>
      <c r="Y76" s="276"/>
      <c r="Z76" s="285"/>
      <c r="AA76" s="276"/>
      <c r="AB76" s="285"/>
      <c r="AC76" s="276"/>
      <c r="AD76" s="285"/>
      <c r="AE76" s="285"/>
      <c r="AF76" s="285"/>
      <c r="AG76" s="285"/>
      <c r="AH76" s="285"/>
      <c r="AI76" s="564"/>
      <c r="AJ76" s="565"/>
      <c r="AK76" s="565"/>
      <c r="AL76" s="285"/>
      <c r="AM76" s="285"/>
      <c r="AN76" s="285"/>
      <c r="AO76" s="285"/>
      <c r="AP76" s="285"/>
      <c r="AQ76" s="285"/>
      <c r="AR76" s="285"/>
    </row>
    <row r="77" spans="2:44" s="167" customFormat="1" outlineLevel="1">
      <c r="B77" s="308"/>
      <c r="C77" s="158" t="s">
        <v>39</v>
      </c>
      <c r="D77" s="158"/>
      <c r="O77" s="197"/>
      <c r="P77" s="198"/>
      <c r="Q77" s="199"/>
      <c r="R77" s="198"/>
      <c r="S77" s="198"/>
      <c r="T77" s="198"/>
      <c r="U77" s="198"/>
      <c r="V77" s="198"/>
      <c r="W77" s="198"/>
      <c r="X77" s="285">
        <v>66483</v>
      </c>
      <c r="Y77" s="276">
        <v>72817</v>
      </c>
      <c r="Z77" s="285">
        <v>76739</v>
      </c>
      <c r="AA77" s="276">
        <v>79642</v>
      </c>
      <c r="AB77" s="285">
        <v>83189</v>
      </c>
      <c r="AC77" s="276">
        <v>87355</v>
      </c>
      <c r="AD77" s="285">
        <v>93101</v>
      </c>
      <c r="AE77" s="276">
        <v>93221</v>
      </c>
      <c r="AF77" s="285">
        <v>97682</v>
      </c>
      <c r="AG77" s="285">
        <v>102573</v>
      </c>
      <c r="AH77" s="285">
        <v>105083</v>
      </c>
      <c r="AI77" s="564">
        <v>115819</v>
      </c>
      <c r="AJ77" s="191">
        <v>121988</v>
      </c>
      <c r="AK77" s="191">
        <v>118104</v>
      </c>
      <c r="AL77" s="285">
        <v>126862</v>
      </c>
      <c r="AM77" s="285">
        <v>130709</v>
      </c>
      <c r="AN77" s="285">
        <v>138808</v>
      </c>
      <c r="AO77" s="285">
        <v>142282</v>
      </c>
      <c r="AP77" s="285">
        <v>144411</v>
      </c>
      <c r="AQ77" s="285"/>
      <c r="AR77" s="285"/>
    </row>
    <row r="78" spans="2:44" s="167" customFormat="1" outlineLevel="1">
      <c r="B78" s="158" t="s">
        <v>40</v>
      </c>
      <c r="C78" s="158"/>
      <c r="D78" s="158"/>
      <c r="O78" s="197"/>
      <c r="P78" s="198"/>
      <c r="Q78" s="199"/>
      <c r="R78" s="198"/>
      <c r="S78" s="198"/>
      <c r="T78" s="198"/>
      <c r="U78" s="198"/>
      <c r="V78" s="198"/>
      <c r="W78" s="198"/>
      <c r="X78" s="285"/>
      <c r="Y78" s="276"/>
      <c r="Z78" s="285"/>
      <c r="AA78" s="276"/>
      <c r="AB78" s="285"/>
      <c r="AC78" s="276"/>
      <c r="AD78" s="285"/>
      <c r="AE78" s="276"/>
      <c r="AF78" s="285"/>
      <c r="AG78" s="285"/>
      <c r="AH78" s="285"/>
      <c r="AI78" s="564"/>
      <c r="AJ78" s="191"/>
      <c r="AK78" s="191"/>
      <c r="AL78" s="285"/>
      <c r="AM78" s="285"/>
      <c r="AN78" s="285"/>
      <c r="AO78" s="285"/>
      <c r="AP78" s="285"/>
      <c r="AQ78" s="285"/>
      <c r="AR78" s="285"/>
    </row>
    <row r="79" spans="2:44" s="167" customFormat="1" outlineLevel="1">
      <c r="B79" s="158"/>
      <c r="D79" s="158"/>
      <c r="O79" s="197"/>
      <c r="P79" s="198"/>
      <c r="Q79" s="199"/>
      <c r="R79" s="198"/>
      <c r="S79" s="198"/>
      <c r="T79" s="198"/>
      <c r="U79" s="198"/>
      <c r="V79" s="198"/>
      <c r="W79" s="198"/>
      <c r="X79" s="285"/>
      <c r="Y79" s="276"/>
      <c r="Z79" s="285"/>
      <c r="AA79" s="276"/>
      <c r="AB79" s="285"/>
      <c r="AC79" s="276"/>
      <c r="AD79" s="285"/>
      <c r="AE79" s="276"/>
      <c r="AF79" s="285"/>
      <c r="AG79" s="285"/>
      <c r="AH79" s="285"/>
      <c r="AI79" s="564"/>
      <c r="AJ79" s="191"/>
      <c r="AK79" s="191"/>
      <c r="AL79" s="285"/>
      <c r="AM79" s="285"/>
      <c r="AN79" s="285"/>
      <c r="AO79" s="285"/>
      <c r="AP79" s="285"/>
      <c r="AQ79" s="285"/>
      <c r="AR79" s="285"/>
    </row>
    <row r="80" spans="2:44" s="167" customFormat="1" outlineLevel="1">
      <c r="B80" s="310" t="s">
        <v>41</v>
      </c>
      <c r="C80" s="158"/>
      <c r="D80" s="294"/>
      <c r="O80" s="197"/>
      <c r="P80" s="198"/>
      <c r="Q80" s="199"/>
      <c r="R80" s="198"/>
      <c r="S80" s="198"/>
      <c r="T80" s="198"/>
      <c r="U80" s="198"/>
      <c r="V80" s="198"/>
      <c r="W80" s="198"/>
      <c r="X80" s="295"/>
      <c r="Y80" s="287"/>
      <c r="Z80" s="295"/>
      <c r="AA80" s="287"/>
      <c r="AB80" s="295"/>
      <c r="AC80" s="287"/>
      <c r="AD80" s="295"/>
      <c r="AE80" s="287"/>
      <c r="AF80" s="295"/>
      <c r="AG80" s="295"/>
      <c r="AH80" s="295"/>
      <c r="AI80" s="566"/>
      <c r="AJ80" s="567"/>
      <c r="AK80" s="567"/>
      <c r="AL80" s="295"/>
      <c r="AM80" s="295"/>
      <c r="AN80" s="295"/>
      <c r="AO80" s="295"/>
      <c r="AP80" s="295"/>
      <c r="AQ80" s="295"/>
      <c r="AR80" s="295"/>
    </row>
    <row r="81" spans="2:46" s="167" customFormat="1" outlineLevel="1">
      <c r="B81" s="158"/>
      <c r="C81" s="294" t="s">
        <v>42</v>
      </c>
      <c r="D81" s="158"/>
      <c r="O81" s="197"/>
      <c r="P81" s="198"/>
      <c r="Q81" s="199"/>
      <c r="R81" s="198"/>
      <c r="S81" s="198"/>
      <c r="T81" s="198"/>
      <c r="U81" s="198"/>
      <c r="V81" s="198"/>
      <c r="W81" s="198"/>
      <c r="X81" s="641">
        <f>X70/X68</f>
        <v>9.8571069834506558E-2</v>
      </c>
      <c r="Y81" s="287">
        <f t="shared" ref="Y81:AN81" si="17">Y70/Y68</f>
        <v>0.10187292869993372</v>
      </c>
      <c r="Z81" s="641">
        <f t="shared" si="17"/>
        <v>0.10038599095516376</v>
      </c>
      <c r="AA81" s="287">
        <f t="shared" si="17"/>
        <v>9.8051370688294101E-2</v>
      </c>
      <c r="AB81" s="641">
        <f t="shared" si="17"/>
        <v>9.7072931046585084E-2</v>
      </c>
      <c r="AC81" s="287">
        <f t="shared" si="17"/>
        <v>9.3447299161732236E-2</v>
      </c>
      <c r="AD81" s="641">
        <f t="shared" si="17"/>
        <v>9.0886610088340064E-2</v>
      </c>
      <c r="AE81" s="287">
        <f t="shared" si="17"/>
        <v>8.5961537731947812E-2</v>
      </c>
      <c r="AF81" s="295">
        <f t="shared" si="17"/>
        <v>8.635601093843602E-2</v>
      </c>
      <c r="AG81" s="295">
        <f t="shared" si="17"/>
        <v>8.4365044113104512E-2</v>
      </c>
      <c r="AH81" s="295">
        <f t="shared" si="17"/>
        <v>8.0206847437183357E-2</v>
      </c>
      <c r="AI81" s="566">
        <f t="shared" si="17"/>
        <v>7.9012162302946665E-2</v>
      </c>
      <c r="AJ81" s="567">
        <f t="shared" si="17"/>
        <v>8.0150659505568281E-2</v>
      </c>
      <c r="AK81" s="567">
        <f t="shared" si="17"/>
        <v>7.7482519878048314E-2</v>
      </c>
      <c r="AL81" s="295">
        <f t="shared" si="17"/>
        <v>7.5799542585041207E-2</v>
      </c>
      <c r="AM81" s="295">
        <f t="shared" si="17"/>
        <v>7.5196443939640922E-2</v>
      </c>
      <c r="AN81" s="295">
        <f t="shared" si="17"/>
        <v>7.5126972678808301E-2</v>
      </c>
      <c r="AO81" s="295">
        <f>AO70/AO68</f>
        <v>7.3623554377342179E-2</v>
      </c>
      <c r="AP81" s="295">
        <f t="shared" ref="AP81" si="18">AP70/AP68</f>
        <v>7.2068015318215786E-2</v>
      </c>
      <c r="AQ81" s="296"/>
      <c r="AR81" s="296"/>
    </row>
    <row r="82" spans="2:46" s="167" customFormat="1" ht="12" customHeight="1" outlineLevel="1">
      <c r="B82" s="308" t="s">
        <v>43</v>
      </c>
      <c r="C82" s="158"/>
      <c r="D82" s="158"/>
      <c r="O82" s="197"/>
      <c r="P82" s="198"/>
      <c r="Q82" s="199"/>
      <c r="R82" s="198"/>
      <c r="S82" s="198"/>
      <c r="T82" s="198"/>
      <c r="U82" s="198"/>
      <c r="V82" s="198"/>
      <c r="W82" s="198"/>
      <c r="X82" s="296"/>
      <c r="Y82" s="276"/>
      <c r="Z82" s="296"/>
      <c r="AA82" s="276"/>
      <c r="AB82" s="296"/>
      <c r="AC82" s="276"/>
      <c r="AD82" s="296"/>
      <c r="AE82" s="276"/>
      <c r="AF82" s="296"/>
      <c r="AG82" s="296"/>
      <c r="AH82" s="296"/>
      <c r="AI82" s="568"/>
      <c r="AJ82" s="569"/>
      <c r="AK82" s="569"/>
      <c r="AL82" s="296"/>
      <c r="AM82" s="296"/>
      <c r="AN82" s="296"/>
      <c r="AO82" s="296"/>
      <c r="AP82" s="296"/>
      <c r="AQ82" s="296"/>
      <c r="AR82" s="296"/>
    </row>
    <row r="83" spans="2:46" s="167" customFormat="1" ht="12" customHeight="1" outlineLevel="1">
      <c r="B83" s="158"/>
      <c r="C83" s="158" t="s">
        <v>44</v>
      </c>
      <c r="D83" s="158"/>
      <c r="O83" s="197"/>
      <c r="P83" s="198"/>
      <c r="Q83" s="199"/>
      <c r="R83" s="198"/>
      <c r="S83" s="198"/>
      <c r="T83" s="198"/>
      <c r="U83" s="198"/>
      <c r="V83" s="198"/>
      <c r="W83" s="198"/>
      <c r="X83" s="285">
        <f>X77/X68</f>
        <v>0.13463657056760281</v>
      </c>
      <c r="Y83" s="276">
        <f t="shared" ref="Y83:AN83" si="19">Y77/Y68</f>
        <v>0.13789792633273365</v>
      </c>
      <c r="Z83" s="285">
        <f t="shared" si="19"/>
        <v>0.13593648420519344</v>
      </c>
      <c r="AA83" s="276">
        <f t="shared" si="19"/>
        <v>0.13236054212612494</v>
      </c>
      <c r="AB83" s="285">
        <f t="shared" si="19"/>
        <v>0.12976282396250108</v>
      </c>
      <c r="AC83" s="276">
        <f t="shared" si="19"/>
        <v>0.12515276072476994</v>
      </c>
      <c r="AD83" s="285">
        <f t="shared" si="19"/>
        <v>0.1224619990424127</v>
      </c>
      <c r="AE83" s="276">
        <f t="shared" si="19"/>
        <v>0.11788949464368592</v>
      </c>
      <c r="AF83" s="296">
        <f t="shared" si="19"/>
        <v>0.11680020853336713</v>
      </c>
      <c r="AG83" s="296">
        <f t="shared" si="19"/>
        <v>0.11563540682586315</v>
      </c>
      <c r="AH83" s="296">
        <f t="shared" si="19"/>
        <v>0.11236636291117665</v>
      </c>
      <c r="AI83" s="568">
        <f t="shared" si="19"/>
        <v>0.11946618310398145</v>
      </c>
      <c r="AJ83" s="569">
        <f t="shared" si="19"/>
        <v>0.12043677434641814</v>
      </c>
      <c r="AK83" s="569">
        <f t="shared" si="19"/>
        <v>0.11238281562229996</v>
      </c>
      <c r="AL83" s="296">
        <f t="shared" si="19"/>
        <v>0.11554873855665633</v>
      </c>
      <c r="AM83" s="296">
        <f t="shared" si="19"/>
        <v>0.11455271428295991</v>
      </c>
      <c r="AN83" s="296">
        <f t="shared" si="19"/>
        <v>0.11668204965257989</v>
      </c>
      <c r="AO83" s="296">
        <f>AO77/AO68</f>
        <v>0.1147161645284674</v>
      </c>
      <c r="AP83" s="296">
        <f t="shared" ref="AP83" si="20">AP77/AP68</f>
        <v>0.11591484279243593</v>
      </c>
      <c r="AQ83" s="296"/>
      <c r="AR83" s="296"/>
    </row>
    <row r="84" spans="2:46" s="167" customFormat="1" ht="12" customHeight="1" outlineLevel="1">
      <c r="B84" s="308" t="s">
        <v>45</v>
      </c>
      <c r="C84" s="158"/>
      <c r="D84" s="158"/>
      <c r="O84" s="197"/>
      <c r="P84" s="198"/>
      <c r="Q84" s="199"/>
      <c r="R84" s="198"/>
      <c r="S84" s="198"/>
      <c r="T84" s="198"/>
      <c r="U84" s="198"/>
      <c r="V84" s="198"/>
      <c r="W84" s="198"/>
      <c r="X84" s="296"/>
      <c r="Y84" s="276"/>
      <c r="Z84" s="296"/>
      <c r="AA84" s="276"/>
      <c r="AB84" s="296"/>
      <c r="AC84" s="276"/>
      <c r="AD84" s="296"/>
      <c r="AE84" s="276"/>
      <c r="AF84" s="296"/>
      <c r="AG84" s="296"/>
      <c r="AH84" s="296"/>
      <c r="AI84" s="568"/>
      <c r="AJ84" s="569"/>
      <c r="AK84" s="569"/>
      <c r="AL84" s="296"/>
      <c r="AM84" s="296"/>
      <c r="AN84" s="296"/>
      <c r="AO84" s="296"/>
      <c r="AP84" s="296"/>
      <c r="AQ84" s="296"/>
      <c r="AR84" s="296"/>
    </row>
    <row r="85" spans="2:46" s="167" customFormat="1" ht="12" customHeight="1" outlineLevel="1">
      <c r="B85" s="226"/>
      <c r="C85" s="158" t="s">
        <v>46</v>
      </c>
      <c r="D85" s="226"/>
      <c r="O85" s="197"/>
      <c r="P85" s="198"/>
      <c r="Q85" s="199"/>
      <c r="R85" s="198"/>
      <c r="S85" s="198"/>
      <c r="T85" s="198"/>
      <c r="U85" s="198"/>
      <c r="V85" s="198"/>
      <c r="W85" s="198"/>
      <c r="X85" s="639">
        <f>X77/X66</f>
        <v>0.15204559332383472</v>
      </c>
      <c r="Y85" s="639">
        <f t="shared" ref="Y85:AN85" si="21">Y77/Y66</f>
        <v>0.15537210185592176</v>
      </c>
      <c r="Z85" s="639">
        <f t="shared" si="21"/>
        <v>0.15326434949680146</v>
      </c>
      <c r="AA85" s="639">
        <f t="shared" si="21"/>
        <v>0.14966052868452751</v>
      </c>
      <c r="AB85" s="639">
        <f t="shared" si="21"/>
        <v>0.14688490434444826</v>
      </c>
      <c r="AC85" s="639">
        <f t="shared" si="21"/>
        <v>0.1417895791030192</v>
      </c>
      <c r="AD85" s="639">
        <f t="shared" si="21"/>
        <v>0.1397082215379444</v>
      </c>
      <c r="AE85" s="639">
        <f t="shared" si="21"/>
        <v>0.1354194660852108</v>
      </c>
      <c r="AF85" s="639">
        <f t="shared" si="21"/>
        <v>0.13387569605576397</v>
      </c>
      <c r="AG85" s="640">
        <f t="shared" si="21"/>
        <v>0.13256881563948333</v>
      </c>
      <c r="AH85" s="640">
        <f t="shared" si="21"/>
        <v>0.12905797003553046</v>
      </c>
      <c r="AI85" s="640">
        <f t="shared" si="21"/>
        <v>0.13620092338014522</v>
      </c>
      <c r="AJ85" s="640">
        <f t="shared" si="21"/>
        <v>0.13732871623295043</v>
      </c>
      <c r="AK85" s="640">
        <f t="shared" si="21"/>
        <v>0.12797371697420132</v>
      </c>
      <c r="AL85" s="639">
        <f t="shared" si="21"/>
        <v>0.13245532339638244</v>
      </c>
      <c r="AM85" s="639">
        <f t="shared" si="21"/>
        <v>0.13184936515926246</v>
      </c>
      <c r="AN85" s="639">
        <f t="shared" si="21"/>
        <v>0.13454350894061817</v>
      </c>
      <c r="AO85" s="639">
        <f>AO77/AO66</f>
        <v>0.13353906394449028</v>
      </c>
      <c r="AP85" s="639">
        <f t="shared" ref="AP85" si="22">AP77/AP66</f>
        <v>0.13770609045571142</v>
      </c>
      <c r="AQ85" s="639"/>
      <c r="AR85" s="563"/>
    </row>
    <row r="86" spans="2:46" s="167" customFormat="1" ht="34.5" customHeight="1" outlineLevel="1">
      <c r="B86" s="158"/>
      <c r="C86" s="570"/>
      <c r="D86" s="158"/>
      <c r="O86" s="197"/>
      <c r="P86" s="198"/>
      <c r="Q86" s="199"/>
      <c r="R86" s="198"/>
      <c r="S86" s="198"/>
      <c r="T86" s="198"/>
      <c r="U86" s="198"/>
      <c r="V86" s="198"/>
      <c r="W86" s="198"/>
      <c r="X86" s="276"/>
      <c r="Y86" s="276"/>
      <c r="Z86" s="276"/>
      <c r="AA86" s="276"/>
      <c r="AB86" s="276"/>
      <c r="AC86" s="276"/>
      <c r="AD86" s="276"/>
      <c r="AE86" s="276"/>
      <c r="AF86" s="276"/>
      <c r="AG86" s="210"/>
      <c r="AH86" s="210"/>
      <c r="AI86" s="210"/>
      <c r="AL86" s="276"/>
      <c r="AM86" s="309"/>
      <c r="AN86" s="276"/>
      <c r="AP86" s="545"/>
    </row>
    <row r="87" spans="2:46" ht="15">
      <c r="B87" s="158"/>
      <c r="C87" s="831"/>
      <c r="D87" s="158"/>
      <c r="E87" s="158"/>
      <c r="F87" s="158"/>
      <c r="G87" s="158"/>
      <c r="H87" s="158"/>
      <c r="I87" s="158"/>
      <c r="J87" s="158"/>
      <c r="K87" s="158"/>
      <c r="L87" s="158"/>
      <c r="M87" s="158"/>
      <c r="N87" s="158"/>
      <c r="O87" s="283"/>
      <c r="P87" s="283"/>
      <c r="Q87" s="283"/>
      <c r="R87" s="283"/>
      <c r="S87" s="283"/>
      <c r="T87" s="283"/>
      <c r="U87" s="283"/>
      <c r="V87" s="283"/>
      <c r="W87" s="283"/>
      <c r="X87" s="284"/>
      <c r="Y87" s="285"/>
      <c r="Z87" s="285"/>
      <c r="AA87" s="285"/>
      <c r="AB87" s="285"/>
      <c r="AC87" s="285"/>
      <c r="AD87" s="285"/>
      <c r="AE87" s="285"/>
      <c r="AF87" s="285"/>
      <c r="AI87" s="312"/>
    </row>
    <row r="88" spans="2:46">
      <c r="B88" s="286" t="s">
        <v>1342</v>
      </c>
      <c r="C88" s="158"/>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I88" s="312"/>
    </row>
    <row r="89" spans="2:46">
      <c r="B89" s="897"/>
      <c r="C89" s="287"/>
      <c r="D89" s="897"/>
      <c r="E89" s="897"/>
      <c r="F89" s="897"/>
      <c r="G89" s="897"/>
      <c r="H89" s="897"/>
      <c r="I89" s="897"/>
      <c r="J89" s="897"/>
      <c r="K89" s="897"/>
      <c r="L89" s="897"/>
      <c r="M89" s="897"/>
      <c r="N89" s="897"/>
      <c r="O89" s="897"/>
      <c r="P89" s="897"/>
      <c r="Q89" s="897"/>
      <c r="R89" s="897"/>
      <c r="S89" s="897"/>
      <c r="T89" s="897"/>
      <c r="U89" s="897"/>
      <c r="V89" s="897"/>
      <c r="W89" s="897"/>
      <c r="X89" s="897"/>
      <c r="Y89" s="897"/>
      <c r="Z89" s="897"/>
      <c r="AA89" s="897"/>
      <c r="AB89" s="897"/>
      <c r="AC89" s="897"/>
      <c r="AD89" s="897"/>
      <c r="AE89" s="897"/>
      <c r="AF89" s="897"/>
      <c r="AI89" s="312"/>
    </row>
    <row r="90" spans="2:46" ht="12.75" customHeight="1">
      <c r="B90" s="863"/>
      <c r="C90" s="863"/>
      <c r="D90" s="863"/>
      <c r="E90" s="863"/>
      <c r="F90" s="863"/>
      <c r="G90" s="863"/>
      <c r="H90" s="863"/>
      <c r="I90" s="863"/>
      <c r="J90" s="863"/>
      <c r="K90" s="863"/>
      <c r="L90" s="863"/>
      <c r="M90" s="863"/>
      <c r="N90" s="863"/>
      <c r="O90" s="863"/>
      <c r="P90" s="863"/>
      <c r="Q90" s="863"/>
      <c r="R90" s="863"/>
      <c r="S90" s="863"/>
      <c r="T90" s="863"/>
      <c r="U90" s="863"/>
      <c r="V90" s="863"/>
      <c r="W90" s="863"/>
      <c r="X90" s="863">
        <v>2001</v>
      </c>
      <c r="Y90" s="867"/>
      <c r="Z90" s="863">
        <v>2003</v>
      </c>
      <c r="AA90" s="867"/>
      <c r="AB90" s="863">
        <v>2005</v>
      </c>
      <c r="AC90" s="867"/>
      <c r="AD90" s="863">
        <v>2007</v>
      </c>
      <c r="AE90" s="867"/>
      <c r="AF90" s="863">
        <v>2009</v>
      </c>
      <c r="AG90" s="863">
        <v>2010</v>
      </c>
      <c r="AH90" s="863">
        <v>2011</v>
      </c>
      <c r="AI90" s="863">
        <v>2012</v>
      </c>
      <c r="AJ90" s="863">
        <v>2013</v>
      </c>
      <c r="AK90" s="863">
        <v>2014</v>
      </c>
      <c r="AL90" s="863">
        <v>2015</v>
      </c>
      <c r="AM90" s="863">
        <v>2016</v>
      </c>
      <c r="AN90" s="863">
        <v>2017</v>
      </c>
      <c r="AO90" s="863">
        <v>2018</v>
      </c>
      <c r="AP90" s="863">
        <v>2019</v>
      </c>
      <c r="AQ90" s="863">
        <v>2020</v>
      </c>
      <c r="AR90" s="863">
        <v>2021</v>
      </c>
      <c r="AS90" s="545"/>
      <c r="AT90" s="545"/>
    </row>
    <row r="91" spans="2:46" ht="15">
      <c r="X91" s="867"/>
      <c r="Y91" s="867"/>
      <c r="Z91" s="867"/>
      <c r="AA91" s="867"/>
      <c r="AB91" s="867"/>
      <c r="AC91" s="867"/>
      <c r="AD91" s="867"/>
      <c r="AE91" s="867"/>
      <c r="AF91" s="867"/>
      <c r="AG91" s="867"/>
      <c r="AH91" s="867"/>
      <c r="AI91" s="898"/>
      <c r="AJ91" s="867"/>
      <c r="AL91" s="867"/>
      <c r="AS91" s="545"/>
      <c r="AT91" s="545"/>
    </row>
    <row r="92" spans="2:46" s="217" customFormat="1" ht="15">
      <c r="B92" s="217" t="s">
        <v>1560</v>
      </c>
      <c r="C92" s="311"/>
      <c r="P92" s="899">
        <f t="shared" ref="P92:V92" si="23">SUM(P93:P152)</f>
        <v>0</v>
      </c>
      <c r="Q92" s="899">
        <f t="shared" si="23"/>
        <v>0</v>
      </c>
      <c r="R92" s="899">
        <f t="shared" si="23"/>
        <v>0</v>
      </c>
      <c r="S92" s="899">
        <f t="shared" si="23"/>
        <v>0</v>
      </c>
      <c r="T92" s="899">
        <f t="shared" si="23"/>
        <v>0</v>
      </c>
      <c r="U92" s="899">
        <f t="shared" si="23"/>
        <v>0</v>
      </c>
      <c r="V92" s="899">
        <f t="shared" si="23"/>
        <v>0</v>
      </c>
      <c r="W92" s="899"/>
      <c r="X92" s="900">
        <f>X94+X103</f>
        <v>2389</v>
      </c>
      <c r="Y92" s="900"/>
      <c r="Z92" s="900">
        <f>Z94+Z103</f>
        <v>1728</v>
      </c>
      <c r="AA92" s="900"/>
      <c r="AB92" s="900">
        <f>AB94+AB103</f>
        <v>3306</v>
      </c>
      <c r="AC92" s="900"/>
      <c r="AD92" s="900">
        <f>AD94+AD103</f>
        <v>3896</v>
      </c>
      <c r="AE92" s="900"/>
      <c r="AF92" s="900">
        <f t="shared" ref="AF92:AM92" si="24">AF94+AF103</f>
        <v>4510</v>
      </c>
      <c r="AG92" s="900">
        <f t="shared" si="24"/>
        <v>4533</v>
      </c>
      <c r="AH92" s="900">
        <f t="shared" si="24"/>
        <v>4877</v>
      </c>
      <c r="AI92" s="900">
        <f t="shared" si="24"/>
        <v>4941</v>
      </c>
      <c r="AJ92" s="900">
        <f t="shared" si="24"/>
        <v>5084</v>
      </c>
      <c r="AK92" s="900">
        <f t="shared" si="24"/>
        <v>5454</v>
      </c>
      <c r="AL92" s="900">
        <f t="shared" si="24"/>
        <v>5531</v>
      </c>
      <c r="AM92" s="900">
        <f t="shared" si="24"/>
        <v>5500</v>
      </c>
      <c r="AN92" s="900">
        <f>AN94+AN103</f>
        <v>5904</v>
      </c>
      <c r="AO92" s="900">
        <f>AO94+AO103</f>
        <v>6203</v>
      </c>
      <c r="AP92" s="900">
        <f>AP94+AP103</f>
        <v>8058</v>
      </c>
      <c r="AQ92" s="900">
        <f t="shared" ref="AQ92:AR92" si="25">AQ94+AQ103</f>
        <v>8396</v>
      </c>
      <c r="AR92" s="900">
        <f t="shared" si="25"/>
        <v>9863</v>
      </c>
      <c r="AS92" s="545"/>
      <c r="AT92" s="545"/>
    </row>
    <row r="93" spans="2:46" ht="15">
      <c r="C93" s="21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545"/>
      <c r="AT93" s="545"/>
    </row>
    <row r="94" spans="2:46" ht="15">
      <c r="C94" s="217" t="s">
        <v>54</v>
      </c>
      <c r="X94" s="901">
        <f>SUM(X95:X99)</f>
        <v>376</v>
      </c>
      <c r="Y94" s="901"/>
      <c r="Z94" s="901">
        <f t="shared" ref="Z94:AR94" si="26">SUM(Z95:Z99)</f>
        <v>385</v>
      </c>
      <c r="AA94" s="901"/>
      <c r="AB94" s="901">
        <f t="shared" si="26"/>
        <v>430</v>
      </c>
      <c r="AC94" s="901"/>
      <c r="AD94" s="901">
        <f t="shared" si="26"/>
        <v>470</v>
      </c>
      <c r="AE94" s="901"/>
      <c r="AF94" s="901">
        <f t="shared" si="26"/>
        <v>585</v>
      </c>
      <c r="AG94" s="901">
        <f t="shared" si="26"/>
        <v>560</v>
      </c>
      <c r="AH94" s="901">
        <f t="shared" si="26"/>
        <v>500</v>
      </c>
      <c r="AI94" s="901">
        <f t="shared" si="26"/>
        <v>370</v>
      </c>
      <c r="AJ94" s="901">
        <f t="shared" si="26"/>
        <v>140</v>
      </c>
      <c r="AK94" s="901">
        <f t="shared" si="26"/>
        <v>120</v>
      </c>
      <c r="AL94" s="901">
        <f t="shared" si="26"/>
        <v>7</v>
      </c>
      <c r="AM94" s="901">
        <f t="shared" si="26"/>
        <v>6</v>
      </c>
      <c r="AN94" s="901">
        <f t="shared" si="26"/>
        <v>5</v>
      </c>
      <c r="AO94" s="901">
        <f t="shared" si="26"/>
        <v>4</v>
      </c>
      <c r="AP94" s="901">
        <f t="shared" si="26"/>
        <v>4</v>
      </c>
      <c r="AQ94" s="901">
        <f t="shared" si="26"/>
        <v>3</v>
      </c>
      <c r="AR94" s="901">
        <f t="shared" si="26"/>
        <v>3</v>
      </c>
      <c r="AS94" s="545"/>
      <c r="AT94" s="545"/>
    </row>
    <row r="95" spans="2:46" ht="15">
      <c r="X95" s="867"/>
      <c r="Y95" s="867"/>
      <c r="Z95" s="867"/>
      <c r="AA95" s="867"/>
      <c r="AB95" s="867"/>
      <c r="AC95" s="867"/>
      <c r="AD95" s="867"/>
      <c r="AE95" s="867"/>
      <c r="AF95" s="867"/>
      <c r="AG95" s="902"/>
      <c r="AH95" s="902"/>
      <c r="AI95" s="851"/>
      <c r="AJ95" s="855"/>
      <c r="AL95" s="855"/>
      <c r="AS95" s="545"/>
      <c r="AT95" s="545"/>
    </row>
    <row r="96" spans="2:46" ht="15.75" customHeight="1">
      <c r="C96" s="311" t="s">
        <v>1343</v>
      </c>
      <c r="P96" s="312"/>
      <c r="Q96" s="312"/>
      <c r="V96" s="312"/>
      <c r="W96" s="312"/>
      <c r="X96" s="902">
        <v>16</v>
      </c>
      <c r="Y96" s="902"/>
      <c r="Z96" s="902">
        <v>15</v>
      </c>
      <c r="AA96" s="902"/>
      <c r="AB96" s="902">
        <v>20</v>
      </c>
      <c r="AC96" s="902"/>
      <c r="AD96" s="902" t="s">
        <v>269</v>
      </c>
      <c r="AE96" s="902"/>
      <c r="AF96" s="902" t="s">
        <v>269</v>
      </c>
      <c r="AG96" s="902" t="s">
        <v>269</v>
      </c>
      <c r="AH96" s="902" t="s">
        <v>269</v>
      </c>
      <c r="AI96" s="902" t="s">
        <v>269</v>
      </c>
      <c r="AJ96" s="902" t="s">
        <v>269</v>
      </c>
      <c r="AK96" s="902" t="s">
        <v>269</v>
      </c>
      <c r="AL96" s="902" t="s">
        <v>269</v>
      </c>
      <c r="AM96" s="902" t="s">
        <v>269</v>
      </c>
      <c r="AN96" s="902" t="s">
        <v>269</v>
      </c>
      <c r="AO96" s="902" t="s">
        <v>269</v>
      </c>
      <c r="AP96" s="902" t="s">
        <v>269</v>
      </c>
      <c r="AQ96" s="902" t="s">
        <v>269</v>
      </c>
      <c r="AR96" s="902" t="s">
        <v>269</v>
      </c>
      <c r="AS96" s="545"/>
      <c r="AT96" s="545"/>
    </row>
    <row r="97" spans="3:53" ht="15.75" customHeight="1">
      <c r="C97" s="311" t="s">
        <v>1344</v>
      </c>
      <c r="P97" s="312"/>
      <c r="Q97" s="312"/>
      <c r="V97" s="312"/>
      <c r="W97" s="312"/>
      <c r="X97" s="902">
        <v>360</v>
      </c>
      <c r="Y97" s="902"/>
      <c r="Z97" s="902">
        <v>370</v>
      </c>
      <c r="AA97" s="902"/>
      <c r="AB97" s="902">
        <v>390</v>
      </c>
      <c r="AC97" s="902"/>
      <c r="AD97" s="902" t="s">
        <v>269</v>
      </c>
      <c r="AE97" s="902"/>
      <c r="AF97" s="902" t="s">
        <v>269</v>
      </c>
      <c r="AG97" s="902" t="s">
        <v>269</v>
      </c>
      <c r="AH97" s="902" t="s">
        <v>269</v>
      </c>
      <c r="AI97" s="902" t="s">
        <v>269</v>
      </c>
      <c r="AJ97" s="902" t="s">
        <v>269</v>
      </c>
      <c r="AK97" s="902" t="s">
        <v>269</v>
      </c>
      <c r="AL97" s="902" t="s">
        <v>269</v>
      </c>
      <c r="AM97" s="902" t="s">
        <v>269</v>
      </c>
      <c r="AN97" s="902" t="s">
        <v>269</v>
      </c>
      <c r="AO97" s="902" t="s">
        <v>269</v>
      </c>
      <c r="AP97" s="902" t="s">
        <v>269</v>
      </c>
      <c r="AQ97" s="902" t="s">
        <v>269</v>
      </c>
      <c r="AR97" s="902" t="s">
        <v>269</v>
      </c>
      <c r="AS97" s="545"/>
      <c r="AT97" s="545"/>
    </row>
    <row r="98" spans="3:53" ht="15.75" customHeight="1">
      <c r="C98" s="311" t="s">
        <v>1345</v>
      </c>
      <c r="P98" s="312"/>
      <c r="Q98" s="312"/>
      <c r="V98" s="312"/>
      <c r="W98" s="312"/>
      <c r="X98" s="902" t="s">
        <v>269</v>
      </c>
      <c r="Y98" s="902"/>
      <c r="Z98" s="902" t="s">
        <v>269</v>
      </c>
      <c r="AA98" s="902"/>
      <c r="AB98" s="902" t="s">
        <v>269</v>
      </c>
      <c r="AC98" s="902"/>
      <c r="AD98" s="902">
        <v>430</v>
      </c>
      <c r="AE98" s="902"/>
      <c r="AF98" s="902">
        <v>585</v>
      </c>
      <c r="AG98" s="902">
        <v>560</v>
      </c>
      <c r="AH98" s="902">
        <v>500</v>
      </c>
      <c r="AI98" s="312">
        <v>370</v>
      </c>
      <c r="AJ98" s="902">
        <v>140</v>
      </c>
      <c r="AK98" s="902">
        <v>120</v>
      </c>
      <c r="AL98" s="902">
        <v>7</v>
      </c>
      <c r="AM98" s="902">
        <v>6</v>
      </c>
      <c r="AN98" s="902">
        <v>5</v>
      </c>
      <c r="AO98" s="902">
        <v>4</v>
      </c>
      <c r="AP98" s="902">
        <v>4</v>
      </c>
      <c r="AQ98" s="902">
        <v>3</v>
      </c>
      <c r="AR98" s="902">
        <v>3</v>
      </c>
      <c r="AS98" s="545"/>
      <c r="AT98" s="545"/>
      <c r="AW98" s="545"/>
      <c r="AX98" s="545"/>
    </row>
    <row r="99" spans="3:53" ht="15.75" customHeight="1">
      <c r="C99" s="311" t="s">
        <v>1346</v>
      </c>
      <c r="P99" s="312"/>
      <c r="Q99" s="312"/>
      <c r="V99" s="312"/>
      <c r="W99" s="312"/>
      <c r="X99" s="902" t="s">
        <v>269</v>
      </c>
      <c r="Y99" s="902"/>
      <c r="Z99" s="902" t="s">
        <v>269</v>
      </c>
      <c r="AA99" s="902"/>
      <c r="AB99" s="902">
        <v>20</v>
      </c>
      <c r="AC99" s="902"/>
      <c r="AD99" s="902">
        <v>40</v>
      </c>
      <c r="AE99" s="902"/>
      <c r="AF99" s="902" t="s">
        <v>269</v>
      </c>
      <c r="AG99" s="902" t="s">
        <v>269</v>
      </c>
      <c r="AH99" s="902" t="s">
        <v>269</v>
      </c>
      <c r="AI99" s="902" t="s">
        <v>269</v>
      </c>
      <c r="AJ99" s="902" t="s">
        <v>269</v>
      </c>
      <c r="AK99" s="902" t="s">
        <v>269</v>
      </c>
      <c r="AL99" s="902" t="s">
        <v>269</v>
      </c>
      <c r="AM99" s="902" t="s">
        <v>269</v>
      </c>
      <c r="AN99" s="902" t="s">
        <v>269</v>
      </c>
      <c r="AO99" s="902" t="s">
        <v>269</v>
      </c>
      <c r="AP99" s="902" t="s">
        <v>269</v>
      </c>
      <c r="AQ99" s="902" t="s">
        <v>269</v>
      </c>
      <c r="AR99" s="902" t="s">
        <v>269</v>
      </c>
      <c r="AS99" s="545"/>
      <c r="AT99" s="545"/>
      <c r="AW99" s="545"/>
    </row>
    <row r="100" spans="3:53" ht="15">
      <c r="P100" s="312"/>
      <c r="Q100" s="312"/>
      <c r="V100" s="312"/>
      <c r="W100" s="312"/>
      <c r="X100" s="902"/>
      <c r="Y100" s="902"/>
      <c r="Z100" s="902"/>
      <c r="AA100" s="902"/>
      <c r="AB100" s="902"/>
      <c r="AC100" s="902"/>
      <c r="AD100" s="902"/>
      <c r="AE100" s="902"/>
      <c r="AF100" s="902"/>
      <c r="AG100" s="902"/>
      <c r="AH100" s="902"/>
      <c r="AI100" s="851"/>
      <c r="AS100" s="545"/>
      <c r="AT100" s="545"/>
    </row>
    <row r="101" spans="3:53" ht="15">
      <c r="P101" s="312"/>
      <c r="Q101" s="312"/>
      <c r="V101" s="312"/>
      <c r="W101" s="312"/>
      <c r="X101" s="902"/>
      <c r="Y101" s="902"/>
      <c r="Z101" s="902"/>
      <c r="AA101" s="902"/>
      <c r="AB101" s="902"/>
      <c r="AC101" s="902"/>
      <c r="AD101" s="902"/>
      <c r="AE101" s="902"/>
      <c r="AF101" s="902"/>
      <c r="AG101" s="902"/>
      <c r="AH101" s="902"/>
      <c r="AI101" s="851"/>
      <c r="AS101" s="545"/>
      <c r="AT101" s="545"/>
    </row>
    <row r="102" spans="3:53" ht="15">
      <c r="P102" s="312"/>
      <c r="Q102" s="312"/>
      <c r="V102" s="312"/>
      <c r="AS102" s="545"/>
      <c r="AT102" s="545"/>
    </row>
    <row r="103" spans="3:53" ht="16.5" customHeight="1">
      <c r="C103" s="217" t="s">
        <v>56</v>
      </c>
      <c r="W103" s="312"/>
      <c r="X103" s="900">
        <f>SUM(X104:X119)</f>
        <v>2013</v>
      </c>
      <c r="Y103" s="900"/>
      <c r="Z103" s="900">
        <f>SUM(Z104:Z119)</f>
        <v>1343</v>
      </c>
      <c r="AA103" s="900"/>
      <c r="AB103" s="900">
        <f>SUM(AB104:AB119)</f>
        <v>2876</v>
      </c>
      <c r="AC103" s="900"/>
      <c r="AD103" s="900">
        <f>SUM(AD104:AD119)</f>
        <v>3426</v>
      </c>
      <c r="AE103" s="900"/>
      <c r="AF103" s="900">
        <f t="shared" ref="AF103:AR103" si="27">SUM(AF104:AF119)</f>
        <v>3925</v>
      </c>
      <c r="AG103" s="900">
        <f t="shared" si="27"/>
        <v>3973</v>
      </c>
      <c r="AH103" s="900">
        <f t="shared" si="27"/>
        <v>4377</v>
      </c>
      <c r="AI103" s="900">
        <f t="shared" si="27"/>
        <v>4571</v>
      </c>
      <c r="AJ103" s="900">
        <f t="shared" si="27"/>
        <v>4944</v>
      </c>
      <c r="AK103" s="900">
        <f t="shared" si="27"/>
        <v>5334</v>
      </c>
      <c r="AL103" s="900">
        <f t="shared" si="27"/>
        <v>5524</v>
      </c>
      <c r="AM103" s="900">
        <f t="shared" si="27"/>
        <v>5494</v>
      </c>
      <c r="AN103" s="900">
        <f t="shared" si="27"/>
        <v>5899</v>
      </c>
      <c r="AO103" s="900">
        <f t="shared" si="27"/>
        <v>6199</v>
      </c>
      <c r="AP103" s="900">
        <f t="shared" si="27"/>
        <v>8054</v>
      </c>
      <c r="AQ103" s="900">
        <f t="shared" si="27"/>
        <v>8393</v>
      </c>
      <c r="AR103" s="900">
        <f t="shared" si="27"/>
        <v>9860</v>
      </c>
      <c r="AS103" s="545"/>
      <c r="AT103" s="545"/>
      <c r="AW103" s="545"/>
      <c r="AX103" s="545"/>
      <c r="AY103" s="545"/>
    </row>
    <row r="104" spans="3:53" ht="16.5" customHeight="1">
      <c r="C104" s="311" t="s">
        <v>1800</v>
      </c>
      <c r="P104" s="312"/>
      <c r="Q104" s="312"/>
      <c r="V104" s="312"/>
      <c r="X104" s="902">
        <v>150</v>
      </c>
      <c r="Y104" s="902"/>
      <c r="Z104" s="902">
        <v>220</v>
      </c>
      <c r="AA104" s="902"/>
      <c r="AB104" s="902">
        <v>305</v>
      </c>
      <c r="AC104" s="902"/>
      <c r="AD104" s="902">
        <v>390</v>
      </c>
      <c r="AE104" s="902"/>
      <c r="AF104" s="902">
        <v>460</v>
      </c>
      <c r="AG104" s="902">
        <v>530</v>
      </c>
      <c r="AH104" s="902">
        <v>510</v>
      </c>
      <c r="AI104" s="312">
        <v>540</v>
      </c>
      <c r="AJ104" s="902">
        <v>410</v>
      </c>
      <c r="AK104" s="902">
        <v>245</v>
      </c>
      <c r="AL104" s="902">
        <v>175</v>
      </c>
      <c r="AM104" s="902">
        <v>75</v>
      </c>
      <c r="AN104" s="902">
        <v>65</v>
      </c>
      <c r="AO104" s="902">
        <v>65</v>
      </c>
      <c r="AP104" s="902">
        <v>50</v>
      </c>
      <c r="AQ104" s="902">
        <v>4</v>
      </c>
      <c r="AR104" s="902" t="s">
        <v>269</v>
      </c>
      <c r="AS104" s="545"/>
      <c r="AT104" s="545"/>
      <c r="AW104" s="545"/>
      <c r="AX104" s="545"/>
      <c r="AY104" s="545"/>
    </row>
    <row r="105" spans="3:53" ht="16.5" customHeight="1">
      <c r="C105" s="311" t="s">
        <v>1347</v>
      </c>
      <c r="P105" s="312"/>
      <c r="Q105" s="312"/>
      <c r="V105" s="312"/>
      <c r="W105" s="312"/>
      <c r="X105" s="902" t="s">
        <v>269</v>
      </c>
      <c r="Y105" s="902"/>
      <c r="Z105" s="902" t="s">
        <v>269</v>
      </c>
      <c r="AA105" s="902"/>
      <c r="AB105" s="902">
        <v>820</v>
      </c>
      <c r="AC105" s="902"/>
      <c r="AD105" s="902">
        <v>690</v>
      </c>
      <c r="AE105" s="902"/>
      <c r="AF105" s="902">
        <v>590</v>
      </c>
      <c r="AG105" s="902">
        <v>770</v>
      </c>
      <c r="AH105" s="902">
        <v>880</v>
      </c>
      <c r="AI105" s="312">
        <v>500</v>
      </c>
      <c r="AJ105" s="902">
        <v>650</v>
      </c>
      <c r="AK105" s="902">
        <v>750</v>
      </c>
      <c r="AL105" s="902">
        <v>1050</v>
      </c>
      <c r="AM105" s="902">
        <v>1080</v>
      </c>
      <c r="AN105" s="902">
        <v>1120</v>
      </c>
      <c r="AO105" s="902">
        <v>1100</v>
      </c>
      <c r="AP105" s="902">
        <v>1830</v>
      </c>
      <c r="AQ105" s="902">
        <v>1820</v>
      </c>
      <c r="AR105" s="902">
        <v>1130</v>
      </c>
      <c r="AS105" s="545"/>
      <c r="AT105" s="545"/>
      <c r="AV105" s="545"/>
      <c r="AW105" s="545"/>
      <c r="AX105" s="545"/>
      <c r="AY105" s="545"/>
      <c r="AZ105" s="545"/>
    </row>
    <row r="106" spans="3:53" ht="16.5" customHeight="1">
      <c r="C106" s="872" t="s">
        <v>1561</v>
      </c>
      <c r="P106" s="312"/>
      <c r="Q106" s="312"/>
      <c r="V106" s="312"/>
      <c r="W106" s="312"/>
      <c r="X106" s="902" t="s">
        <v>269</v>
      </c>
      <c r="Y106" s="902"/>
      <c r="Z106" s="902" t="s">
        <v>269</v>
      </c>
      <c r="AA106" s="902"/>
      <c r="AB106" s="902">
        <v>14</v>
      </c>
      <c r="AC106" s="902"/>
      <c r="AD106" s="902">
        <v>38</v>
      </c>
      <c r="AE106" s="902"/>
      <c r="AF106" s="902">
        <v>114</v>
      </c>
      <c r="AG106" s="902">
        <v>19</v>
      </c>
      <c r="AH106" s="902">
        <v>1</v>
      </c>
      <c r="AI106" s="902" t="s">
        <v>269</v>
      </c>
      <c r="AJ106" s="902" t="s">
        <v>269</v>
      </c>
      <c r="AK106" s="902" t="s">
        <v>269</v>
      </c>
      <c r="AL106" s="902" t="s">
        <v>269</v>
      </c>
      <c r="AM106" s="902" t="s">
        <v>269</v>
      </c>
      <c r="AN106" s="902" t="s">
        <v>269</v>
      </c>
      <c r="AO106" s="902" t="s">
        <v>269</v>
      </c>
      <c r="AP106" s="902" t="s">
        <v>269</v>
      </c>
      <c r="AQ106" s="902" t="s">
        <v>269</v>
      </c>
      <c r="AR106" s="902" t="s">
        <v>269</v>
      </c>
      <c r="AS106" s="545"/>
      <c r="AT106" s="545"/>
      <c r="AV106" s="545"/>
      <c r="AW106" s="545"/>
      <c r="AX106" s="545"/>
      <c r="AY106" s="545"/>
      <c r="AZ106" s="545"/>
    </row>
    <row r="107" spans="3:53" ht="16.5" customHeight="1">
      <c r="C107" s="311" t="s">
        <v>1348</v>
      </c>
      <c r="P107" s="312"/>
      <c r="Q107" s="312"/>
      <c r="V107" s="312"/>
      <c r="W107" s="312"/>
      <c r="X107" s="902" t="s">
        <v>269</v>
      </c>
      <c r="Y107" s="902"/>
      <c r="Z107" s="902" t="s">
        <v>269</v>
      </c>
      <c r="AA107" s="902"/>
      <c r="AB107" s="902">
        <v>285</v>
      </c>
      <c r="AC107" s="902"/>
      <c r="AD107" s="902">
        <v>325</v>
      </c>
      <c r="AE107" s="902"/>
      <c r="AF107" s="902">
        <v>685</v>
      </c>
      <c r="AG107" s="902">
        <v>730</v>
      </c>
      <c r="AH107" s="902">
        <v>260</v>
      </c>
      <c r="AI107" s="312">
        <v>290</v>
      </c>
      <c r="AJ107" s="902">
        <v>275</v>
      </c>
      <c r="AK107" s="902">
        <v>185</v>
      </c>
      <c r="AL107" s="902">
        <v>190</v>
      </c>
      <c r="AM107" s="902">
        <v>190</v>
      </c>
      <c r="AN107" s="902">
        <v>185</v>
      </c>
      <c r="AO107" s="902">
        <v>215</v>
      </c>
      <c r="AP107" s="902">
        <v>180</v>
      </c>
      <c r="AQ107" s="902">
        <v>180</v>
      </c>
      <c r="AR107" s="902">
        <v>180</v>
      </c>
      <c r="AS107" s="545"/>
      <c r="AT107" s="545"/>
      <c r="AV107" s="545"/>
      <c r="AW107" s="545"/>
      <c r="AX107" s="545"/>
      <c r="AY107" s="545"/>
      <c r="AZ107" s="545"/>
    </row>
    <row r="108" spans="3:53" ht="16.5" customHeight="1">
      <c r="C108" s="311" t="s">
        <v>1349</v>
      </c>
      <c r="P108" s="312"/>
      <c r="Q108" s="312"/>
      <c r="V108" s="312"/>
      <c r="W108" s="312"/>
      <c r="X108" s="902" t="s">
        <v>269</v>
      </c>
      <c r="Y108" s="902"/>
      <c r="Z108" s="902" t="s">
        <v>269</v>
      </c>
      <c r="AA108" s="902"/>
      <c r="AB108" s="902">
        <v>7</v>
      </c>
      <c r="AC108" s="902"/>
      <c r="AD108" s="902">
        <v>8</v>
      </c>
      <c r="AE108" s="902"/>
      <c r="AF108" s="902">
        <v>14</v>
      </c>
      <c r="AG108" s="902">
        <v>16</v>
      </c>
      <c r="AH108" s="902">
        <v>18</v>
      </c>
      <c r="AI108" s="312">
        <v>23</v>
      </c>
      <c r="AJ108" s="902">
        <v>25</v>
      </c>
      <c r="AK108" s="902">
        <v>30</v>
      </c>
      <c r="AL108" s="902">
        <v>35</v>
      </c>
      <c r="AM108" s="902">
        <v>40</v>
      </c>
      <c r="AN108" s="902">
        <v>35</v>
      </c>
      <c r="AO108" s="902">
        <v>40</v>
      </c>
      <c r="AP108" s="902">
        <v>30</v>
      </c>
      <c r="AQ108" s="902">
        <v>20</v>
      </c>
      <c r="AR108" s="902" t="s">
        <v>1011</v>
      </c>
      <c r="AS108" s="545"/>
      <c r="AT108" s="545"/>
      <c r="AV108" s="545"/>
      <c r="AW108" s="545"/>
      <c r="AX108" s="545"/>
      <c r="AY108" s="545"/>
      <c r="AZ108" s="545"/>
    </row>
    <row r="109" spans="3:53" ht="16.5" customHeight="1">
      <c r="C109" s="311" t="s">
        <v>1350</v>
      </c>
      <c r="P109" s="312"/>
      <c r="Q109" s="312"/>
      <c r="V109" s="312"/>
      <c r="W109" s="312"/>
      <c r="X109" s="902" t="s">
        <v>269</v>
      </c>
      <c r="Y109" s="902"/>
      <c r="Z109" s="902" t="s">
        <v>269</v>
      </c>
      <c r="AA109" s="902"/>
      <c r="AB109" s="902">
        <v>2</v>
      </c>
      <c r="AC109" s="902"/>
      <c r="AD109" s="902">
        <v>2</v>
      </c>
      <c r="AE109" s="902"/>
      <c r="AF109" s="902">
        <v>2</v>
      </c>
      <c r="AG109" s="902">
        <v>3</v>
      </c>
      <c r="AH109" s="902">
        <v>3</v>
      </c>
      <c r="AI109" s="312">
        <v>3</v>
      </c>
      <c r="AJ109" s="902">
        <v>4</v>
      </c>
      <c r="AK109" s="902">
        <v>4</v>
      </c>
      <c r="AL109" s="902">
        <v>4</v>
      </c>
      <c r="AM109" s="902">
        <v>4</v>
      </c>
      <c r="AN109" s="902">
        <v>4</v>
      </c>
      <c r="AO109" s="902">
        <v>4</v>
      </c>
      <c r="AP109" s="902">
        <v>4</v>
      </c>
      <c r="AQ109" s="902">
        <v>4</v>
      </c>
      <c r="AR109" s="902">
        <v>5</v>
      </c>
      <c r="AS109" s="545"/>
      <c r="AT109" s="545"/>
      <c r="AV109" s="545"/>
      <c r="AW109" s="545"/>
      <c r="AX109" s="545"/>
      <c r="AY109" s="545"/>
      <c r="AZ109" s="545"/>
    </row>
    <row r="110" spans="3:53" ht="16.5" customHeight="1">
      <c r="C110" s="311" t="s">
        <v>1351</v>
      </c>
      <c r="P110" s="312"/>
      <c r="Q110" s="312"/>
      <c r="V110" s="312"/>
      <c r="W110" s="312"/>
      <c r="X110" s="902"/>
      <c r="Y110" s="902"/>
      <c r="Z110" s="902"/>
      <c r="AA110" s="902"/>
      <c r="AB110" s="902"/>
      <c r="AC110" s="902"/>
      <c r="AD110" s="902"/>
      <c r="AE110" s="902"/>
      <c r="AF110" s="902"/>
      <c r="AG110" s="902"/>
      <c r="AH110" s="902"/>
      <c r="AI110" s="312"/>
      <c r="AJ110" s="867" t="s">
        <v>269</v>
      </c>
      <c r="AK110" s="867">
        <v>20</v>
      </c>
      <c r="AL110" s="867">
        <v>40</v>
      </c>
      <c r="AM110" s="867">
        <v>200</v>
      </c>
      <c r="AN110" s="902">
        <v>670</v>
      </c>
      <c r="AO110" s="902">
        <v>1290</v>
      </c>
      <c r="AP110" s="902">
        <v>2530</v>
      </c>
      <c r="AQ110" s="902">
        <v>2680</v>
      </c>
      <c r="AR110" s="902">
        <v>4300</v>
      </c>
      <c r="AS110" s="545"/>
      <c r="AT110" s="545"/>
      <c r="AV110" s="545"/>
      <c r="AW110" s="545"/>
      <c r="AX110" s="545"/>
      <c r="AY110" s="545"/>
      <c r="AZ110" s="545"/>
    </row>
    <row r="111" spans="3:53" ht="16.5" customHeight="1">
      <c r="C111" s="311" t="s">
        <v>1352</v>
      </c>
      <c r="P111" s="312"/>
      <c r="Q111" s="312"/>
      <c r="V111" s="312"/>
      <c r="W111" s="312"/>
      <c r="X111" s="902"/>
      <c r="Y111" s="902"/>
      <c r="Z111" s="902"/>
      <c r="AA111" s="902"/>
      <c r="AB111" s="902"/>
      <c r="AC111" s="902"/>
      <c r="AD111" s="902"/>
      <c r="AE111" s="902"/>
      <c r="AF111" s="902"/>
      <c r="AG111" s="902"/>
      <c r="AH111" s="902"/>
      <c r="AI111" s="312"/>
      <c r="AJ111" s="867">
        <v>170</v>
      </c>
      <c r="AK111" s="867">
        <v>320</v>
      </c>
      <c r="AL111" s="867">
        <v>290</v>
      </c>
      <c r="AM111" s="867">
        <v>280</v>
      </c>
      <c r="AN111" s="867">
        <v>140</v>
      </c>
      <c r="AO111" s="867">
        <v>10</v>
      </c>
      <c r="AP111" s="902" t="s">
        <v>269</v>
      </c>
      <c r="AQ111" s="902" t="s">
        <v>269</v>
      </c>
      <c r="AR111" s="902" t="s">
        <v>269</v>
      </c>
      <c r="AS111" s="545"/>
      <c r="AT111" s="545"/>
      <c r="AV111" s="545"/>
      <c r="AW111" s="545"/>
      <c r="AX111" s="545"/>
      <c r="AY111" s="545"/>
      <c r="AZ111" s="545"/>
    </row>
    <row r="112" spans="3:53" ht="16.5" customHeight="1">
      <c r="C112" s="311" t="s">
        <v>1353</v>
      </c>
      <c r="P112" s="312"/>
      <c r="Q112" s="312"/>
      <c r="V112" s="312"/>
      <c r="W112" s="312"/>
      <c r="X112" s="902"/>
      <c r="Y112" s="902"/>
      <c r="Z112" s="902"/>
      <c r="AA112" s="902"/>
      <c r="AB112" s="902"/>
      <c r="AC112" s="902"/>
      <c r="AD112" s="902"/>
      <c r="AE112" s="902"/>
      <c r="AF112" s="902"/>
      <c r="AG112" s="902"/>
      <c r="AH112" s="902"/>
      <c r="AI112" s="312"/>
      <c r="AJ112" s="867">
        <v>40</v>
      </c>
      <c r="AK112" s="867">
        <v>55</v>
      </c>
      <c r="AL112" s="867">
        <v>75</v>
      </c>
      <c r="AM112" s="867">
        <v>85</v>
      </c>
      <c r="AN112" s="867">
        <v>80</v>
      </c>
      <c r="AO112" s="867">
        <v>95</v>
      </c>
      <c r="AP112" s="867">
        <v>80</v>
      </c>
      <c r="AQ112" s="867">
        <v>190</v>
      </c>
      <c r="AR112" s="867">
        <v>760</v>
      </c>
      <c r="AS112" s="545"/>
      <c r="AT112" s="545"/>
      <c r="AV112" s="545"/>
      <c r="AW112" s="545"/>
      <c r="AX112" s="545"/>
      <c r="AY112" s="545"/>
      <c r="AZ112" s="545"/>
      <c r="BA112" s="545"/>
    </row>
    <row r="113" spans="2:53" ht="16.5" customHeight="1">
      <c r="C113" s="311" t="s">
        <v>1354</v>
      </c>
      <c r="P113" s="312"/>
      <c r="Q113" s="312"/>
      <c r="V113" s="312"/>
      <c r="W113" s="312"/>
      <c r="X113" s="902">
        <v>210</v>
      </c>
      <c r="Y113" s="902"/>
      <c r="Z113" s="902">
        <v>190</v>
      </c>
      <c r="AA113" s="902"/>
      <c r="AB113" s="902">
        <v>150</v>
      </c>
      <c r="AC113" s="902"/>
      <c r="AD113" s="902">
        <v>105</v>
      </c>
      <c r="AE113" s="902"/>
      <c r="AF113" s="902">
        <v>105</v>
      </c>
      <c r="AG113" s="902">
        <v>105</v>
      </c>
      <c r="AH113" s="902">
        <v>145</v>
      </c>
      <c r="AI113" s="312">
        <v>200</v>
      </c>
      <c r="AJ113" s="902">
        <v>220</v>
      </c>
      <c r="AK113" s="902">
        <v>260</v>
      </c>
      <c r="AL113" s="902">
        <v>270</v>
      </c>
      <c r="AM113" s="902">
        <v>235</v>
      </c>
      <c r="AN113" s="902">
        <v>200</v>
      </c>
      <c r="AO113" s="902">
        <v>190</v>
      </c>
      <c r="AP113" s="902">
        <v>210</v>
      </c>
      <c r="AQ113" s="902">
        <v>200</v>
      </c>
      <c r="AR113" s="902">
        <v>200</v>
      </c>
      <c r="AS113" s="545"/>
      <c r="AT113" s="545"/>
      <c r="AV113" s="545"/>
      <c r="AW113" s="545"/>
      <c r="AX113" s="545"/>
      <c r="AY113" s="545"/>
      <c r="AZ113" s="545"/>
      <c r="BA113" s="545"/>
    </row>
    <row r="114" spans="2:53" ht="16.5" customHeight="1">
      <c r="C114" s="311" t="s">
        <v>1355</v>
      </c>
      <c r="P114" s="312"/>
      <c r="Q114" s="312"/>
      <c r="V114" s="312"/>
      <c r="W114" s="312"/>
      <c r="X114" s="902">
        <v>990</v>
      </c>
      <c r="Y114" s="902"/>
      <c r="Z114" s="902">
        <v>320</v>
      </c>
      <c r="AA114" s="902"/>
      <c r="AB114" s="902">
        <v>310</v>
      </c>
      <c r="AC114" s="902"/>
      <c r="AD114" s="902">
        <v>1200</v>
      </c>
      <c r="AE114" s="902"/>
      <c r="AF114" s="902">
        <v>1450</v>
      </c>
      <c r="AG114" s="902">
        <v>1300</v>
      </c>
      <c r="AH114" s="902">
        <v>2000</v>
      </c>
      <c r="AI114" s="312">
        <v>2450</v>
      </c>
      <c r="AJ114" s="902">
        <v>2550</v>
      </c>
      <c r="AK114" s="902">
        <v>2800</v>
      </c>
      <c r="AL114" s="902">
        <v>2550</v>
      </c>
      <c r="AM114" s="902">
        <v>2350</v>
      </c>
      <c r="AN114" s="902">
        <v>2250</v>
      </c>
      <c r="AO114" s="902">
        <v>2050</v>
      </c>
      <c r="AP114" s="902">
        <v>2150</v>
      </c>
      <c r="AQ114" s="902">
        <v>2250</v>
      </c>
      <c r="AR114" s="902">
        <v>2250</v>
      </c>
      <c r="AS114" s="545"/>
      <c r="AT114" s="545"/>
      <c r="AV114" s="545"/>
      <c r="AW114" s="545"/>
      <c r="AX114" s="545"/>
      <c r="AY114" s="545"/>
      <c r="AZ114" s="545"/>
      <c r="BA114" s="545"/>
    </row>
    <row r="115" spans="2:53" ht="16.5" customHeight="1">
      <c r="C115" s="311" t="s">
        <v>1356</v>
      </c>
      <c r="P115" s="312"/>
      <c r="Q115" s="312"/>
      <c r="V115" s="312"/>
      <c r="W115" s="312"/>
      <c r="X115" s="902">
        <v>135</v>
      </c>
      <c r="Y115" s="902"/>
      <c r="Z115" s="902">
        <v>85</v>
      </c>
      <c r="AA115" s="902"/>
      <c r="AB115" s="902">
        <v>85</v>
      </c>
      <c r="AC115" s="902"/>
      <c r="AD115" s="902">
        <v>75</v>
      </c>
      <c r="AE115" s="902"/>
      <c r="AF115" s="902">
        <v>55</v>
      </c>
      <c r="AG115" s="902">
        <v>55</v>
      </c>
      <c r="AH115" s="902">
        <v>60</v>
      </c>
      <c r="AI115" s="312">
        <v>60</v>
      </c>
      <c r="AJ115" s="902">
        <v>55</v>
      </c>
      <c r="AK115" s="902">
        <v>60</v>
      </c>
      <c r="AL115" s="902">
        <v>40</v>
      </c>
      <c r="AM115" s="902">
        <v>40</v>
      </c>
      <c r="AN115" s="902">
        <v>30</v>
      </c>
      <c r="AO115" s="902">
        <v>20</v>
      </c>
      <c r="AP115" s="902">
        <v>20</v>
      </c>
      <c r="AQ115" s="902">
        <v>15</v>
      </c>
      <c r="AR115" s="902">
        <v>15</v>
      </c>
      <c r="AS115" s="545"/>
      <c r="AT115" s="545"/>
      <c r="AV115" s="545"/>
      <c r="AW115" s="545"/>
      <c r="AX115" s="545"/>
      <c r="AY115" s="545"/>
      <c r="AZ115" s="545"/>
      <c r="BA115" s="545"/>
    </row>
    <row r="116" spans="2:53" ht="16.5" customHeight="1">
      <c r="C116" s="903" t="s">
        <v>1357</v>
      </c>
      <c r="P116" s="312"/>
      <c r="Q116" s="312"/>
      <c r="V116" s="312"/>
      <c r="W116" s="312"/>
      <c r="X116" s="902">
        <v>55</v>
      </c>
      <c r="Y116" s="902"/>
      <c r="Z116" s="902">
        <v>100</v>
      </c>
      <c r="AA116" s="902"/>
      <c r="AB116" s="902">
        <v>190</v>
      </c>
      <c r="AC116" s="902"/>
      <c r="AD116" s="902">
        <v>490</v>
      </c>
      <c r="AE116" s="902"/>
      <c r="AF116" s="902">
        <v>360</v>
      </c>
      <c r="AG116" s="902">
        <v>350</v>
      </c>
      <c r="AH116" s="902">
        <v>370</v>
      </c>
      <c r="AI116" s="312">
        <v>370</v>
      </c>
      <c r="AJ116" s="902">
        <v>390</v>
      </c>
      <c r="AK116" s="902">
        <v>410</v>
      </c>
      <c r="AL116" s="902">
        <v>490</v>
      </c>
      <c r="AM116" s="902">
        <v>560</v>
      </c>
      <c r="AN116" s="902">
        <v>640</v>
      </c>
      <c r="AO116" s="902">
        <v>610</v>
      </c>
      <c r="AP116" s="902">
        <v>520</v>
      </c>
      <c r="AQ116" s="902">
        <v>510</v>
      </c>
      <c r="AR116" s="902">
        <v>530</v>
      </c>
      <c r="AS116" s="545"/>
      <c r="AT116" s="545"/>
      <c r="AV116" s="545"/>
      <c r="AW116" s="545"/>
      <c r="AX116" s="545"/>
      <c r="AY116" s="545"/>
      <c r="AZ116" s="545"/>
      <c r="BA116" s="545"/>
    </row>
    <row r="117" spans="2:53" ht="16.5" customHeight="1">
      <c r="C117" s="903" t="s">
        <v>1358</v>
      </c>
      <c r="P117" s="312"/>
      <c r="Q117" s="312"/>
      <c r="V117" s="312"/>
      <c r="W117" s="312"/>
      <c r="X117" s="902" t="s">
        <v>269</v>
      </c>
      <c r="Y117" s="902"/>
      <c r="Z117" s="902">
        <v>15</v>
      </c>
      <c r="AA117" s="902"/>
      <c r="AB117" s="902">
        <v>35</v>
      </c>
      <c r="AC117" s="902"/>
      <c r="AD117" s="902">
        <v>100</v>
      </c>
      <c r="AE117" s="902"/>
      <c r="AF117" s="902">
        <v>90</v>
      </c>
      <c r="AG117" s="902">
        <v>95</v>
      </c>
      <c r="AH117" s="902">
        <v>130</v>
      </c>
      <c r="AI117" s="312">
        <v>135</v>
      </c>
      <c r="AJ117" s="902">
        <v>155</v>
      </c>
      <c r="AK117" s="902">
        <v>195</v>
      </c>
      <c r="AL117" s="902">
        <v>315</v>
      </c>
      <c r="AM117" s="902">
        <v>355</v>
      </c>
      <c r="AN117" s="902">
        <v>480</v>
      </c>
      <c r="AO117" s="902">
        <v>510</v>
      </c>
      <c r="AP117" s="902">
        <v>450</v>
      </c>
      <c r="AQ117" s="902">
        <v>520</v>
      </c>
      <c r="AR117" s="902">
        <v>490</v>
      </c>
      <c r="AS117" s="545"/>
      <c r="AT117" s="545"/>
      <c r="AV117" s="545"/>
      <c r="AW117" s="545"/>
      <c r="AX117" s="545"/>
      <c r="AY117" s="545"/>
      <c r="AZ117" s="545"/>
      <c r="BA117" s="545"/>
    </row>
    <row r="118" spans="2:53" ht="16.5" customHeight="1">
      <c r="C118" s="311" t="s">
        <v>1359</v>
      </c>
      <c r="P118" s="312"/>
      <c r="Q118" s="312"/>
      <c r="V118" s="312"/>
      <c r="W118" s="312"/>
      <c r="X118" s="902">
        <v>13</v>
      </c>
      <c r="Y118" s="902"/>
      <c r="Z118" s="902">
        <v>13</v>
      </c>
      <c r="AA118" s="867"/>
      <c r="AB118" s="902">
        <v>3</v>
      </c>
      <c r="AC118" s="902"/>
      <c r="AD118" s="902">
        <v>3</v>
      </c>
      <c r="AE118" s="902"/>
      <c r="AF118" s="902" t="s">
        <v>269</v>
      </c>
      <c r="AG118" s="902" t="s">
        <v>269</v>
      </c>
      <c r="AH118" s="902" t="s">
        <v>269</v>
      </c>
      <c r="AI118" s="902" t="s">
        <v>269</v>
      </c>
      <c r="AJ118" s="902" t="s">
        <v>269</v>
      </c>
      <c r="AK118" s="902" t="s">
        <v>269</v>
      </c>
      <c r="AL118" s="902" t="s">
        <v>269</v>
      </c>
      <c r="AM118" s="902" t="s">
        <v>269</v>
      </c>
      <c r="AN118" s="902" t="s">
        <v>269</v>
      </c>
      <c r="AO118" s="902" t="s">
        <v>269</v>
      </c>
      <c r="AP118" s="902" t="s">
        <v>269</v>
      </c>
      <c r="AQ118" s="902" t="s">
        <v>269</v>
      </c>
      <c r="AR118" s="902" t="s">
        <v>269</v>
      </c>
      <c r="AS118" s="545"/>
      <c r="AT118" s="545"/>
      <c r="AV118" s="545"/>
      <c r="AW118" s="545"/>
      <c r="AX118" s="545"/>
      <c r="AY118" s="545"/>
      <c r="AZ118" s="545"/>
      <c r="BA118" s="545"/>
    </row>
    <row r="119" spans="2:53" ht="15">
      <c r="C119" s="311" t="s">
        <v>1360</v>
      </c>
      <c r="D119" s="904"/>
      <c r="E119" s="904"/>
      <c r="F119" s="904"/>
      <c r="G119" s="904"/>
      <c r="H119" s="904"/>
      <c r="I119" s="904"/>
      <c r="J119" s="904"/>
      <c r="K119" s="904"/>
      <c r="L119" s="904"/>
      <c r="M119" s="904"/>
      <c r="N119" s="904"/>
      <c r="O119" s="904"/>
      <c r="P119" s="904"/>
      <c r="Q119" s="904"/>
      <c r="R119" s="904"/>
      <c r="S119" s="904"/>
      <c r="T119" s="904"/>
      <c r="U119" s="904"/>
      <c r="V119" s="904"/>
      <c r="W119" s="312"/>
      <c r="X119" s="902">
        <v>460</v>
      </c>
      <c r="Y119" s="902"/>
      <c r="Z119" s="902">
        <v>400</v>
      </c>
      <c r="AA119" s="902"/>
      <c r="AB119" s="902">
        <v>670</v>
      </c>
      <c r="AC119" s="902"/>
      <c r="AD119" s="902" t="s">
        <v>269</v>
      </c>
      <c r="AE119" s="902"/>
      <c r="AF119" s="902" t="s">
        <v>269</v>
      </c>
      <c r="AG119" s="902" t="s">
        <v>269</v>
      </c>
      <c r="AH119" s="902" t="s">
        <v>269</v>
      </c>
      <c r="AI119" s="902" t="s">
        <v>269</v>
      </c>
      <c r="AJ119" s="902" t="s">
        <v>269</v>
      </c>
      <c r="AK119" s="902" t="s">
        <v>269</v>
      </c>
      <c r="AL119" s="902" t="s">
        <v>269</v>
      </c>
      <c r="AM119" s="902" t="s">
        <v>269</v>
      </c>
      <c r="AN119" s="902" t="s">
        <v>269</v>
      </c>
      <c r="AO119" s="902" t="s">
        <v>269</v>
      </c>
      <c r="AP119" s="902" t="s">
        <v>269</v>
      </c>
      <c r="AQ119" s="902" t="s">
        <v>269</v>
      </c>
      <c r="AR119" s="902" t="s">
        <v>269</v>
      </c>
      <c r="AS119" s="545"/>
      <c r="AT119" s="545"/>
      <c r="AW119" s="545"/>
      <c r="AX119" s="545"/>
      <c r="AY119" s="545"/>
    </row>
    <row r="120" spans="2:53" ht="15">
      <c r="C120" s="905" t="s">
        <v>1361</v>
      </c>
      <c r="D120" s="849"/>
      <c r="E120" s="849"/>
      <c r="F120" s="849"/>
      <c r="G120" s="849"/>
      <c r="H120" s="849"/>
      <c r="I120" s="849"/>
      <c r="J120" s="849"/>
      <c r="K120" s="849"/>
      <c r="L120" s="849"/>
      <c r="M120" s="849"/>
      <c r="N120" s="849"/>
      <c r="O120" s="849"/>
      <c r="P120" s="849"/>
      <c r="Q120" s="849"/>
      <c r="R120" s="849"/>
      <c r="S120" s="849"/>
      <c r="T120" s="849"/>
      <c r="U120" s="849"/>
      <c r="V120" s="849"/>
      <c r="W120" s="904"/>
      <c r="X120" s="906"/>
      <c r="Y120" s="906"/>
      <c r="Z120" s="906"/>
      <c r="AA120" s="906"/>
      <c r="AB120" s="906"/>
      <c r="AC120" s="906"/>
      <c r="AD120" s="906"/>
      <c r="AE120" s="906"/>
      <c r="AF120" s="906"/>
      <c r="AG120" s="906"/>
      <c r="AH120" s="902"/>
      <c r="AI120" s="851"/>
      <c r="AM120" s="311"/>
      <c r="AS120" s="545"/>
      <c r="AT120" s="545"/>
      <c r="AU120" s="907"/>
      <c r="AW120" s="545"/>
      <c r="AX120" s="545"/>
      <c r="AY120" s="545"/>
    </row>
    <row r="121" spans="2:53" ht="15">
      <c r="C121" s="908" t="s">
        <v>1562</v>
      </c>
      <c r="D121" s="312"/>
      <c r="E121" s="312"/>
      <c r="F121" s="312"/>
      <c r="G121" s="312"/>
      <c r="H121" s="312"/>
      <c r="I121" s="312"/>
      <c r="J121" s="312"/>
      <c r="K121" s="312"/>
      <c r="L121" s="312"/>
      <c r="M121" s="312"/>
      <c r="N121" s="312"/>
      <c r="O121" s="312"/>
      <c r="P121" s="312"/>
      <c r="Q121" s="312"/>
      <c r="V121" s="312"/>
      <c r="W121" s="849"/>
      <c r="X121" s="909" t="s">
        <v>269</v>
      </c>
      <c r="Y121" s="909"/>
      <c r="Z121" s="909" t="s">
        <v>269</v>
      </c>
      <c r="AA121" s="909"/>
      <c r="AB121" s="909" t="s">
        <v>269</v>
      </c>
      <c r="AC121" s="909"/>
      <c r="AD121" s="909" t="s">
        <v>269</v>
      </c>
      <c r="AE121" s="909"/>
      <c r="AF121" s="909">
        <v>485</v>
      </c>
      <c r="AG121" s="909">
        <v>360</v>
      </c>
      <c r="AH121" s="849">
        <v>735</v>
      </c>
      <c r="AI121" s="849">
        <v>815</v>
      </c>
      <c r="AJ121" s="909">
        <v>1010</v>
      </c>
      <c r="AK121" s="909">
        <v>1245</v>
      </c>
      <c r="AL121" s="909">
        <v>1365</v>
      </c>
      <c r="AM121" s="909">
        <v>1480</v>
      </c>
      <c r="AN121" s="909">
        <v>1400</v>
      </c>
      <c r="AO121" s="909">
        <v>2050</v>
      </c>
      <c r="AP121" s="909">
        <v>1650</v>
      </c>
      <c r="AQ121" s="909">
        <v>2150</v>
      </c>
      <c r="AR121" s="909">
        <v>2350</v>
      </c>
      <c r="AS121" s="545"/>
      <c r="AT121" s="545"/>
      <c r="AW121" s="545"/>
      <c r="AX121" s="545"/>
      <c r="AY121" s="545"/>
    </row>
    <row r="122" spans="2:53" ht="15">
      <c r="C122" s="910" t="s">
        <v>1362</v>
      </c>
      <c r="D122" s="312"/>
      <c r="E122" s="312"/>
      <c r="F122" s="312"/>
      <c r="G122" s="312"/>
      <c r="H122" s="312"/>
      <c r="I122" s="312"/>
      <c r="J122" s="312"/>
      <c r="K122" s="312"/>
      <c r="L122" s="312"/>
      <c r="M122" s="312"/>
      <c r="N122" s="312"/>
      <c r="O122" s="312"/>
      <c r="P122" s="312"/>
      <c r="Q122" s="312"/>
      <c r="V122" s="312"/>
      <c r="W122" s="312"/>
      <c r="X122" s="911" t="s">
        <v>269</v>
      </c>
      <c r="Y122" s="911"/>
      <c r="Z122" s="911" t="s">
        <v>269</v>
      </c>
      <c r="AA122" s="911"/>
      <c r="AB122" s="911" t="s">
        <v>269</v>
      </c>
      <c r="AC122" s="911"/>
      <c r="AD122" s="911">
        <v>365</v>
      </c>
      <c r="AE122" s="911"/>
      <c r="AF122" s="911" t="s">
        <v>269</v>
      </c>
      <c r="AG122" s="911" t="s">
        <v>269</v>
      </c>
      <c r="AH122" s="911" t="s">
        <v>269</v>
      </c>
      <c r="AI122" s="911" t="s">
        <v>269</v>
      </c>
      <c r="AJ122" s="911" t="s">
        <v>269</v>
      </c>
      <c r="AK122" s="911" t="s">
        <v>269</v>
      </c>
      <c r="AL122" s="911" t="s">
        <v>269</v>
      </c>
      <c r="AM122" s="911" t="s">
        <v>269</v>
      </c>
      <c r="AN122" s="911" t="s">
        <v>269</v>
      </c>
      <c r="AO122" s="911" t="s">
        <v>269</v>
      </c>
      <c r="AP122" s="911" t="s">
        <v>269</v>
      </c>
      <c r="AQ122" s="911" t="s">
        <v>269</v>
      </c>
      <c r="AR122" s="911" t="s">
        <v>269</v>
      </c>
      <c r="AS122" s="545"/>
      <c r="AT122" s="545"/>
      <c r="AW122" s="545"/>
      <c r="AX122" s="545"/>
      <c r="AY122" s="545"/>
    </row>
    <row r="123" spans="2:53" ht="15">
      <c r="C123" s="910" t="s">
        <v>1563</v>
      </c>
      <c r="D123" s="312"/>
      <c r="E123" s="312"/>
      <c r="F123" s="312"/>
      <c r="G123" s="312"/>
      <c r="H123" s="312"/>
      <c r="I123" s="312"/>
      <c r="J123" s="312"/>
      <c r="K123" s="312"/>
      <c r="L123" s="312"/>
      <c r="M123" s="312"/>
      <c r="N123" s="312"/>
      <c r="O123" s="312"/>
      <c r="P123" s="312"/>
      <c r="Q123" s="312"/>
      <c r="V123" s="312"/>
      <c r="W123" s="312"/>
      <c r="X123" s="911" t="s">
        <v>269</v>
      </c>
      <c r="Y123" s="911"/>
      <c r="Z123" s="911" t="s">
        <v>269</v>
      </c>
      <c r="AA123" s="911"/>
      <c r="AB123" s="911">
        <v>410</v>
      </c>
      <c r="AC123" s="911"/>
      <c r="AD123" s="911">
        <v>455</v>
      </c>
      <c r="AE123" s="911"/>
      <c r="AF123" s="911">
        <v>270</v>
      </c>
      <c r="AG123" s="911">
        <v>290</v>
      </c>
      <c r="AH123" s="911" t="s">
        <v>269</v>
      </c>
      <c r="AI123" s="911" t="s">
        <v>269</v>
      </c>
      <c r="AJ123" s="911" t="s">
        <v>269</v>
      </c>
      <c r="AK123" s="911" t="s">
        <v>269</v>
      </c>
      <c r="AL123" s="911" t="s">
        <v>269</v>
      </c>
      <c r="AM123" s="911" t="s">
        <v>269</v>
      </c>
      <c r="AN123" s="911" t="s">
        <v>269</v>
      </c>
      <c r="AO123" s="911" t="s">
        <v>269</v>
      </c>
      <c r="AP123" s="911" t="s">
        <v>269</v>
      </c>
      <c r="AQ123" s="911" t="s">
        <v>269</v>
      </c>
      <c r="AR123" s="911" t="s">
        <v>269</v>
      </c>
      <c r="AS123" s="545"/>
      <c r="AT123" s="545"/>
      <c r="AW123" s="545"/>
      <c r="AX123" s="545"/>
      <c r="AY123" s="545"/>
    </row>
    <row r="124" spans="2:53" ht="15">
      <c r="C124" s="910" t="s">
        <v>1564</v>
      </c>
      <c r="D124" s="312"/>
      <c r="E124" s="312"/>
      <c r="F124" s="312"/>
      <c r="G124" s="312"/>
      <c r="H124" s="312"/>
      <c r="I124" s="312"/>
      <c r="J124" s="312"/>
      <c r="K124" s="312"/>
      <c r="L124" s="312"/>
      <c r="M124" s="312"/>
      <c r="N124" s="312"/>
      <c r="O124" s="312"/>
      <c r="P124" s="312"/>
      <c r="Q124" s="312"/>
      <c r="V124" s="312"/>
      <c r="W124" s="312"/>
      <c r="X124" s="911" t="s">
        <v>269</v>
      </c>
      <c r="Y124" s="911"/>
      <c r="Z124" s="911" t="s">
        <v>269</v>
      </c>
      <c r="AA124" s="911"/>
      <c r="AB124" s="911">
        <v>140</v>
      </c>
      <c r="AC124" s="911"/>
      <c r="AD124" s="911">
        <v>165</v>
      </c>
      <c r="AE124" s="911"/>
      <c r="AF124" s="911">
        <v>165</v>
      </c>
      <c r="AG124" s="911">
        <v>135</v>
      </c>
      <c r="AH124" s="911">
        <v>115</v>
      </c>
      <c r="AI124" s="911">
        <v>100</v>
      </c>
      <c r="AJ124" s="911">
        <v>45</v>
      </c>
      <c r="AK124" s="911" t="s">
        <v>269</v>
      </c>
      <c r="AL124" s="911" t="s">
        <v>269</v>
      </c>
      <c r="AM124" s="911" t="s">
        <v>269</v>
      </c>
      <c r="AN124" s="911" t="s">
        <v>269</v>
      </c>
      <c r="AO124" s="911" t="s">
        <v>269</v>
      </c>
      <c r="AP124" s="911" t="s">
        <v>269</v>
      </c>
      <c r="AQ124" s="911" t="s">
        <v>269</v>
      </c>
      <c r="AR124" s="911" t="s">
        <v>269</v>
      </c>
      <c r="AS124" s="545"/>
      <c r="AT124" s="545"/>
      <c r="AW124" s="545"/>
      <c r="AX124" s="545"/>
      <c r="AY124" s="545"/>
    </row>
    <row r="125" spans="2:53" ht="15">
      <c r="C125" s="910" t="s">
        <v>1565</v>
      </c>
      <c r="D125" s="312"/>
      <c r="E125" s="312"/>
      <c r="F125" s="312"/>
      <c r="G125" s="312"/>
      <c r="H125" s="312"/>
      <c r="I125" s="312"/>
      <c r="J125" s="312"/>
      <c r="K125" s="312"/>
      <c r="L125" s="312"/>
      <c r="M125" s="312"/>
      <c r="N125" s="312"/>
      <c r="O125" s="312"/>
      <c r="P125" s="312"/>
      <c r="Q125" s="312"/>
      <c r="V125" s="312"/>
      <c r="W125" s="312"/>
      <c r="X125" s="911" t="s">
        <v>269</v>
      </c>
      <c r="Y125" s="911"/>
      <c r="Z125" s="911" t="s">
        <v>269</v>
      </c>
      <c r="AA125" s="911"/>
      <c r="AB125" s="911">
        <v>31</v>
      </c>
      <c r="AC125" s="911"/>
      <c r="AD125" s="911">
        <v>22</v>
      </c>
      <c r="AE125" s="911"/>
      <c r="AF125" s="911">
        <v>8</v>
      </c>
      <c r="AG125" s="911">
        <v>4</v>
      </c>
      <c r="AH125" s="911">
        <v>1</v>
      </c>
      <c r="AI125" s="911" t="s">
        <v>269</v>
      </c>
      <c r="AJ125" s="911" t="s">
        <v>269</v>
      </c>
      <c r="AK125" s="911" t="s">
        <v>269</v>
      </c>
      <c r="AL125" s="911" t="s">
        <v>269</v>
      </c>
      <c r="AM125" s="911" t="s">
        <v>269</v>
      </c>
      <c r="AN125" s="911" t="s">
        <v>269</v>
      </c>
      <c r="AO125" s="911" t="s">
        <v>269</v>
      </c>
      <c r="AP125" s="911" t="s">
        <v>269</v>
      </c>
      <c r="AQ125" s="911" t="s">
        <v>269</v>
      </c>
      <c r="AR125" s="911" t="s">
        <v>269</v>
      </c>
      <c r="AS125" s="545"/>
      <c r="AT125" s="545"/>
      <c r="AW125" s="545"/>
      <c r="AX125" s="545"/>
      <c r="AY125" s="545"/>
    </row>
    <row r="126" spans="2:53" ht="15">
      <c r="C126" s="912" t="s">
        <v>1363</v>
      </c>
      <c r="D126" s="904"/>
      <c r="E126" s="904"/>
      <c r="F126" s="904"/>
      <c r="G126" s="904"/>
      <c r="H126" s="904"/>
      <c r="I126" s="904"/>
      <c r="J126" s="904"/>
      <c r="K126" s="904"/>
      <c r="L126" s="904"/>
      <c r="M126" s="904"/>
      <c r="N126" s="904"/>
      <c r="O126" s="904"/>
      <c r="P126" s="904"/>
      <c r="Q126" s="904"/>
      <c r="R126" s="904"/>
      <c r="S126" s="904"/>
      <c r="T126" s="904"/>
      <c r="U126" s="904"/>
      <c r="V126" s="904"/>
      <c r="W126" s="312"/>
      <c r="X126" s="911" t="s">
        <v>269</v>
      </c>
      <c r="Y126" s="911"/>
      <c r="Z126" s="911" t="s">
        <v>269</v>
      </c>
      <c r="AA126" s="911"/>
      <c r="AB126" s="911">
        <v>1880</v>
      </c>
      <c r="AC126" s="911"/>
      <c r="AD126" s="911">
        <v>2230</v>
      </c>
      <c r="AE126" s="911"/>
      <c r="AF126" s="911">
        <v>1960</v>
      </c>
      <c r="AG126" s="911">
        <v>1900</v>
      </c>
      <c r="AH126" s="312">
        <v>1950</v>
      </c>
      <c r="AI126" s="312">
        <v>1990</v>
      </c>
      <c r="AJ126" s="902">
        <v>2090</v>
      </c>
      <c r="AK126" s="902">
        <v>2150</v>
      </c>
      <c r="AL126" s="902">
        <v>2240</v>
      </c>
      <c r="AM126" s="902">
        <v>1970</v>
      </c>
      <c r="AN126" s="902">
        <v>1940</v>
      </c>
      <c r="AO126" s="902">
        <v>1800</v>
      </c>
      <c r="AP126" s="902">
        <v>1910</v>
      </c>
      <c r="AQ126" s="902">
        <v>1790</v>
      </c>
      <c r="AR126" s="902">
        <v>1740</v>
      </c>
      <c r="AS126" s="545"/>
      <c r="AT126" s="545"/>
      <c r="AW126" s="545"/>
      <c r="AX126" s="545"/>
      <c r="AY126" s="545"/>
    </row>
    <row r="127" spans="2:53" ht="25.5">
      <c r="C127" s="913" t="s">
        <v>1364</v>
      </c>
      <c r="D127" s="895"/>
      <c r="E127" s="895"/>
      <c r="F127" s="895"/>
      <c r="G127" s="895"/>
      <c r="H127" s="895"/>
      <c r="I127" s="895"/>
      <c r="J127" s="895"/>
      <c r="K127" s="895"/>
      <c r="L127" s="895"/>
      <c r="P127" s="312"/>
      <c r="Q127" s="312"/>
      <c r="V127" s="312"/>
      <c r="W127" s="904"/>
      <c r="X127" s="906" t="s">
        <v>269</v>
      </c>
      <c r="Y127" s="906"/>
      <c r="Z127" s="906" t="s">
        <v>269</v>
      </c>
      <c r="AA127" s="906"/>
      <c r="AB127" s="906">
        <v>290</v>
      </c>
      <c r="AC127" s="906"/>
      <c r="AD127" s="906">
        <v>430</v>
      </c>
      <c r="AE127" s="906"/>
      <c r="AF127" s="906">
        <v>430</v>
      </c>
      <c r="AG127" s="906">
        <v>490</v>
      </c>
      <c r="AH127" s="904">
        <v>450</v>
      </c>
      <c r="AI127" s="312">
        <v>400</v>
      </c>
      <c r="AJ127" s="902">
        <v>550</v>
      </c>
      <c r="AK127" s="902">
        <v>610</v>
      </c>
      <c r="AL127" s="902">
        <v>620</v>
      </c>
      <c r="AM127" s="902">
        <v>630</v>
      </c>
      <c r="AN127" s="902">
        <v>700</v>
      </c>
      <c r="AO127" s="902">
        <v>810</v>
      </c>
      <c r="AP127" s="902">
        <v>880</v>
      </c>
      <c r="AQ127" s="906">
        <v>820</v>
      </c>
      <c r="AR127" s="906">
        <v>810</v>
      </c>
      <c r="AS127" s="545"/>
      <c r="AT127" s="545"/>
      <c r="AW127" s="545"/>
      <c r="AX127" s="545"/>
      <c r="AY127" s="545"/>
    </row>
    <row r="128" spans="2:53" ht="15">
      <c r="B128" s="914" t="s">
        <v>1801</v>
      </c>
      <c r="C128" s="311" t="s">
        <v>1365</v>
      </c>
      <c r="P128" s="312"/>
      <c r="Q128" s="312"/>
      <c r="V128" s="312"/>
      <c r="W128" s="312"/>
      <c r="X128" s="915"/>
      <c r="Y128" s="915"/>
      <c r="Z128" s="915"/>
      <c r="AA128" s="915"/>
      <c r="AB128" s="915"/>
      <c r="AC128" s="915"/>
      <c r="AD128" s="915"/>
      <c r="AE128" s="915"/>
      <c r="AF128" s="915"/>
      <c r="AG128" s="855"/>
      <c r="AH128" s="855"/>
      <c r="AI128" s="916"/>
      <c r="AJ128" s="849"/>
      <c r="AK128" s="849"/>
      <c r="AL128" s="849"/>
      <c r="AM128" s="917"/>
      <c r="AN128" s="849"/>
      <c r="AO128" s="849"/>
      <c r="AP128" s="849"/>
      <c r="AQ128" s="312"/>
      <c r="AS128" s="545"/>
      <c r="AT128" s="545"/>
      <c r="AW128" s="545"/>
      <c r="AX128" s="545"/>
      <c r="AY128" s="545"/>
    </row>
    <row r="129" spans="2:51" ht="15">
      <c r="B129" s="914" t="s">
        <v>1802</v>
      </c>
      <c r="C129" s="311" t="s">
        <v>1803</v>
      </c>
      <c r="P129" s="312"/>
      <c r="Q129" s="312"/>
      <c r="V129" s="312"/>
      <c r="W129" s="312"/>
      <c r="X129" s="915"/>
      <c r="Y129" s="915"/>
      <c r="Z129" s="915"/>
      <c r="AA129" s="915"/>
      <c r="AB129" s="915"/>
      <c r="AC129" s="915"/>
      <c r="AD129" s="915"/>
      <c r="AE129" s="915"/>
      <c r="AF129" s="915"/>
      <c r="AG129" s="855"/>
      <c r="AH129" s="855"/>
      <c r="AI129" s="851"/>
      <c r="AJ129" s="312"/>
      <c r="AK129" s="312"/>
      <c r="AL129" s="312"/>
      <c r="AM129" s="918"/>
      <c r="AN129" s="312"/>
      <c r="AO129" s="312"/>
      <c r="AP129" s="312"/>
      <c r="AQ129" s="312"/>
      <c r="AS129" s="545"/>
      <c r="AT129" s="545"/>
      <c r="AW129" s="545"/>
      <c r="AX129" s="545"/>
      <c r="AY129" s="545"/>
    </row>
    <row r="130" spans="2:51" ht="15" customHeight="1">
      <c r="B130" s="914" t="s">
        <v>1804</v>
      </c>
      <c r="C130" s="311" t="s">
        <v>1366</v>
      </c>
      <c r="D130" s="919"/>
      <c r="E130" s="919"/>
      <c r="F130" s="919"/>
      <c r="G130" s="919"/>
      <c r="H130" s="919"/>
      <c r="I130" s="919"/>
      <c r="J130" s="919"/>
      <c r="K130" s="919"/>
      <c r="L130" s="919"/>
      <c r="M130" s="920"/>
      <c r="N130" s="920"/>
      <c r="O130" s="920"/>
      <c r="P130" s="920"/>
      <c r="Q130" s="920"/>
      <c r="R130" s="920"/>
      <c r="S130" s="920"/>
      <c r="T130" s="920"/>
      <c r="U130" s="920"/>
      <c r="V130" s="920"/>
      <c r="W130" s="920"/>
      <c r="X130" s="920"/>
      <c r="Y130" s="920"/>
      <c r="Z130" s="920"/>
      <c r="AA130" s="920"/>
      <c r="AB130" s="920"/>
      <c r="AC130" s="920"/>
      <c r="AD130" s="920"/>
      <c r="AE130" s="920"/>
      <c r="AF130" s="920"/>
      <c r="AG130" s="855"/>
      <c r="AH130" s="855"/>
      <c r="AI130" s="851"/>
      <c r="AS130" s="545"/>
      <c r="AT130" s="545"/>
      <c r="AW130" s="545"/>
      <c r="AX130" s="545"/>
      <c r="AY130" s="545"/>
    </row>
    <row r="131" spans="2:51" ht="15" customHeight="1">
      <c r="B131" s="914" t="s">
        <v>1367</v>
      </c>
      <c r="C131" s="914" t="s">
        <v>1368</v>
      </c>
      <c r="AG131" s="855"/>
      <c r="AH131" s="855"/>
      <c r="AI131" s="851"/>
      <c r="AP131" s="545"/>
      <c r="AQ131" s="545"/>
      <c r="AR131" s="545"/>
      <c r="AS131" s="545"/>
      <c r="AT131" s="545"/>
      <c r="AW131" s="545"/>
      <c r="AX131" s="545"/>
      <c r="AY131" s="545"/>
    </row>
    <row r="132" spans="2:51" ht="15" customHeight="1">
      <c r="B132" s="914" t="s">
        <v>1369</v>
      </c>
      <c r="C132" s="914" t="s">
        <v>1566</v>
      </c>
      <c r="AG132" s="855"/>
      <c r="AH132" s="855"/>
      <c r="AI132" s="851"/>
      <c r="AP132" s="545"/>
      <c r="AQ132" s="545"/>
      <c r="AR132" s="545"/>
      <c r="AS132" s="545"/>
      <c r="AT132" s="545"/>
      <c r="AW132" s="545"/>
      <c r="AX132" s="545"/>
      <c r="AY132" s="545"/>
    </row>
    <row r="133" spans="2:51" ht="15">
      <c r="B133" s="914" t="s">
        <v>1370</v>
      </c>
      <c r="C133" s="311" t="s">
        <v>1371</v>
      </c>
      <c r="AG133" s="855"/>
      <c r="AH133" s="855"/>
      <c r="AI133" s="851"/>
      <c r="AP133" s="545"/>
      <c r="AQ133" s="545"/>
      <c r="AR133" s="545"/>
      <c r="AS133" s="545"/>
      <c r="AT133" s="545"/>
      <c r="AW133" s="545"/>
      <c r="AX133" s="545"/>
      <c r="AY133" s="545"/>
    </row>
    <row r="134" spans="2:51" ht="19.5" customHeight="1">
      <c r="B134" s="914" t="s">
        <v>1372</v>
      </c>
      <c r="C134" s="914" t="s">
        <v>1373</v>
      </c>
      <c r="D134" s="919"/>
      <c r="E134" s="919"/>
      <c r="F134" s="919"/>
      <c r="G134" s="919"/>
      <c r="H134" s="919"/>
      <c r="I134" s="919"/>
      <c r="J134" s="919"/>
      <c r="K134" s="919"/>
      <c r="L134" s="919"/>
      <c r="M134" s="920"/>
      <c r="N134" s="920"/>
      <c r="O134" s="920"/>
      <c r="P134" s="920"/>
      <c r="Q134" s="920"/>
      <c r="R134" s="920"/>
      <c r="S134" s="920"/>
      <c r="T134" s="920"/>
      <c r="U134" s="920"/>
      <c r="V134" s="920"/>
      <c r="W134" s="920"/>
      <c r="X134" s="920"/>
      <c r="Y134" s="920"/>
      <c r="Z134" s="920"/>
      <c r="AA134" s="920"/>
      <c r="AB134" s="920"/>
      <c r="AC134" s="920"/>
      <c r="AD134" s="920"/>
      <c r="AE134" s="920"/>
      <c r="AF134" s="920"/>
      <c r="AG134" s="855"/>
      <c r="AH134" s="855"/>
      <c r="AI134" s="851"/>
      <c r="AQ134" s="313"/>
      <c r="AS134" s="545"/>
      <c r="AT134" s="545"/>
      <c r="AW134" s="545"/>
      <c r="AX134" s="545"/>
      <c r="AY134" s="545"/>
    </row>
    <row r="135" spans="2:51" ht="15">
      <c r="B135" s="311" t="s">
        <v>1805</v>
      </c>
      <c r="C135" s="919"/>
      <c r="P135" s="312"/>
      <c r="Q135" s="312"/>
      <c r="V135" s="312"/>
      <c r="W135" s="312"/>
      <c r="X135" s="915"/>
      <c r="Y135" s="915"/>
      <c r="Z135" s="915"/>
      <c r="AA135" s="915"/>
      <c r="AB135" s="915"/>
      <c r="AC135" s="915"/>
      <c r="AD135" s="915"/>
      <c r="AE135" s="915"/>
      <c r="AF135" s="915"/>
      <c r="AG135" s="855"/>
      <c r="AH135" s="855"/>
      <c r="AI135" s="851"/>
      <c r="AS135" s="545"/>
      <c r="AT135" s="545"/>
      <c r="AW135" s="545"/>
      <c r="AX135" s="545"/>
      <c r="AY135" s="545"/>
    </row>
    <row r="136" spans="2:51" ht="15">
      <c r="C136" s="919"/>
      <c r="P136" s="312"/>
      <c r="Q136" s="312"/>
      <c r="V136" s="312"/>
      <c r="W136" s="312"/>
      <c r="X136" s="915"/>
      <c r="Y136" s="915"/>
      <c r="Z136" s="915"/>
      <c r="AA136" s="915"/>
      <c r="AB136" s="915"/>
      <c r="AC136" s="915"/>
      <c r="AD136" s="915"/>
      <c r="AE136" s="915"/>
      <c r="AF136" s="915"/>
      <c r="AG136" s="855"/>
      <c r="AH136" s="855"/>
      <c r="AI136" s="851"/>
      <c r="AS136" s="545"/>
      <c r="AT136" s="545"/>
      <c r="AW136" s="545"/>
      <c r="AX136" s="545"/>
      <c r="AY136" s="545"/>
    </row>
    <row r="137" spans="2:51" ht="15">
      <c r="B137" s="921" t="s">
        <v>1567</v>
      </c>
      <c r="P137" s="312"/>
      <c r="Q137" s="312"/>
      <c r="V137" s="312"/>
      <c r="W137" s="312"/>
      <c r="X137" s="915"/>
      <c r="Y137" s="915"/>
      <c r="Z137" s="915"/>
      <c r="AA137" s="915"/>
      <c r="AB137" s="863">
        <v>2005</v>
      </c>
      <c r="AC137" s="898"/>
      <c r="AD137" s="863">
        <v>2007</v>
      </c>
      <c r="AE137" s="898"/>
      <c r="AF137" s="863">
        <v>2009</v>
      </c>
      <c r="AG137" s="863">
        <v>2010</v>
      </c>
      <c r="AH137" s="863">
        <v>2011</v>
      </c>
      <c r="AI137" s="863">
        <v>2012</v>
      </c>
      <c r="AJ137" s="863">
        <v>2013</v>
      </c>
      <c r="AK137" s="863">
        <v>2014</v>
      </c>
      <c r="AL137" s="863">
        <v>2015</v>
      </c>
      <c r="AM137" s="863">
        <v>2016</v>
      </c>
      <c r="AN137" s="863">
        <v>2017</v>
      </c>
      <c r="AO137" s="863">
        <v>2018</v>
      </c>
      <c r="AP137" s="863">
        <v>2019</v>
      </c>
      <c r="AQ137" s="863">
        <v>2020</v>
      </c>
      <c r="AR137" s="863">
        <v>2021</v>
      </c>
      <c r="AS137" s="545"/>
      <c r="AT137" s="545"/>
      <c r="AW137" s="545"/>
      <c r="AX137" s="545"/>
      <c r="AY137" s="545"/>
    </row>
    <row r="138" spans="2:51" ht="18" customHeight="1">
      <c r="C138" s="311" t="s">
        <v>1374</v>
      </c>
      <c r="P138" s="312"/>
      <c r="Q138" s="312"/>
      <c r="V138" s="312"/>
      <c r="W138" s="312"/>
      <c r="X138" s="915"/>
      <c r="Y138" s="915"/>
      <c r="Z138" s="915"/>
      <c r="AA138" s="915"/>
      <c r="AB138" s="902">
        <v>1850</v>
      </c>
      <c r="AC138" s="902"/>
      <c r="AD138" s="902">
        <v>2100</v>
      </c>
      <c r="AE138" s="902"/>
      <c r="AF138" s="902">
        <v>2550</v>
      </c>
      <c r="AG138" s="902">
        <v>2800</v>
      </c>
      <c r="AH138" s="902">
        <v>3050</v>
      </c>
      <c r="AI138" s="902">
        <v>3350</v>
      </c>
      <c r="AJ138" s="902">
        <v>3650</v>
      </c>
      <c r="AK138" s="902">
        <v>3800</v>
      </c>
      <c r="AL138" s="902">
        <v>4000</v>
      </c>
      <c r="AM138" s="902">
        <v>4200</v>
      </c>
      <c r="AN138" s="902">
        <v>4400</v>
      </c>
      <c r="AO138" s="902">
        <v>4600</v>
      </c>
      <c r="AP138" s="902">
        <v>4800</v>
      </c>
      <c r="AQ138" s="902">
        <v>5000</v>
      </c>
      <c r="AR138" s="902">
        <v>5200</v>
      </c>
      <c r="AS138" s="545"/>
      <c r="AT138" s="545"/>
      <c r="AW138" s="545"/>
      <c r="AX138" s="545"/>
      <c r="AY138" s="545"/>
    </row>
    <row r="139" spans="2:51" ht="18" customHeight="1">
      <c r="C139" s="311" t="s">
        <v>1375</v>
      </c>
      <c r="P139" s="312"/>
      <c r="Q139" s="312"/>
      <c r="V139" s="312"/>
      <c r="W139" s="312"/>
      <c r="X139" s="915"/>
      <c r="Y139" s="915"/>
      <c r="Z139" s="915"/>
      <c r="AA139" s="915"/>
      <c r="AB139" s="902">
        <v>270</v>
      </c>
      <c r="AC139" s="902"/>
      <c r="AD139" s="902">
        <v>320</v>
      </c>
      <c r="AE139" s="902"/>
      <c r="AF139" s="902">
        <v>310</v>
      </c>
      <c r="AG139" s="902">
        <v>330</v>
      </c>
      <c r="AH139" s="902">
        <v>420</v>
      </c>
      <c r="AI139" s="902">
        <v>470</v>
      </c>
      <c r="AJ139" s="902">
        <v>340</v>
      </c>
      <c r="AK139" s="902">
        <v>360</v>
      </c>
      <c r="AL139" s="902">
        <v>370</v>
      </c>
      <c r="AM139" s="902">
        <v>500</v>
      </c>
      <c r="AN139" s="902">
        <v>460</v>
      </c>
      <c r="AO139" s="902">
        <v>500</v>
      </c>
      <c r="AP139" s="902">
        <v>490</v>
      </c>
      <c r="AQ139" s="902">
        <v>540</v>
      </c>
      <c r="AR139" s="902">
        <v>590</v>
      </c>
      <c r="AS139" s="545"/>
      <c r="AT139" s="545"/>
      <c r="AW139" s="545"/>
      <c r="AX139" s="545"/>
      <c r="AY139" s="545"/>
    </row>
    <row r="140" spans="2:51" ht="18" customHeight="1">
      <c r="C140" s="311" t="s">
        <v>1376</v>
      </c>
      <c r="P140" s="312"/>
      <c r="Q140" s="312"/>
      <c r="V140" s="312"/>
      <c r="W140" s="312"/>
      <c r="X140" s="915"/>
      <c r="Y140" s="915"/>
      <c r="Z140" s="915"/>
      <c r="AA140" s="915"/>
      <c r="AB140" s="902">
        <v>30</v>
      </c>
      <c r="AC140" s="902"/>
      <c r="AD140" s="902">
        <v>35</v>
      </c>
      <c r="AE140" s="902"/>
      <c r="AF140" s="902">
        <v>80</v>
      </c>
      <c r="AG140" s="902">
        <v>85</v>
      </c>
      <c r="AH140" s="902">
        <v>95</v>
      </c>
      <c r="AI140" s="902">
        <v>100</v>
      </c>
      <c r="AJ140" s="902">
        <v>55</v>
      </c>
      <c r="AK140" s="902">
        <v>70</v>
      </c>
      <c r="AL140" s="902">
        <v>245</v>
      </c>
      <c r="AM140" s="902">
        <v>185</v>
      </c>
      <c r="AN140" s="902">
        <v>250</v>
      </c>
      <c r="AO140" s="902">
        <v>290</v>
      </c>
      <c r="AP140" s="902">
        <v>300</v>
      </c>
      <c r="AQ140" s="902">
        <v>330</v>
      </c>
      <c r="AR140" s="902">
        <v>355</v>
      </c>
      <c r="AS140" s="545"/>
      <c r="AT140" s="545"/>
      <c r="AW140" s="545"/>
      <c r="AX140" s="545"/>
      <c r="AY140" s="545"/>
    </row>
    <row r="141" spans="2:51" ht="18" customHeight="1">
      <c r="C141" s="311" t="s">
        <v>1377</v>
      </c>
      <c r="P141" s="312"/>
      <c r="Q141" s="312"/>
      <c r="V141" s="312"/>
      <c r="W141" s="312"/>
      <c r="X141" s="915"/>
      <c r="Y141" s="915"/>
      <c r="Z141" s="915"/>
      <c r="AA141" s="915"/>
      <c r="AB141" s="902">
        <v>1850</v>
      </c>
      <c r="AC141" s="902"/>
      <c r="AD141" s="902">
        <v>2200</v>
      </c>
      <c r="AE141" s="902"/>
      <c r="AF141" s="902">
        <v>2500</v>
      </c>
      <c r="AG141" s="902">
        <v>2700</v>
      </c>
      <c r="AH141" s="902">
        <v>2900</v>
      </c>
      <c r="AI141" s="902">
        <v>3100</v>
      </c>
      <c r="AJ141" s="902">
        <v>3300</v>
      </c>
      <c r="AK141" s="902">
        <v>3400</v>
      </c>
      <c r="AL141" s="902">
        <v>3650</v>
      </c>
      <c r="AM141" s="902">
        <v>3900</v>
      </c>
      <c r="AN141" s="902">
        <v>4050</v>
      </c>
      <c r="AO141" s="902">
        <v>4200</v>
      </c>
      <c r="AP141" s="902">
        <v>4100</v>
      </c>
      <c r="AQ141" s="902">
        <v>4550</v>
      </c>
      <c r="AR141" s="902">
        <v>4950</v>
      </c>
      <c r="AS141" s="545"/>
      <c r="AT141" s="545"/>
      <c r="AW141" s="545"/>
      <c r="AX141" s="545"/>
      <c r="AY141" s="545"/>
    </row>
    <row r="142" spans="2:51" ht="18" customHeight="1">
      <c r="C142" s="311" t="s">
        <v>1378</v>
      </c>
      <c r="P142" s="312"/>
      <c r="Q142" s="312"/>
      <c r="V142" s="312"/>
      <c r="W142" s="312"/>
      <c r="X142" s="915"/>
      <c r="Y142" s="915"/>
      <c r="Z142" s="915"/>
      <c r="AA142" s="915"/>
      <c r="AB142" s="902">
        <v>160</v>
      </c>
      <c r="AC142" s="902"/>
      <c r="AD142" s="902">
        <v>190</v>
      </c>
      <c r="AE142" s="902"/>
      <c r="AF142" s="902">
        <v>210</v>
      </c>
      <c r="AG142" s="902">
        <v>240</v>
      </c>
      <c r="AH142" s="902">
        <v>250</v>
      </c>
      <c r="AI142" s="902">
        <v>250</v>
      </c>
      <c r="AJ142" s="902">
        <v>260</v>
      </c>
      <c r="AK142" s="902">
        <v>290</v>
      </c>
      <c r="AL142" s="902">
        <v>320</v>
      </c>
      <c r="AM142" s="902">
        <v>360</v>
      </c>
      <c r="AN142" s="902">
        <v>360</v>
      </c>
      <c r="AO142" s="902">
        <v>370</v>
      </c>
      <c r="AP142" s="902">
        <v>320</v>
      </c>
      <c r="AQ142" s="902">
        <v>400</v>
      </c>
      <c r="AR142" s="902">
        <v>410</v>
      </c>
      <c r="AS142" s="545"/>
      <c r="AT142" s="545"/>
      <c r="AW142" s="545"/>
      <c r="AX142" s="545"/>
      <c r="AY142" s="545"/>
    </row>
    <row r="143" spans="2:51" ht="18" customHeight="1">
      <c r="C143" s="311" t="s">
        <v>1379</v>
      </c>
      <c r="P143" s="312"/>
      <c r="Q143" s="312"/>
      <c r="V143" s="312"/>
      <c r="W143" s="312"/>
      <c r="X143" s="915"/>
      <c r="Y143" s="915"/>
      <c r="Z143" s="915"/>
      <c r="AA143" s="915"/>
      <c r="AB143" s="902">
        <v>70</v>
      </c>
      <c r="AC143" s="902"/>
      <c r="AD143" s="902">
        <v>90</v>
      </c>
      <c r="AE143" s="902"/>
      <c r="AF143" s="902">
        <v>780</v>
      </c>
      <c r="AG143" s="902">
        <v>830</v>
      </c>
      <c r="AH143" s="902">
        <v>870</v>
      </c>
      <c r="AI143" s="902">
        <v>910</v>
      </c>
      <c r="AJ143" s="902">
        <v>950</v>
      </c>
      <c r="AK143" s="902">
        <v>950</v>
      </c>
      <c r="AL143" s="902">
        <v>1010</v>
      </c>
      <c r="AM143" s="902">
        <v>1090</v>
      </c>
      <c r="AN143" s="902">
        <v>1130</v>
      </c>
      <c r="AO143" s="902">
        <v>1210</v>
      </c>
      <c r="AP143" s="902">
        <v>1190</v>
      </c>
      <c r="AQ143" s="902">
        <v>1310</v>
      </c>
      <c r="AR143" s="902">
        <v>1430</v>
      </c>
      <c r="AS143" s="545"/>
      <c r="AT143" s="545"/>
      <c r="AW143" s="545"/>
      <c r="AX143" s="545"/>
      <c r="AY143" s="545"/>
    </row>
    <row r="144" spans="2:51" ht="18" customHeight="1">
      <c r="C144" s="903" t="s">
        <v>1380</v>
      </c>
      <c r="P144" s="312"/>
      <c r="Q144" s="312"/>
      <c r="V144" s="312"/>
      <c r="W144" s="312"/>
      <c r="X144" s="915"/>
      <c r="Y144" s="915"/>
      <c r="Z144" s="915"/>
      <c r="AA144" s="915"/>
      <c r="AB144" s="902">
        <v>360</v>
      </c>
      <c r="AC144" s="902"/>
      <c r="AD144" s="902">
        <v>480</v>
      </c>
      <c r="AE144" s="902"/>
      <c r="AF144" s="902">
        <v>600</v>
      </c>
      <c r="AG144" s="902">
        <v>670</v>
      </c>
      <c r="AH144" s="902">
        <v>770</v>
      </c>
      <c r="AI144" s="902">
        <v>880</v>
      </c>
      <c r="AJ144" s="902">
        <v>1010</v>
      </c>
      <c r="AK144" s="902">
        <v>1160</v>
      </c>
      <c r="AL144" s="902">
        <v>1280</v>
      </c>
      <c r="AM144" s="902">
        <v>1350</v>
      </c>
      <c r="AN144" s="902">
        <v>1360</v>
      </c>
      <c r="AO144" s="902">
        <v>1380</v>
      </c>
      <c r="AP144" s="902">
        <v>1300</v>
      </c>
      <c r="AQ144" s="902">
        <v>1520</v>
      </c>
      <c r="AR144" s="902">
        <v>1680</v>
      </c>
      <c r="AS144" s="545"/>
      <c r="AT144" s="545"/>
      <c r="AW144" s="545"/>
      <c r="AX144" s="545"/>
      <c r="AY144" s="545"/>
    </row>
    <row r="145" spans="2:51" ht="15">
      <c r="P145" s="312"/>
      <c r="Q145" s="312"/>
      <c r="V145" s="312"/>
      <c r="W145" s="312"/>
      <c r="X145" s="915"/>
      <c r="Y145" s="915"/>
      <c r="Z145" s="915"/>
      <c r="AA145" s="915"/>
      <c r="AB145" s="915"/>
      <c r="AC145" s="915"/>
      <c r="AD145" s="915"/>
      <c r="AE145" s="915"/>
      <c r="AF145" s="915"/>
      <c r="AG145" s="855"/>
      <c r="AH145" s="855"/>
      <c r="AI145" s="851"/>
      <c r="AS145" s="545"/>
      <c r="AT145" s="545"/>
      <c r="AW145" s="545"/>
      <c r="AX145" s="545"/>
      <c r="AY145" s="545"/>
    </row>
    <row r="146" spans="2:51" ht="43.5" customHeight="1">
      <c r="B146" s="914" t="s">
        <v>1381</v>
      </c>
      <c r="C146" s="1919" t="s">
        <v>1382</v>
      </c>
      <c r="D146" s="1919"/>
      <c r="E146" s="1919"/>
      <c r="F146" s="1919"/>
      <c r="G146" s="1919"/>
      <c r="H146" s="1919"/>
      <c r="I146" s="1919"/>
      <c r="J146" s="1919"/>
      <c r="K146" s="1919"/>
      <c r="L146" s="1919"/>
      <c r="M146" s="1919"/>
      <c r="N146" s="1919"/>
      <c r="O146" s="1919"/>
      <c r="P146" s="1919"/>
      <c r="Q146" s="1919"/>
      <c r="R146" s="1919"/>
      <c r="S146" s="1919"/>
      <c r="T146" s="1919"/>
      <c r="U146" s="1919"/>
      <c r="V146" s="1919"/>
      <c r="W146" s="1919"/>
      <c r="X146" s="1919"/>
      <c r="Y146" s="1919"/>
      <c r="Z146" s="1919"/>
      <c r="AA146" s="1919"/>
      <c r="AB146" s="1919"/>
      <c r="AC146" s="1919"/>
      <c r="AD146" s="1919"/>
      <c r="AE146" s="1919"/>
      <c r="AF146" s="1919"/>
      <c r="AG146" s="1919"/>
      <c r="AH146" s="1919"/>
      <c r="AI146" s="1919"/>
      <c r="AJ146" s="1919"/>
      <c r="AK146" s="1919"/>
      <c r="AL146" s="1919"/>
      <c r="AM146" s="1919"/>
      <c r="AN146" s="1919"/>
      <c r="AO146" s="1919"/>
      <c r="AP146" s="1919"/>
      <c r="AQ146" s="1919"/>
      <c r="AS146" s="545"/>
      <c r="AT146" s="545"/>
      <c r="AW146" s="545"/>
      <c r="AX146" s="545"/>
      <c r="AY146" s="545"/>
    </row>
    <row r="147" spans="2:51" ht="15">
      <c r="B147" s="311" t="s">
        <v>1806</v>
      </c>
      <c r="D147" s="915"/>
      <c r="E147" s="915"/>
      <c r="F147" s="915"/>
      <c r="G147" s="915"/>
      <c r="H147" s="915"/>
      <c r="I147" s="915"/>
      <c r="J147" s="915"/>
      <c r="K147" s="915"/>
      <c r="L147" s="915"/>
      <c r="P147" s="312"/>
      <c r="Q147" s="312"/>
      <c r="V147" s="312"/>
      <c r="W147" s="312"/>
      <c r="X147" s="915"/>
      <c r="Y147" s="915"/>
      <c r="Z147" s="915"/>
      <c r="AA147" s="915"/>
      <c r="AB147" s="915"/>
      <c r="AC147" s="915"/>
      <c r="AD147" s="915"/>
      <c r="AE147" s="915"/>
      <c r="AF147" s="915"/>
      <c r="AG147" s="855"/>
      <c r="AH147" s="855"/>
      <c r="AI147" s="851"/>
      <c r="AS147" s="545"/>
      <c r="AT147" s="545"/>
      <c r="AW147" s="545"/>
      <c r="AX147" s="545"/>
      <c r="AY147" s="545"/>
    </row>
    <row r="148" spans="2:51" ht="15">
      <c r="P148" s="312"/>
      <c r="Q148" s="312"/>
      <c r="V148" s="312"/>
      <c r="W148" s="312"/>
      <c r="X148" s="915"/>
      <c r="Y148" s="915"/>
      <c r="Z148" s="915"/>
      <c r="AA148" s="915"/>
      <c r="AB148" s="915"/>
      <c r="AC148" s="915"/>
      <c r="AD148" s="915"/>
      <c r="AE148" s="915"/>
      <c r="AF148" s="915"/>
      <c r="AG148" s="855"/>
      <c r="AH148" s="855"/>
      <c r="AI148" s="851"/>
      <c r="AS148" s="545"/>
      <c r="AT148" s="545"/>
      <c r="AW148" s="545"/>
      <c r="AX148" s="545"/>
      <c r="AY148" s="545"/>
    </row>
    <row r="149" spans="2:51" ht="15">
      <c r="P149" s="312"/>
      <c r="Q149" s="312"/>
      <c r="V149" s="312"/>
      <c r="W149" s="312"/>
      <c r="X149" s="915"/>
      <c r="Y149" s="915"/>
      <c r="Z149" s="915"/>
      <c r="AA149" s="915"/>
      <c r="AB149" s="915"/>
      <c r="AC149" s="915"/>
      <c r="AD149" s="915"/>
      <c r="AE149" s="915"/>
      <c r="AF149" s="915"/>
      <c r="AG149" s="855"/>
      <c r="AH149" s="855"/>
      <c r="AI149" s="851"/>
      <c r="AS149" s="545"/>
      <c r="AT149" s="545"/>
      <c r="AW149" s="545"/>
      <c r="AX149" s="545"/>
      <c r="AY149" s="545"/>
    </row>
    <row r="150" spans="2:51" ht="15">
      <c r="P150" s="312"/>
      <c r="Q150" s="312"/>
      <c r="V150" s="312"/>
      <c r="W150" s="312"/>
      <c r="X150" s="915"/>
      <c r="Y150" s="915"/>
      <c r="Z150" s="915"/>
      <c r="AA150" s="915"/>
      <c r="AB150" s="915"/>
      <c r="AC150" s="915"/>
      <c r="AD150" s="915"/>
      <c r="AE150" s="915"/>
      <c r="AF150" s="915"/>
      <c r="AG150" s="855"/>
      <c r="AH150" s="855"/>
      <c r="AI150" s="851"/>
      <c r="AS150" s="545"/>
      <c r="AT150" s="545"/>
      <c r="AW150" s="545"/>
      <c r="AX150" s="545"/>
      <c r="AY150" s="545"/>
    </row>
    <row r="151" spans="2:51" ht="15">
      <c r="P151" s="312"/>
      <c r="Q151" s="312"/>
      <c r="V151" s="312"/>
      <c r="W151" s="312"/>
      <c r="X151" s="307">
        <v>2001</v>
      </c>
      <c r="Z151" s="307">
        <v>2003</v>
      </c>
      <c r="AB151" s="307">
        <v>2005</v>
      </c>
      <c r="AD151" s="307">
        <v>2007</v>
      </c>
      <c r="AF151" s="307">
        <v>2009</v>
      </c>
      <c r="AG151" s="863">
        <v>2010</v>
      </c>
      <c r="AH151" s="863">
        <v>2011</v>
      </c>
      <c r="AI151" s="863">
        <v>2012</v>
      </c>
      <c r="AJ151" s="863">
        <v>2013</v>
      </c>
      <c r="AK151" s="863">
        <v>2014</v>
      </c>
      <c r="AL151" s="863">
        <v>2015</v>
      </c>
      <c r="AM151" s="863">
        <v>2016</v>
      </c>
      <c r="AN151" s="863">
        <v>2017</v>
      </c>
      <c r="AO151" s="863">
        <v>2018</v>
      </c>
      <c r="AP151" s="863">
        <v>2019</v>
      </c>
      <c r="AQ151" s="863">
        <v>2020</v>
      </c>
      <c r="AR151" s="863">
        <v>2021</v>
      </c>
      <c r="AS151" s="545"/>
      <c r="AT151" s="545"/>
      <c r="AW151" s="545"/>
      <c r="AX151" s="545"/>
      <c r="AY151" s="545"/>
    </row>
    <row r="152" spans="2:51" ht="15">
      <c r="P152" s="312"/>
      <c r="Q152" s="312"/>
      <c r="V152" s="312"/>
      <c r="W152" s="312"/>
      <c r="X152" s="915"/>
      <c r="Y152" s="915"/>
      <c r="Z152" s="915"/>
      <c r="AA152" s="915"/>
      <c r="AB152" s="915"/>
      <c r="AC152" s="915"/>
      <c r="AD152" s="915"/>
      <c r="AE152" s="915"/>
      <c r="AF152" s="915"/>
      <c r="AG152" s="855"/>
      <c r="AH152" s="855"/>
      <c r="AI152" s="851"/>
      <c r="AS152" s="545"/>
      <c r="AT152" s="545"/>
      <c r="AW152" s="545"/>
      <c r="AX152" s="545"/>
      <c r="AY152" s="545"/>
    </row>
    <row r="153" spans="2:51" s="217" customFormat="1" ht="15">
      <c r="B153" s="217" t="s">
        <v>78</v>
      </c>
      <c r="C153" s="311"/>
      <c r="P153" s="899">
        <f t="shared" ref="P153:V153" si="28">SUM(P155:P170)</f>
        <v>160</v>
      </c>
      <c r="Q153" s="899">
        <f t="shared" si="28"/>
        <v>169</v>
      </c>
      <c r="R153" s="899">
        <f t="shared" si="28"/>
        <v>184</v>
      </c>
      <c r="S153" s="899">
        <f t="shared" si="28"/>
        <v>196</v>
      </c>
      <c r="T153" s="899">
        <f t="shared" si="28"/>
        <v>211</v>
      </c>
      <c r="U153" s="899">
        <f t="shared" si="28"/>
        <v>230</v>
      </c>
      <c r="V153" s="899">
        <f t="shared" si="28"/>
        <v>250</v>
      </c>
      <c r="W153" s="899"/>
      <c r="X153" s="900">
        <f>SUM(X155:X162)</f>
        <v>1170</v>
      </c>
      <c r="Y153" s="900"/>
      <c r="Z153" s="900">
        <f>SUM(Z155:Z162)</f>
        <v>1510</v>
      </c>
      <c r="AA153" s="900"/>
      <c r="AB153" s="900">
        <f>SUM(AB155:AB162)</f>
        <v>1992</v>
      </c>
      <c r="AC153" s="900"/>
      <c r="AD153" s="900">
        <f>SUM(AD155:AD162)</f>
        <v>2800</v>
      </c>
      <c r="AE153" s="900"/>
      <c r="AF153" s="900">
        <f t="shared" ref="AF153:AR153" si="29">SUM(AF155:AF162)</f>
        <v>3140</v>
      </c>
      <c r="AG153" s="900">
        <f t="shared" si="29"/>
        <v>3240</v>
      </c>
      <c r="AH153" s="900">
        <f t="shared" si="29"/>
        <v>3625</v>
      </c>
      <c r="AI153" s="900">
        <f t="shared" si="29"/>
        <v>3955</v>
      </c>
      <c r="AJ153" s="900">
        <f t="shared" si="29"/>
        <v>4025</v>
      </c>
      <c r="AK153" s="900">
        <f t="shared" si="29"/>
        <v>4305</v>
      </c>
      <c r="AL153" s="900">
        <f t="shared" si="29"/>
        <v>5090</v>
      </c>
      <c r="AM153" s="900">
        <f t="shared" si="29"/>
        <v>4810</v>
      </c>
      <c r="AN153" s="900">
        <f t="shared" si="29"/>
        <v>5285</v>
      </c>
      <c r="AO153" s="900">
        <f t="shared" si="29"/>
        <v>5645</v>
      </c>
      <c r="AP153" s="900">
        <f t="shared" si="29"/>
        <v>5830</v>
      </c>
      <c r="AQ153" s="900">
        <f t="shared" si="29"/>
        <v>5750</v>
      </c>
      <c r="AR153" s="900">
        <f t="shared" si="29"/>
        <v>5740</v>
      </c>
      <c r="AS153" s="545"/>
      <c r="AT153" s="545"/>
      <c r="AW153" s="545"/>
      <c r="AX153" s="545"/>
      <c r="AY153" s="545"/>
    </row>
    <row r="154" spans="2:51" ht="15">
      <c r="C154" s="217"/>
      <c r="X154" s="902"/>
      <c r="Y154" s="902"/>
      <c r="Z154" s="902"/>
      <c r="AA154" s="902"/>
      <c r="AB154" s="902"/>
      <c r="AC154" s="902"/>
      <c r="AD154" s="902"/>
      <c r="AE154" s="902"/>
      <c r="AF154" s="902"/>
      <c r="AG154" s="902"/>
      <c r="AH154" s="902"/>
      <c r="AI154" s="851"/>
      <c r="AS154" s="545"/>
      <c r="AT154" s="545"/>
      <c r="AW154" s="545"/>
      <c r="AX154" s="545"/>
      <c r="AY154" s="545"/>
    </row>
    <row r="155" spans="2:51" ht="15">
      <c r="X155" s="902"/>
      <c r="Y155" s="902"/>
      <c r="Z155" s="902"/>
      <c r="AA155" s="902"/>
      <c r="AB155" s="902"/>
      <c r="AC155" s="902"/>
      <c r="AD155" s="902"/>
      <c r="AE155" s="902"/>
      <c r="AF155" s="902"/>
      <c r="AG155" s="902"/>
      <c r="AH155" s="902"/>
      <c r="AI155" s="902"/>
      <c r="AJ155" s="902"/>
      <c r="AK155" s="902"/>
      <c r="AS155" s="545"/>
      <c r="AT155" s="545"/>
      <c r="AW155" s="545"/>
      <c r="AX155" s="545"/>
      <c r="AY155" s="545"/>
    </row>
    <row r="156" spans="2:51" ht="15">
      <c r="C156" s="311" t="s">
        <v>1383</v>
      </c>
      <c r="X156" s="902">
        <v>590</v>
      </c>
      <c r="Y156" s="902"/>
      <c r="Z156" s="902">
        <v>740</v>
      </c>
      <c r="AA156" s="902"/>
      <c r="AB156" s="902">
        <v>900</v>
      </c>
      <c r="AC156" s="902"/>
      <c r="AD156" s="902">
        <v>1020</v>
      </c>
      <c r="AE156" s="902"/>
      <c r="AF156" s="902">
        <v>1140</v>
      </c>
      <c r="AG156" s="902">
        <v>1220</v>
      </c>
      <c r="AH156" s="902">
        <v>1330</v>
      </c>
      <c r="AI156" s="902">
        <v>1600</v>
      </c>
      <c r="AJ156" s="902">
        <v>1470</v>
      </c>
      <c r="AK156" s="902">
        <v>1450</v>
      </c>
      <c r="AL156" s="902">
        <v>1480</v>
      </c>
      <c r="AM156" s="902">
        <v>1500</v>
      </c>
      <c r="AN156" s="902">
        <v>1620</v>
      </c>
      <c r="AO156" s="902">
        <v>1610</v>
      </c>
      <c r="AP156" s="902">
        <v>1550</v>
      </c>
      <c r="AQ156" s="902">
        <v>1540</v>
      </c>
      <c r="AR156" s="902">
        <v>1500</v>
      </c>
      <c r="AS156" s="545"/>
      <c r="AT156" s="545"/>
      <c r="AW156" s="545"/>
      <c r="AX156" s="545"/>
      <c r="AY156" s="545"/>
    </row>
    <row r="157" spans="2:51" ht="15">
      <c r="C157" s="311" t="s">
        <v>1384</v>
      </c>
      <c r="X157" s="902" t="s">
        <v>269</v>
      </c>
      <c r="Y157" s="902"/>
      <c r="Z157" s="902" t="s">
        <v>269</v>
      </c>
      <c r="AA157" s="902"/>
      <c r="AB157" s="902" t="s">
        <v>269</v>
      </c>
      <c r="AC157" s="902"/>
      <c r="AD157" s="902">
        <v>790</v>
      </c>
      <c r="AE157" s="902"/>
      <c r="AF157" s="902">
        <v>960</v>
      </c>
      <c r="AG157" s="902">
        <v>870</v>
      </c>
      <c r="AH157" s="902">
        <v>1030</v>
      </c>
      <c r="AI157" s="902">
        <v>1010</v>
      </c>
      <c r="AJ157" s="902">
        <v>1080</v>
      </c>
      <c r="AK157" s="902">
        <v>1180</v>
      </c>
      <c r="AL157" s="902">
        <v>1310</v>
      </c>
      <c r="AM157" s="902">
        <v>1220</v>
      </c>
      <c r="AN157" s="902">
        <v>1625</v>
      </c>
      <c r="AO157" s="902">
        <v>1680</v>
      </c>
      <c r="AP157" s="902">
        <v>2030</v>
      </c>
      <c r="AQ157" s="902">
        <v>1950</v>
      </c>
      <c r="AR157" s="902">
        <v>1835</v>
      </c>
      <c r="AS157" s="545"/>
      <c r="AT157" s="545"/>
      <c r="AW157" s="545"/>
      <c r="AX157" s="545"/>
      <c r="AY157" s="545"/>
    </row>
    <row r="158" spans="2:51" ht="15">
      <c r="C158" s="922" t="s">
        <v>1385</v>
      </c>
      <c r="X158" s="902">
        <v>300</v>
      </c>
      <c r="Y158" s="902"/>
      <c r="Z158" s="902">
        <v>540</v>
      </c>
      <c r="AA158" s="902"/>
      <c r="AB158" s="902">
        <v>730</v>
      </c>
      <c r="AC158" s="902"/>
      <c r="AD158" s="902" t="s">
        <v>269</v>
      </c>
      <c r="AE158" s="902"/>
      <c r="AF158" s="902" t="s">
        <v>269</v>
      </c>
      <c r="AG158" s="902" t="s">
        <v>269</v>
      </c>
      <c r="AH158" s="902" t="s">
        <v>269</v>
      </c>
      <c r="AI158" s="902" t="s">
        <v>269</v>
      </c>
      <c r="AJ158" s="902" t="s">
        <v>269</v>
      </c>
      <c r="AK158" s="902" t="s">
        <v>269</v>
      </c>
      <c r="AL158" s="902" t="s">
        <v>269</v>
      </c>
      <c r="AM158" s="902" t="s">
        <v>269</v>
      </c>
      <c r="AN158" s="902" t="s">
        <v>269</v>
      </c>
      <c r="AO158" s="902" t="s">
        <v>269</v>
      </c>
      <c r="AP158" s="902" t="s">
        <v>269</v>
      </c>
      <c r="AQ158" s="902" t="s">
        <v>269</v>
      </c>
      <c r="AR158" s="902" t="s">
        <v>269</v>
      </c>
      <c r="AS158" s="545"/>
      <c r="AT158" s="545"/>
      <c r="AW158" s="545"/>
      <c r="AX158" s="545"/>
      <c r="AY158" s="545"/>
    </row>
    <row r="159" spans="2:51" ht="15">
      <c r="C159" s="922" t="s">
        <v>1386</v>
      </c>
      <c r="X159" s="902" t="s">
        <v>269</v>
      </c>
      <c r="Y159" s="902"/>
      <c r="Z159" s="902" t="s">
        <v>269</v>
      </c>
      <c r="AA159" s="902"/>
      <c r="AB159" s="902">
        <v>3</v>
      </c>
      <c r="AC159" s="902"/>
      <c r="AD159" s="902" t="s">
        <v>269</v>
      </c>
      <c r="AE159" s="902"/>
      <c r="AF159" s="902" t="s">
        <v>269</v>
      </c>
      <c r="AG159" s="902" t="s">
        <v>269</v>
      </c>
      <c r="AH159" s="902" t="s">
        <v>269</v>
      </c>
      <c r="AI159" s="902" t="s">
        <v>269</v>
      </c>
      <c r="AJ159" s="902" t="s">
        <v>269</v>
      </c>
      <c r="AK159" s="902" t="s">
        <v>269</v>
      </c>
      <c r="AL159" s="902" t="s">
        <v>269</v>
      </c>
      <c r="AM159" s="902" t="s">
        <v>269</v>
      </c>
      <c r="AN159" s="902" t="s">
        <v>269</v>
      </c>
      <c r="AO159" s="902" t="s">
        <v>269</v>
      </c>
      <c r="AP159" s="902" t="s">
        <v>269</v>
      </c>
      <c r="AQ159" s="902" t="s">
        <v>269</v>
      </c>
      <c r="AR159" s="902" t="s">
        <v>269</v>
      </c>
      <c r="AS159" s="545"/>
      <c r="AT159" s="545"/>
      <c r="AW159" s="545"/>
      <c r="AX159" s="545"/>
      <c r="AY159" s="545"/>
    </row>
    <row r="160" spans="2:51" ht="15">
      <c r="C160" s="311" t="s">
        <v>1387</v>
      </c>
      <c r="X160" s="902">
        <v>40</v>
      </c>
      <c r="Y160" s="902"/>
      <c r="Z160" s="902">
        <v>20</v>
      </c>
      <c r="AA160" s="902"/>
      <c r="AB160" s="902">
        <v>19</v>
      </c>
      <c r="AC160" s="902"/>
      <c r="AD160" s="902">
        <v>30</v>
      </c>
      <c r="AE160" s="902"/>
      <c r="AF160" s="902">
        <v>30</v>
      </c>
      <c r="AG160" s="902">
        <v>30</v>
      </c>
      <c r="AH160" s="902">
        <v>30</v>
      </c>
      <c r="AI160" s="902">
        <v>40</v>
      </c>
      <c r="AJ160" s="902">
        <v>45</v>
      </c>
      <c r="AK160" s="902">
        <v>50</v>
      </c>
      <c r="AL160" s="902">
        <v>45</v>
      </c>
      <c r="AM160" s="902">
        <v>70</v>
      </c>
      <c r="AN160" s="902">
        <v>55</v>
      </c>
      <c r="AO160" s="902">
        <v>60</v>
      </c>
      <c r="AP160" s="902">
        <v>60</v>
      </c>
      <c r="AQ160" s="902">
        <v>50</v>
      </c>
      <c r="AR160" s="902">
        <v>45</v>
      </c>
      <c r="AS160" s="545"/>
      <c r="AT160" s="545"/>
      <c r="AW160" s="545"/>
      <c r="AX160" s="545"/>
      <c r="AY160" s="545"/>
    </row>
    <row r="161" spans="2:51" ht="15">
      <c r="C161" s="311" t="s">
        <v>1388</v>
      </c>
      <c r="X161" s="902">
        <v>240</v>
      </c>
      <c r="Y161" s="902"/>
      <c r="Z161" s="902">
        <v>210</v>
      </c>
      <c r="AA161" s="902"/>
      <c r="AB161" s="902">
        <v>250</v>
      </c>
      <c r="AC161" s="902"/>
      <c r="AD161" s="902">
        <v>720</v>
      </c>
      <c r="AE161" s="902"/>
      <c r="AF161" s="902">
        <v>890</v>
      </c>
      <c r="AG161" s="902">
        <v>980</v>
      </c>
      <c r="AH161" s="902">
        <v>1100</v>
      </c>
      <c r="AI161" s="902">
        <v>1150</v>
      </c>
      <c r="AJ161" s="902">
        <v>1300</v>
      </c>
      <c r="AK161" s="902">
        <v>1400</v>
      </c>
      <c r="AL161" s="902">
        <v>1550</v>
      </c>
      <c r="AM161" s="902">
        <v>1650</v>
      </c>
      <c r="AN161" s="902">
        <v>1600</v>
      </c>
      <c r="AO161" s="902">
        <v>1850</v>
      </c>
      <c r="AP161" s="902">
        <v>1950</v>
      </c>
      <c r="AQ161" s="902">
        <v>1950</v>
      </c>
      <c r="AR161" s="902">
        <v>2100</v>
      </c>
      <c r="AS161" s="545"/>
      <c r="AT161" s="545"/>
      <c r="AW161" s="545"/>
      <c r="AX161" s="545"/>
      <c r="AY161" s="545"/>
    </row>
    <row r="162" spans="2:51" ht="15">
      <c r="C162" s="311" t="s">
        <v>1389</v>
      </c>
      <c r="X162" s="902" t="s">
        <v>269</v>
      </c>
      <c r="Y162" s="902"/>
      <c r="Z162" s="902" t="s">
        <v>269</v>
      </c>
      <c r="AA162" s="902"/>
      <c r="AB162" s="902">
        <v>90</v>
      </c>
      <c r="AC162" s="902"/>
      <c r="AD162" s="902">
        <v>240</v>
      </c>
      <c r="AE162" s="902"/>
      <c r="AF162" s="902">
        <v>120</v>
      </c>
      <c r="AG162" s="902">
        <v>140</v>
      </c>
      <c r="AH162" s="902">
        <v>135</v>
      </c>
      <c r="AI162" s="312">
        <v>155</v>
      </c>
      <c r="AJ162" s="311">
        <v>130</v>
      </c>
      <c r="AK162" s="311">
        <v>225</v>
      </c>
      <c r="AL162" s="902">
        <v>705</v>
      </c>
      <c r="AM162" s="902">
        <v>370</v>
      </c>
      <c r="AN162" s="902">
        <v>385</v>
      </c>
      <c r="AO162" s="902">
        <v>445</v>
      </c>
      <c r="AP162" s="902">
        <v>240</v>
      </c>
      <c r="AQ162" s="902">
        <v>260</v>
      </c>
      <c r="AR162" s="902">
        <v>260</v>
      </c>
      <c r="AS162" s="545"/>
      <c r="AT162" s="545"/>
      <c r="AW162" s="545"/>
      <c r="AX162" s="545"/>
      <c r="AY162" s="545"/>
    </row>
    <row r="163" spans="2:51" ht="15">
      <c r="C163" s="311" t="s">
        <v>1390</v>
      </c>
      <c r="X163" s="902"/>
      <c r="Y163" s="902"/>
      <c r="Z163" s="902"/>
      <c r="AA163" s="902"/>
      <c r="AB163" s="902"/>
      <c r="AC163" s="902"/>
      <c r="AD163" s="902"/>
      <c r="AE163" s="902"/>
      <c r="AF163" s="902"/>
      <c r="AG163" s="902"/>
      <c r="AH163" s="902"/>
      <c r="AI163" s="312"/>
      <c r="AJ163" s="867">
        <v>5</v>
      </c>
      <c r="AK163" s="867">
        <v>15</v>
      </c>
      <c r="AL163" s="867">
        <v>32</v>
      </c>
      <c r="AM163" s="867">
        <v>45</v>
      </c>
      <c r="AN163" s="867">
        <v>70</v>
      </c>
      <c r="AO163" s="867">
        <v>80</v>
      </c>
      <c r="AP163" s="867">
        <v>67</v>
      </c>
      <c r="AQ163" s="867">
        <v>66</v>
      </c>
      <c r="AR163" s="867">
        <v>70</v>
      </c>
      <c r="AS163" s="545"/>
      <c r="AT163" s="545"/>
      <c r="AW163" s="545"/>
      <c r="AX163" s="545"/>
      <c r="AY163" s="545"/>
    </row>
    <row r="164" spans="2:51" ht="15">
      <c r="X164" s="915"/>
      <c r="Y164" s="915"/>
      <c r="Z164" s="915"/>
      <c r="AA164" s="915"/>
      <c r="AB164" s="915"/>
      <c r="AC164" s="915"/>
      <c r="AD164" s="915"/>
      <c r="AE164" s="915"/>
      <c r="AF164" s="915"/>
      <c r="AG164" s="855"/>
      <c r="AH164" s="855"/>
      <c r="AI164" s="851"/>
      <c r="AS164" s="545"/>
      <c r="AT164" s="545"/>
    </row>
    <row r="165" spans="2:51" ht="12.75" customHeight="1">
      <c r="B165" s="914" t="s">
        <v>1391</v>
      </c>
      <c r="C165" s="923" t="s">
        <v>1392</v>
      </c>
      <c r="D165" s="924"/>
      <c r="E165" s="924"/>
      <c r="F165" s="924"/>
      <c r="G165" s="924"/>
      <c r="H165" s="924"/>
      <c r="I165" s="924"/>
      <c r="J165" s="924"/>
      <c r="K165" s="924"/>
      <c r="L165" s="924"/>
      <c r="X165" s="915"/>
      <c r="Y165" s="915"/>
      <c r="Z165" s="915"/>
      <c r="AA165" s="915"/>
      <c r="AB165" s="915"/>
      <c r="AC165" s="915"/>
      <c r="AD165" s="915"/>
      <c r="AE165" s="915"/>
      <c r="AF165" s="915"/>
      <c r="AG165" s="855"/>
      <c r="AH165" s="855"/>
      <c r="AI165" s="851"/>
      <c r="AS165" s="545"/>
      <c r="AT165" s="545"/>
    </row>
    <row r="166" spans="2:51" ht="15">
      <c r="B166" s="311" t="s">
        <v>1807</v>
      </c>
      <c r="D166" s="915"/>
      <c r="E166" s="915"/>
      <c r="F166" s="915"/>
      <c r="G166" s="915"/>
      <c r="H166" s="915"/>
      <c r="I166" s="915"/>
      <c r="J166" s="915"/>
      <c r="K166" s="915"/>
      <c r="L166" s="915"/>
      <c r="X166" s="915"/>
      <c r="Y166" s="915"/>
      <c r="Z166" s="915"/>
      <c r="AA166" s="915"/>
      <c r="AB166" s="915"/>
      <c r="AC166" s="915"/>
      <c r="AD166" s="915"/>
      <c r="AE166" s="915"/>
      <c r="AF166" s="915"/>
      <c r="AG166" s="855"/>
      <c r="AH166" s="855"/>
      <c r="AI166" s="851"/>
      <c r="AL166" s="545"/>
      <c r="AM166" s="545"/>
      <c r="AN166" s="545"/>
      <c r="AO166" s="545"/>
      <c r="AP166" s="545"/>
      <c r="AS166" s="545"/>
      <c r="AT166" s="545"/>
    </row>
    <row r="167" spans="2:51" ht="9" customHeight="1">
      <c r="X167" s="915"/>
      <c r="Y167" s="915"/>
      <c r="Z167" s="915"/>
      <c r="AA167" s="915"/>
      <c r="AB167" s="915"/>
      <c r="AC167" s="915"/>
      <c r="AD167" s="915"/>
      <c r="AE167" s="915"/>
      <c r="AF167" s="915"/>
      <c r="AG167" s="855"/>
      <c r="AH167" s="855"/>
      <c r="AI167" s="851"/>
      <c r="AL167" s="545"/>
      <c r="AM167" s="545"/>
      <c r="AN167" s="545"/>
      <c r="AO167" s="545"/>
      <c r="AP167" s="545"/>
      <c r="AS167" s="545"/>
      <c r="AT167" s="545"/>
    </row>
    <row r="168" spans="2:51" ht="8.25" customHeight="1">
      <c r="X168" s="915"/>
      <c r="Y168" s="915"/>
      <c r="Z168" s="915"/>
      <c r="AA168" s="915"/>
      <c r="AB168" s="915"/>
      <c r="AC168" s="915"/>
      <c r="AD168" s="915"/>
      <c r="AE168" s="915"/>
      <c r="AF168" s="915"/>
      <c r="AG168" s="855"/>
      <c r="AH168" s="855"/>
      <c r="AI168" s="851"/>
      <c r="AL168" s="545"/>
      <c r="AM168" s="545"/>
      <c r="AN168" s="545"/>
      <c r="AO168" s="545"/>
      <c r="AP168" s="545"/>
      <c r="AS168" s="545"/>
      <c r="AT168" s="545"/>
    </row>
    <row r="169" spans="2:51" ht="15">
      <c r="AI169" s="312"/>
      <c r="AL169" s="545"/>
      <c r="AM169" s="545"/>
      <c r="AN169" s="545"/>
      <c r="AO169" s="545"/>
      <c r="AP169" s="545"/>
      <c r="AQ169" s="545"/>
      <c r="AS169" s="545"/>
      <c r="AT169" s="545"/>
    </row>
    <row r="170" spans="2:51" ht="15">
      <c r="P170" s="312">
        <v>160</v>
      </c>
      <c r="Q170" s="312">
        <v>169</v>
      </c>
      <c r="R170" s="312">
        <v>184</v>
      </c>
      <c r="S170" s="312">
        <v>196</v>
      </c>
      <c r="T170" s="312">
        <v>211</v>
      </c>
      <c r="U170" s="312">
        <v>230</v>
      </c>
      <c r="V170" s="312">
        <v>250</v>
      </c>
      <c r="W170" s="312">
        <v>300</v>
      </c>
      <c r="X170" s="915"/>
      <c r="Y170" s="915"/>
      <c r="Z170" s="915"/>
      <c r="AA170" s="915"/>
      <c r="AB170" s="915"/>
      <c r="AC170" s="915"/>
      <c r="AD170" s="915"/>
      <c r="AE170" s="915"/>
      <c r="AF170" s="915"/>
      <c r="AG170" s="855"/>
      <c r="AH170" s="855"/>
      <c r="AI170" s="851"/>
      <c r="AS170" s="545"/>
      <c r="AT170" s="545"/>
    </row>
    <row r="171" spans="2:51" ht="15">
      <c r="P171" s="312"/>
      <c r="Q171" s="312"/>
      <c r="V171" s="312"/>
      <c r="W171" s="312"/>
      <c r="X171" s="915"/>
      <c r="Y171" s="915"/>
      <c r="Z171" s="915"/>
      <c r="AA171" s="915"/>
      <c r="AB171" s="915"/>
      <c r="AC171" s="915"/>
      <c r="AD171" s="915"/>
      <c r="AE171" s="915"/>
      <c r="AF171" s="915"/>
      <c r="AG171" s="855"/>
      <c r="AH171" s="855"/>
      <c r="AI171" s="851"/>
      <c r="AS171" s="545"/>
      <c r="AT171" s="545"/>
    </row>
    <row r="172" spans="2:51" ht="15.75">
      <c r="B172" s="925" t="s">
        <v>90</v>
      </c>
      <c r="X172" s="863">
        <v>2001</v>
      </c>
      <c r="Y172" s="867"/>
      <c r="Z172" s="863">
        <v>2003</v>
      </c>
      <c r="AA172" s="867"/>
      <c r="AB172" s="863">
        <v>2005</v>
      </c>
      <c r="AC172" s="867"/>
      <c r="AD172" s="863">
        <v>2007</v>
      </c>
      <c r="AE172" s="867"/>
      <c r="AF172" s="863">
        <v>2009</v>
      </c>
      <c r="AG172" s="863">
        <v>2010</v>
      </c>
      <c r="AH172" s="863">
        <v>2011</v>
      </c>
      <c r="AI172" s="863">
        <v>2012</v>
      </c>
      <c r="AJ172" s="863">
        <v>2013</v>
      </c>
      <c r="AK172" s="863">
        <v>2014</v>
      </c>
      <c r="AL172" s="863">
        <v>2015</v>
      </c>
      <c r="AM172" s="863">
        <v>2016</v>
      </c>
      <c r="AN172" s="863">
        <v>2017</v>
      </c>
      <c r="AO172" s="863">
        <v>2018</v>
      </c>
      <c r="AP172" s="863">
        <v>2019</v>
      </c>
      <c r="AQ172" s="863">
        <v>2020</v>
      </c>
      <c r="AR172" s="863">
        <v>2021</v>
      </c>
      <c r="AS172" s="545"/>
      <c r="AT172" s="545"/>
    </row>
    <row r="173" spans="2:51" s="217" customFormat="1" ht="15">
      <c r="B173" s="217" t="s">
        <v>91</v>
      </c>
      <c r="C173" s="311"/>
      <c r="O173" s="899">
        <f t="shared" ref="O173:V173" si="30">O192</f>
        <v>0</v>
      </c>
      <c r="P173" s="899">
        <f t="shared" si="30"/>
        <v>0</v>
      </c>
      <c r="Q173" s="899">
        <f t="shared" si="30"/>
        <v>0</v>
      </c>
      <c r="R173" s="899">
        <f t="shared" si="30"/>
        <v>0</v>
      </c>
      <c r="S173" s="899">
        <f t="shared" si="30"/>
        <v>0</v>
      </c>
      <c r="T173" s="899">
        <f t="shared" si="30"/>
        <v>0</v>
      </c>
      <c r="U173" s="899">
        <f t="shared" si="30"/>
        <v>0</v>
      </c>
      <c r="V173" s="899">
        <f t="shared" si="30"/>
        <v>0</v>
      </c>
      <c r="W173" s="899"/>
      <c r="X173" s="900">
        <f>SUM(X175:X183)</f>
        <v>9215</v>
      </c>
      <c r="Y173" s="900"/>
      <c r="Z173" s="900">
        <f>SUM(Z175:Z183)</f>
        <v>13540</v>
      </c>
      <c r="AA173" s="900"/>
      <c r="AB173" s="900">
        <f>SUM(AB175:AB183)</f>
        <v>19525</v>
      </c>
      <c r="AC173" s="900"/>
      <c r="AD173" s="900">
        <f>SUM(AD175:AD183)</f>
        <v>38868</v>
      </c>
      <c r="AE173" s="900"/>
      <c r="AF173" s="900">
        <f t="shared" ref="AF173:AR173" si="31">SUM(AF175:AF183)</f>
        <v>25336</v>
      </c>
      <c r="AG173" s="900">
        <f t="shared" si="31"/>
        <v>29110</v>
      </c>
      <c r="AH173" s="900">
        <f t="shared" si="31"/>
        <v>28770</v>
      </c>
      <c r="AI173" s="900">
        <f t="shared" si="31"/>
        <v>26870</v>
      </c>
      <c r="AJ173" s="900">
        <f t="shared" si="31"/>
        <v>26880</v>
      </c>
      <c r="AK173" s="900">
        <f t="shared" si="31"/>
        <v>29830</v>
      </c>
      <c r="AL173" s="900">
        <f t="shared" si="31"/>
        <v>34390</v>
      </c>
      <c r="AM173" s="900">
        <f t="shared" si="31"/>
        <v>34090</v>
      </c>
      <c r="AN173" s="900">
        <f t="shared" si="31"/>
        <v>36550</v>
      </c>
      <c r="AO173" s="900">
        <f t="shared" si="31"/>
        <v>40170</v>
      </c>
      <c r="AP173" s="900">
        <f t="shared" si="31"/>
        <v>37000</v>
      </c>
      <c r="AQ173" s="900">
        <f t="shared" si="31"/>
        <v>33960</v>
      </c>
      <c r="AR173" s="900">
        <f t="shared" si="31"/>
        <v>47400</v>
      </c>
      <c r="AS173" s="545"/>
      <c r="AT173" s="545"/>
    </row>
    <row r="174" spans="2:51" ht="15">
      <c r="C174" s="217"/>
      <c r="X174" s="902"/>
      <c r="Y174" s="902"/>
      <c r="Z174" s="902"/>
      <c r="AA174" s="902"/>
      <c r="AB174" s="902"/>
      <c r="AC174" s="902"/>
      <c r="AD174" s="902"/>
      <c r="AE174" s="902"/>
      <c r="AF174" s="902"/>
      <c r="AG174" s="902"/>
      <c r="AH174" s="902"/>
      <c r="AI174" s="911"/>
      <c r="AS174" s="545"/>
      <c r="AT174" s="545"/>
    </row>
    <row r="175" spans="2:51" ht="15">
      <c r="C175" s="311" t="s">
        <v>1393</v>
      </c>
      <c r="X175" s="926" t="s">
        <v>237</v>
      </c>
      <c r="Y175" s="926"/>
      <c r="Z175" s="926" t="s">
        <v>237</v>
      </c>
      <c r="AA175" s="926"/>
      <c r="AB175" s="926">
        <v>1090</v>
      </c>
      <c r="AC175" s="926"/>
      <c r="AD175" s="926">
        <v>1030</v>
      </c>
      <c r="AE175" s="926"/>
      <c r="AF175" s="926">
        <v>80</v>
      </c>
      <c r="AG175" s="902">
        <v>100</v>
      </c>
      <c r="AH175" s="902">
        <v>90</v>
      </c>
      <c r="AI175" s="898">
        <v>80</v>
      </c>
      <c r="AJ175" s="311">
        <v>170</v>
      </c>
      <c r="AK175" s="311">
        <v>470</v>
      </c>
      <c r="AL175" s="902">
        <v>610</v>
      </c>
      <c r="AM175" s="902">
        <v>1400</v>
      </c>
      <c r="AN175" s="902">
        <v>1650</v>
      </c>
      <c r="AO175" s="902">
        <v>1250</v>
      </c>
      <c r="AP175" s="902">
        <v>1100</v>
      </c>
      <c r="AQ175" s="902">
        <v>2800</v>
      </c>
      <c r="AR175" s="902">
        <v>2600</v>
      </c>
      <c r="AS175" s="545"/>
      <c r="AT175" s="545"/>
    </row>
    <row r="176" spans="2:51" ht="15">
      <c r="C176" s="903" t="s">
        <v>1394</v>
      </c>
      <c r="X176" s="926" t="s">
        <v>269</v>
      </c>
      <c r="Y176" s="926"/>
      <c r="Z176" s="926" t="s">
        <v>269</v>
      </c>
      <c r="AA176" s="926"/>
      <c r="AB176" s="926" t="s">
        <v>269</v>
      </c>
      <c r="AC176" s="926"/>
      <c r="AD176" s="926">
        <v>13150</v>
      </c>
      <c r="AE176" s="926"/>
      <c r="AF176" s="926">
        <v>12700</v>
      </c>
      <c r="AG176" s="902">
        <v>12600</v>
      </c>
      <c r="AH176" s="902">
        <v>14250</v>
      </c>
      <c r="AI176" s="902">
        <v>13850</v>
      </c>
      <c r="AJ176" s="902">
        <v>14500</v>
      </c>
      <c r="AK176" s="902">
        <v>16050</v>
      </c>
      <c r="AL176" s="902">
        <v>17050</v>
      </c>
      <c r="AM176" s="902">
        <v>16050</v>
      </c>
      <c r="AN176" s="902">
        <v>16800</v>
      </c>
      <c r="AO176" s="902">
        <v>17900</v>
      </c>
      <c r="AP176" s="902">
        <v>19350</v>
      </c>
      <c r="AQ176" s="902">
        <v>19000</v>
      </c>
      <c r="AR176" s="902">
        <v>20500</v>
      </c>
      <c r="AS176" s="545"/>
      <c r="AT176" s="545"/>
    </row>
    <row r="177" spans="2:46" ht="15">
      <c r="C177" s="903" t="s">
        <v>1395</v>
      </c>
      <c r="X177" s="926" t="s">
        <v>269</v>
      </c>
      <c r="Y177" s="926"/>
      <c r="Z177" s="926" t="s">
        <v>269</v>
      </c>
      <c r="AA177" s="926"/>
      <c r="AB177" s="926" t="s">
        <v>269</v>
      </c>
      <c r="AC177" s="926"/>
      <c r="AD177" s="926">
        <v>22050</v>
      </c>
      <c r="AE177" s="926"/>
      <c r="AF177" s="926">
        <v>10650</v>
      </c>
      <c r="AG177" s="902">
        <v>15050</v>
      </c>
      <c r="AH177" s="902">
        <v>13100</v>
      </c>
      <c r="AI177" s="902">
        <v>11600</v>
      </c>
      <c r="AJ177" s="902">
        <v>11350</v>
      </c>
      <c r="AK177" s="902">
        <v>12250</v>
      </c>
      <c r="AL177" s="902">
        <v>15400</v>
      </c>
      <c r="AM177" s="902">
        <v>15350</v>
      </c>
      <c r="AN177" s="902">
        <v>16800</v>
      </c>
      <c r="AO177" s="902">
        <v>19750</v>
      </c>
      <c r="AP177" s="902">
        <v>15200</v>
      </c>
      <c r="AQ177" s="902">
        <v>10600</v>
      </c>
      <c r="AR177" s="902">
        <v>22600</v>
      </c>
      <c r="AS177" s="545"/>
      <c r="AT177" s="545"/>
    </row>
    <row r="178" spans="2:46" ht="15">
      <c r="C178" s="311" t="s">
        <v>1396</v>
      </c>
      <c r="X178" s="926">
        <v>9215</v>
      </c>
      <c r="Y178" s="926"/>
      <c r="Z178" s="926">
        <v>13400</v>
      </c>
      <c r="AA178" s="926"/>
      <c r="AB178" s="926">
        <v>17930</v>
      </c>
      <c r="AC178" s="926"/>
      <c r="AD178" s="926" t="s">
        <v>269</v>
      </c>
      <c r="AE178" s="926"/>
      <c r="AF178" s="926" t="s">
        <v>269</v>
      </c>
      <c r="AG178" s="902" t="s">
        <v>269</v>
      </c>
      <c r="AH178" s="902" t="s">
        <v>269</v>
      </c>
      <c r="AI178" s="898" t="s">
        <v>269</v>
      </c>
      <c r="AJ178" s="898"/>
      <c r="AK178" s="898"/>
      <c r="AL178" s="902"/>
      <c r="AM178" s="902"/>
      <c r="AN178" s="902"/>
      <c r="AO178" s="902"/>
      <c r="AP178" s="902"/>
      <c r="AQ178" s="902"/>
      <c r="AR178" s="902"/>
      <c r="AS178" s="545"/>
      <c r="AT178" s="545"/>
    </row>
    <row r="179" spans="2:46" ht="15">
      <c r="C179" s="311" t="s">
        <v>1397</v>
      </c>
      <c r="X179" s="926" t="s">
        <v>1191</v>
      </c>
      <c r="Y179" s="926"/>
      <c r="Z179" s="926">
        <v>140</v>
      </c>
      <c r="AA179" s="926"/>
      <c r="AB179" s="926">
        <v>150</v>
      </c>
      <c r="AC179" s="926"/>
      <c r="AD179" s="926">
        <v>308</v>
      </c>
      <c r="AE179" s="926"/>
      <c r="AF179" s="926">
        <v>360</v>
      </c>
      <c r="AG179" s="902">
        <v>410</v>
      </c>
      <c r="AH179" s="898">
        <v>450</v>
      </c>
      <c r="AI179" s="311">
        <v>470</v>
      </c>
      <c r="AJ179" s="311">
        <v>500</v>
      </c>
      <c r="AK179" s="311">
        <v>540</v>
      </c>
      <c r="AL179" s="902">
        <v>550</v>
      </c>
      <c r="AM179" s="902">
        <v>570</v>
      </c>
      <c r="AN179" s="902">
        <v>540</v>
      </c>
      <c r="AO179" s="902">
        <v>550</v>
      </c>
      <c r="AP179" s="902">
        <v>580</v>
      </c>
      <c r="AQ179" s="902">
        <v>620</v>
      </c>
      <c r="AR179" s="902">
        <v>660</v>
      </c>
      <c r="AS179" s="545"/>
      <c r="AT179" s="545"/>
    </row>
    <row r="180" spans="2:46" ht="15">
      <c r="C180" s="311" t="s">
        <v>1398</v>
      </c>
      <c r="X180" s="926" t="s">
        <v>237</v>
      </c>
      <c r="Y180" s="926"/>
      <c r="Z180" s="926" t="s">
        <v>237</v>
      </c>
      <c r="AA180" s="926"/>
      <c r="AB180" s="926">
        <v>410</v>
      </c>
      <c r="AC180" s="926"/>
      <c r="AD180" s="926">
        <v>2000</v>
      </c>
      <c r="AE180" s="926"/>
      <c r="AF180" s="926">
        <v>1500</v>
      </c>
      <c r="AG180" s="902">
        <v>870</v>
      </c>
      <c r="AH180" s="926">
        <v>960</v>
      </c>
      <c r="AI180" s="926">
        <v>1000</v>
      </c>
      <c r="AJ180" s="926">
        <v>550</v>
      </c>
      <c r="AK180" s="926">
        <v>710</v>
      </c>
      <c r="AL180" s="902">
        <v>980</v>
      </c>
      <c r="AM180" s="902">
        <v>1000</v>
      </c>
      <c r="AN180" s="902">
        <v>1050</v>
      </c>
      <c r="AO180" s="902">
        <v>1050</v>
      </c>
      <c r="AP180" s="902">
        <v>1200</v>
      </c>
      <c r="AQ180" s="902">
        <v>1300</v>
      </c>
      <c r="AR180" s="902">
        <v>1400</v>
      </c>
      <c r="AS180" s="545"/>
      <c r="AT180" s="545"/>
    </row>
    <row r="181" spans="2:46" ht="15">
      <c r="C181" s="311" t="s">
        <v>1399</v>
      </c>
      <c r="X181" s="926" t="s">
        <v>237</v>
      </c>
      <c r="Y181" s="926"/>
      <c r="Z181" s="926" t="s">
        <v>237</v>
      </c>
      <c r="AA181" s="926"/>
      <c r="AB181" s="926">
        <v>90</v>
      </c>
      <c r="AC181" s="926"/>
      <c r="AD181" s="926">
        <v>500</v>
      </c>
      <c r="AE181" s="926"/>
      <c r="AF181" s="926">
        <v>230</v>
      </c>
      <c r="AG181" s="902">
        <v>300</v>
      </c>
      <c r="AH181" s="898">
        <v>170</v>
      </c>
      <c r="AI181" s="311">
        <v>140</v>
      </c>
      <c r="AJ181" s="311">
        <v>120</v>
      </c>
      <c r="AK181" s="311">
        <v>200</v>
      </c>
      <c r="AL181" s="902">
        <v>220</v>
      </c>
      <c r="AM181" s="902">
        <v>210</v>
      </c>
      <c r="AN181" s="902">
        <v>210</v>
      </c>
      <c r="AO181" s="902">
        <v>210</v>
      </c>
      <c r="AP181" s="902">
        <v>160</v>
      </c>
      <c r="AQ181" s="902">
        <v>160</v>
      </c>
      <c r="AR181" s="902">
        <v>160</v>
      </c>
      <c r="AS181" s="545"/>
      <c r="AT181" s="545"/>
    </row>
    <row r="182" spans="2:46" ht="15">
      <c r="C182" s="311" t="s">
        <v>1400</v>
      </c>
      <c r="X182" s="926" t="s">
        <v>237</v>
      </c>
      <c r="Y182" s="926"/>
      <c r="Z182" s="926" t="s">
        <v>237</v>
      </c>
      <c r="AA182" s="926"/>
      <c r="AB182" s="926">
        <v>15</v>
      </c>
      <c r="AC182" s="926"/>
      <c r="AD182" s="926">
        <v>10</v>
      </c>
      <c r="AE182" s="926"/>
      <c r="AF182" s="926">
        <v>6</v>
      </c>
      <c r="AG182" s="902" t="s">
        <v>269</v>
      </c>
      <c r="AH182" s="902" t="s">
        <v>269</v>
      </c>
      <c r="AI182" s="898"/>
      <c r="AL182" s="902"/>
      <c r="AM182" s="902"/>
      <c r="AN182" s="902"/>
      <c r="AO182" s="902"/>
      <c r="AP182" s="902"/>
      <c r="AQ182" s="902"/>
      <c r="AR182" s="902"/>
      <c r="AS182" s="545"/>
      <c r="AT182" s="545"/>
    </row>
    <row r="183" spans="2:46" ht="15">
      <c r="B183" s="312"/>
      <c r="C183" s="312" t="s">
        <v>1401</v>
      </c>
      <c r="D183" s="312"/>
      <c r="E183" s="312"/>
      <c r="F183" s="312"/>
      <c r="G183" s="312"/>
      <c r="H183" s="312"/>
      <c r="I183" s="312"/>
      <c r="J183" s="312"/>
      <c r="K183" s="312"/>
      <c r="L183" s="312"/>
      <c r="M183" s="312"/>
      <c r="N183" s="312"/>
      <c r="O183" s="312"/>
      <c r="P183" s="312"/>
      <c r="Q183" s="312"/>
      <c r="V183" s="312"/>
      <c r="W183" s="312"/>
      <c r="X183" s="927" t="s">
        <v>237</v>
      </c>
      <c r="Y183" s="927"/>
      <c r="Z183" s="927" t="s">
        <v>237</v>
      </c>
      <c r="AA183" s="927"/>
      <c r="AB183" s="927">
        <v>-160</v>
      </c>
      <c r="AC183" s="927"/>
      <c r="AD183" s="927">
        <v>-180</v>
      </c>
      <c r="AE183" s="927"/>
      <c r="AF183" s="927">
        <v>-190</v>
      </c>
      <c r="AG183" s="911">
        <v>-220</v>
      </c>
      <c r="AH183" s="898">
        <v>-250</v>
      </c>
      <c r="AI183" s="312">
        <v>-270</v>
      </c>
      <c r="AJ183" s="312">
        <v>-310</v>
      </c>
      <c r="AK183" s="312">
        <v>-390</v>
      </c>
      <c r="AL183" s="902">
        <v>-420</v>
      </c>
      <c r="AM183" s="902">
        <v>-490</v>
      </c>
      <c r="AN183" s="902">
        <v>-500</v>
      </c>
      <c r="AO183" s="902">
        <v>-540</v>
      </c>
      <c r="AP183" s="902">
        <v>-590</v>
      </c>
      <c r="AQ183" s="902">
        <v>-520</v>
      </c>
      <c r="AR183" s="902">
        <v>-520</v>
      </c>
      <c r="AS183" s="545"/>
      <c r="AT183" s="545"/>
    </row>
    <row r="184" spans="2:46" ht="15">
      <c r="B184" s="904" t="s">
        <v>1808</v>
      </c>
      <c r="C184" s="904"/>
      <c r="D184" s="904"/>
      <c r="E184" s="904"/>
      <c r="F184" s="904"/>
      <c r="G184" s="904"/>
      <c r="H184" s="904"/>
      <c r="I184" s="904"/>
      <c r="J184" s="904"/>
      <c r="K184" s="904"/>
      <c r="L184" s="904"/>
      <c r="M184" s="904"/>
      <c r="N184" s="904"/>
      <c r="O184" s="904"/>
      <c r="P184" s="904"/>
      <c r="Q184" s="904"/>
      <c r="R184" s="904"/>
      <c r="S184" s="904"/>
      <c r="T184" s="904"/>
      <c r="U184" s="904"/>
      <c r="V184" s="904"/>
      <c r="W184" s="904"/>
      <c r="X184" s="928"/>
      <c r="Y184" s="928"/>
      <c r="Z184" s="928"/>
      <c r="AA184" s="928"/>
      <c r="AB184" s="928"/>
      <c r="AC184" s="928"/>
      <c r="AD184" s="928"/>
      <c r="AE184" s="928"/>
      <c r="AF184" s="928"/>
      <c r="AG184" s="928"/>
      <c r="AH184" s="904"/>
      <c r="AI184" s="904"/>
      <c r="AJ184" s="904"/>
      <c r="AK184" s="904"/>
      <c r="AL184" s="904"/>
      <c r="AM184" s="904"/>
      <c r="AN184" s="904"/>
      <c r="AO184" s="904"/>
      <c r="AP184" s="904"/>
      <c r="AQ184" s="904"/>
      <c r="AR184" s="904"/>
      <c r="AS184" s="545"/>
      <c r="AT184" s="545"/>
    </row>
    <row r="185" spans="2:46" ht="15">
      <c r="B185" s="914"/>
      <c r="D185" s="914"/>
      <c r="E185" s="914"/>
      <c r="F185" s="914"/>
      <c r="G185" s="914"/>
      <c r="H185" s="914"/>
      <c r="I185" s="914"/>
      <c r="J185" s="914"/>
      <c r="K185" s="914"/>
      <c r="L185" s="914"/>
      <c r="M185" s="914"/>
      <c r="N185" s="914"/>
      <c r="O185" s="914"/>
      <c r="P185" s="914"/>
      <c r="Q185" s="914"/>
      <c r="R185" s="929"/>
      <c r="S185" s="929"/>
      <c r="T185" s="929"/>
      <c r="U185" s="929"/>
      <c r="V185" s="914"/>
      <c r="W185" s="914"/>
      <c r="X185" s="930"/>
      <c r="Y185" s="930"/>
      <c r="Z185" s="930"/>
      <c r="AA185" s="930"/>
      <c r="AB185" s="930"/>
      <c r="AC185" s="930"/>
      <c r="AD185" s="930"/>
      <c r="AE185" s="930"/>
      <c r="AF185" s="930"/>
      <c r="AG185" s="855"/>
      <c r="AH185" s="855"/>
      <c r="AI185" s="851"/>
      <c r="AP185" s="545"/>
      <c r="AS185" s="545"/>
      <c r="AT185" s="545"/>
    </row>
    <row r="186" spans="2:46" ht="15">
      <c r="B186" s="545"/>
      <c r="C186" s="545"/>
      <c r="D186" s="545"/>
      <c r="E186" s="545"/>
      <c r="F186" s="545"/>
      <c r="G186" s="545"/>
      <c r="H186" s="545"/>
      <c r="I186" s="545"/>
      <c r="J186" s="545"/>
      <c r="K186" s="545"/>
      <c r="L186" s="545"/>
      <c r="M186" s="545"/>
      <c r="N186" s="545"/>
      <c r="O186" s="545"/>
      <c r="P186" s="545"/>
      <c r="Q186" s="545"/>
      <c r="R186" s="545"/>
      <c r="S186" s="545"/>
      <c r="T186" s="545"/>
      <c r="U186" s="545"/>
      <c r="V186" s="545"/>
      <c r="W186" s="545"/>
      <c r="X186" s="545"/>
      <c r="Y186" s="545"/>
      <c r="Z186" s="545"/>
      <c r="AA186" s="545"/>
      <c r="AB186" s="545"/>
      <c r="AC186" s="545"/>
      <c r="AD186" s="545"/>
      <c r="AE186" s="545"/>
      <c r="AF186" s="545"/>
      <c r="AG186" s="545"/>
      <c r="AH186" s="545"/>
      <c r="AI186" s="545"/>
      <c r="AJ186" s="545"/>
      <c r="AK186" s="545"/>
      <c r="AL186" s="545"/>
      <c r="AM186" s="545"/>
      <c r="AN186" s="545"/>
      <c r="AO186" s="545"/>
      <c r="AP186" s="545"/>
      <c r="AQ186" s="545"/>
      <c r="AR186" s="545"/>
      <c r="AS186" s="545"/>
      <c r="AT186" s="545"/>
    </row>
    <row r="187" spans="2:46" ht="15">
      <c r="B187" s="545"/>
      <c r="C187" s="545"/>
      <c r="D187" s="545"/>
      <c r="E187" s="545"/>
      <c r="F187" s="545"/>
      <c r="G187" s="545"/>
      <c r="H187" s="545"/>
      <c r="I187" s="545"/>
      <c r="J187" s="545"/>
      <c r="K187" s="545"/>
      <c r="L187" s="545"/>
      <c r="M187" s="545"/>
      <c r="N187" s="545"/>
      <c r="O187" s="545"/>
      <c r="P187" s="545"/>
      <c r="Q187" s="545"/>
      <c r="R187" s="545"/>
      <c r="S187" s="545"/>
      <c r="T187" s="545"/>
      <c r="U187" s="545"/>
      <c r="V187" s="545"/>
      <c r="W187" s="545"/>
      <c r="X187" s="545"/>
      <c r="Y187" s="545"/>
      <c r="Z187" s="545"/>
      <c r="AA187" s="545"/>
      <c r="AB187" s="545"/>
      <c r="AC187" s="545"/>
      <c r="AD187" s="545"/>
      <c r="AE187" s="545"/>
      <c r="AF187" s="545"/>
      <c r="AG187" s="545"/>
      <c r="AH187" s="545"/>
      <c r="AI187" s="545"/>
      <c r="AJ187" s="545"/>
      <c r="AK187" s="545"/>
      <c r="AL187" s="545"/>
      <c r="AM187" s="545"/>
      <c r="AN187" s="545"/>
      <c r="AO187" s="545"/>
      <c r="AP187" s="545"/>
      <c r="AQ187" s="545"/>
      <c r="AR187" s="545"/>
      <c r="AS187" s="545"/>
      <c r="AT187" s="545"/>
    </row>
    <row r="188" spans="2:46" ht="15">
      <c r="B188" s="545"/>
      <c r="C188" s="545"/>
      <c r="D188" s="545"/>
      <c r="E188" s="545"/>
      <c r="F188" s="545"/>
      <c r="G188" s="545"/>
      <c r="H188" s="545"/>
      <c r="I188" s="545"/>
      <c r="J188" s="545"/>
      <c r="K188" s="545"/>
      <c r="L188" s="545"/>
      <c r="M188" s="545"/>
      <c r="N188" s="545"/>
      <c r="O188" s="545"/>
      <c r="P188" s="545"/>
      <c r="Q188" s="545"/>
      <c r="R188" s="545"/>
      <c r="S188" s="545"/>
      <c r="T188" s="545"/>
      <c r="U188" s="545"/>
      <c r="V188" s="545"/>
      <c r="W188" s="545"/>
      <c r="X188" s="545"/>
      <c r="Y188" s="545"/>
      <c r="Z188" s="545"/>
      <c r="AA188" s="545"/>
      <c r="AB188" s="545"/>
      <c r="AC188" s="545"/>
      <c r="AD188" s="545"/>
      <c r="AE188" s="545"/>
      <c r="AF188" s="545"/>
      <c r="AG188" s="545"/>
      <c r="AH188" s="545"/>
      <c r="AI188" s="545"/>
      <c r="AJ188" s="545"/>
      <c r="AK188" s="545"/>
      <c r="AL188" s="545"/>
      <c r="AM188" s="545"/>
      <c r="AN188" s="545"/>
      <c r="AO188" s="545"/>
      <c r="AP188" s="545"/>
      <c r="AQ188" s="545"/>
      <c r="AR188" s="545"/>
      <c r="AS188" s="545"/>
      <c r="AT188" s="545"/>
    </row>
    <row r="189" spans="2:46" ht="15">
      <c r="B189" s="545"/>
      <c r="C189" s="545"/>
      <c r="D189" s="545"/>
      <c r="E189" s="545"/>
      <c r="F189" s="545"/>
      <c r="G189" s="545"/>
      <c r="H189" s="545"/>
      <c r="I189" s="545"/>
      <c r="J189" s="545"/>
      <c r="K189" s="545"/>
      <c r="L189" s="545"/>
      <c r="M189" s="545"/>
      <c r="N189" s="545"/>
      <c r="O189" s="545"/>
      <c r="P189" s="545"/>
      <c r="Q189" s="545"/>
      <c r="R189" s="545"/>
      <c r="S189" s="545"/>
      <c r="T189" s="545"/>
      <c r="U189" s="545"/>
      <c r="V189" s="545"/>
      <c r="W189" s="545"/>
      <c r="X189" s="545"/>
      <c r="Y189" s="545"/>
      <c r="Z189" s="545"/>
      <c r="AA189" s="545"/>
      <c r="AB189" s="545"/>
      <c r="AC189" s="545"/>
      <c r="AD189" s="545"/>
      <c r="AE189" s="545"/>
      <c r="AF189" s="545"/>
      <c r="AG189" s="545"/>
      <c r="AH189" s="545"/>
      <c r="AI189" s="545"/>
      <c r="AJ189" s="545"/>
      <c r="AK189" s="545"/>
      <c r="AL189" s="545"/>
      <c r="AM189" s="545"/>
      <c r="AN189" s="545"/>
      <c r="AO189" s="545"/>
      <c r="AP189" s="545"/>
      <c r="AQ189" s="545"/>
      <c r="AR189" s="545"/>
      <c r="AS189" s="545"/>
      <c r="AT189" s="545"/>
    </row>
    <row r="190" spans="2:46" ht="15">
      <c r="B190" s="545"/>
      <c r="C190" s="545"/>
      <c r="D190" s="545"/>
      <c r="E190" s="545"/>
      <c r="F190" s="545"/>
      <c r="G190" s="545"/>
      <c r="H190" s="545"/>
      <c r="I190" s="545"/>
      <c r="J190" s="545"/>
      <c r="K190" s="545"/>
      <c r="L190" s="545"/>
      <c r="M190" s="545"/>
      <c r="N190" s="545"/>
      <c r="O190" s="545"/>
      <c r="P190" s="545"/>
      <c r="Q190" s="545"/>
      <c r="R190" s="545"/>
      <c r="S190" s="545"/>
      <c r="T190" s="545"/>
      <c r="U190" s="545"/>
      <c r="V190" s="545"/>
      <c r="W190" s="545"/>
      <c r="X190" s="545"/>
      <c r="Y190" s="545"/>
      <c r="Z190" s="545"/>
      <c r="AA190" s="545"/>
      <c r="AB190" s="545"/>
      <c r="AC190" s="545"/>
      <c r="AD190" s="545"/>
      <c r="AE190" s="545"/>
      <c r="AF190" s="545"/>
      <c r="AG190" s="545"/>
      <c r="AH190" s="545"/>
      <c r="AI190" s="545"/>
      <c r="AJ190" s="545"/>
      <c r="AK190" s="545"/>
      <c r="AL190" s="545"/>
      <c r="AM190" s="545"/>
      <c r="AN190" s="545"/>
      <c r="AO190" s="545"/>
      <c r="AP190" s="545"/>
      <c r="AQ190" s="545"/>
      <c r="AR190" s="545"/>
      <c r="AS190" s="545"/>
      <c r="AT190" s="545"/>
    </row>
    <row r="191" spans="2:46" ht="15">
      <c r="B191" s="545"/>
      <c r="C191" s="545"/>
      <c r="D191" s="545"/>
      <c r="E191" s="545"/>
      <c r="F191" s="545"/>
      <c r="G191" s="545"/>
      <c r="H191" s="545"/>
      <c r="I191" s="545"/>
      <c r="J191" s="545"/>
      <c r="K191" s="545"/>
      <c r="L191" s="545"/>
      <c r="M191" s="545"/>
      <c r="N191" s="545"/>
      <c r="O191" s="545"/>
      <c r="P191" s="545"/>
      <c r="Q191" s="545"/>
      <c r="R191" s="545"/>
      <c r="S191" s="545"/>
      <c r="T191" s="545"/>
      <c r="U191" s="545"/>
      <c r="V191" s="545"/>
      <c r="W191" s="545"/>
      <c r="X191" s="545"/>
      <c r="Y191" s="545"/>
      <c r="Z191" s="545"/>
      <c r="AA191" s="545"/>
      <c r="AB191" s="545"/>
      <c r="AC191" s="545"/>
      <c r="AD191" s="545"/>
      <c r="AE191" s="545"/>
      <c r="AF191" s="545"/>
      <c r="AG191" s="545"/>
      <c r="AH191" s="545"/>
      <c r="AI191" s="545"/>
      <c r="AJ191" s="545"/>
      <c r="AK191" s="545"/>
      <c r="AL191" s="545"/>
      <c r="AM191" s="545"/>
      <c r="AN191" s="545"/>
      <c r="AO191" s="545"/>
      <c r="AP191" s="545"/>
      <c r="AQ191" s="545"/>
      <c r="AR191" s="545"/>
      <c r="AS191" s="545"/>
      <c r="AT191" s="545"/>
    </row>
    <row r="192" spans="2:46" ht="15">
      <c r="B192" s="545"/>
      <c r="C192" s="545"/>
      <c r="D192" s="545"/>
      <c r="E192" s="545"/>
      <c r="F192" s="545"/>
      <c r="G192" s="545"/>
      <c r="H192" s="545"/>
      <c r="I192" s="545"/>
      <c r="J192" s="545"/>
      <c r="K192" s="545"/>
      <c r="L192" s="545"/>
      <c r="M192" s="545"/>
      <c r="N192" s="545"/>
      <c r="O192" s="545"/>
      <c r="P192" s="545"/>
      <c r="Q192" s="545"/>
      <c r="R192" s="545"/>
      <c r="S192" s="545"/>
      <c r="T192" s="545"/>
      <c r="U192" s="545"/>
      <c r="V192" s="545"/>
      <c r="W192" s="545"/>
      <c r="X192" s="545"/>
      <c r="Y192" s="545"/>
      <c r="Z192" s="545"/>
      <c r="AA192" s="545"/>
      <c r="AB192" s="545"/>
      <c r="AC192" s="545"/>
      <c r="AD192" s="545"/>
      <c r="AE192" s="545"/>
      <c r="AF192" s="545"/>
      <c r="AG192" s="545"/>
      <c r="AH192" s="545"/>
      <c r="AI192" s="545"/>
      <c r="AJ192" s="545"/>
      <c r="AK192" s="545"/>
      <c r="AL192" s="545"/>
      <c r="AM192" s="545"/>
      <c r="AN192" s="545"/>
      <c r="AO192" s="545"/>
      <c r="AP192" s="545"/>
      <c r="AQ192" s="545"/>
      <c r="AR192" s="545"/>
      <c r="AS192" s="545"/>
      <c r="AT192" s="545"/>
    </row>
    <row r="193" spans="1:46" ht="15">
      <c r="A193" s="217"/>
      <c r="B193" s="545"/>
      <c r="C193" s="545"/>
      <c r="D193" s="545"/>
      <c r="E193" s="545"/>
      <c r="F193" s="545"/>
      <c r="G193" s="545"/>
      <c r="H193" s="545"/>
      <c r="I193" s="545"/>
      <c r="J193" s="545"/>
      <c r="K193" s="545"/>
      <c r="L193" s="545"/>
      <c r="M193" s="545"/>
      <c r="N193" s="545"/>
      <c r="O193" s="545"/>
      <c r="P193" s="545"/>
      <c r="Q193" s="545"/>
      <c r="R193" s="545"/>
      <c r="S193" s="545"/>
      <c r="T193" s="545"/>
      <c r="U193" s="545"/>
      <c r="V193" s="545"/>
      <c r="W193" s="545"/>
      <c r="X193" s="545"/>
      <c r="Y193" s="545"/>
      <c r="Z193" s="545"/>
      <c r="AA193" s="545"/>
      <c r="AB193" s="545"/>
      <c r="AC193" s="545"/>
      <c r="AD193" s="545"/>
      <c r="AE193" s="545"/>
      <c r="AF193" s="545"/>
      <c r="AG193" s="545"/>
      <c r="AH193" s="545"/>
      <c r="AI193" s="545"/>
      <c r="AJ193" s="545"/>
      <c r="AK193" s="545"/>
      <c r="AL193" s="545"/>
      <c r="AM193" s="545"/>
      <c r="AN193" s="545"/>
      <c r="AO193" s="545"/>
      <c r="AP193" s="545"/>
      <c r="AQ193" s="545"/>
      <c r="AS193" s="545"/>
      <c r="AT193" s="545"/>
    </row>
    <row r="194" spans="1:46" ht="15">
      <c r="B194" s="545"/>
      <c r="C194" s="545"/>
      <c r="D194" s="545"/>
      <c r="E194" s="545"/>
      <c r="F194" s="545"/>
      <c r="G194" s="545"/>
      <c r="H194" s="545"/>
      <c r="I194" s="545"/>
      <c r="J194" s="545"/>
      <c r="K194" s="545"/>
      <c r="L194" s="545"/>
      <c r="M194" s="545"/>
      <c r="N194" s="545"/>
      <c r="O194" s="545"/>
      <c r="P194" s="545"/>
      <c r="Q194" s="545"/>
      <c r="R194" s="545"/>
      <c r="S194" s="545"/>
      <c r="T194" s="545"/>
      <c r="U194" s="545"/>
      <c r="V194" s="545"/>
      <c r="W194" s="545"/>
      <c r="X194" s="545"/>
      <c r="Y194" s="545"/>
      <c r="Z194" s="545"/>
      <c r="AA194" s="545"/>
      <c r="AB194" s="545"/>
      <c r="AC194" s="545"/>
      <c r="AD194" s="545"/>
      <c r="AE194" s="545"/>
      <c r="AF194" s="545"/>
      <c r="AG194" s="545"/>
      <c r="AH194" s="545"/>
      <c r="AI194" s="545"/>
      <c r="AJ194" s="545"/>
      <c r="AK194" s="545"/>
      <c r="AL194" s="545"/>
      <c r="AM194" s="545"/>
      <c r="AN194" s="545"/>
      <c r="AO194" s="545"/>
      <c r="AP194" s="545"/>
      <c r="AQ194" s="545"/>
    </row>
    <row r="195" spans="1:46" ht="15">
      <c r="B195" s="545"/>
      <c r="C195" s="545"/>
      <c r="D195" s="545"/>
      <c r="E195" s="545"/>
      <c r="F195" s="545"/>
      <c r="G195" s="545"/>
      <c r="H195" s="545"/>
      <c r="I195" s="545"/>
      <c r="J195" s="545"/>
      <c r="K195" s="545"/>
      <c r="L195" s="545"/>
      <c r="M195" s="545"/>
      <c r="N195" s="545"/>
      <c r="O195" s="545"/>
      <c r="P195" s="545"/>
      <c r="Q195" s="545"/>
      <c r="R195" s="545"/>
      <c r="S195" s="545"/>
      <c r="T195" s="545"/>
      <c r="U195" s="545"/>
      <c r="V195" s="545"/>
      <c r="W195" s="545"/>
      <c r="X195" s="545"/>
      <c r="Y195" s="545"/>
      <c r="Z195" s="545"/>
      <c r="AA195" s="545"/>
      <c r="AB195" s="545"/>
      <c r="AC195" s="545"/>
      <c r="AD195" s="545"/>
      <c r="AE195" s="545"/>
      <c r="AF195" s="545"/>
      <c r="AG195" s="545"/>
      <c r="AH195" s="545"/>
      <c r="AI195" s="545"/>
      <c r="AJ195" s="545"/>
      <c r="AK195" s="545"/>
      <c r="AL195" s="545"/>
      <c r="AM195" s="545"/>
      <c r="AN195" s="545"/>
      <c r="AO195" s="545"/>
      <c r="AP195" s="545"/>
      <c r="AQ195" s="545"/>
    </row>
    <row r="196" spans="1:46" ht="15">
      <c r="B196" s="545"/>
      <c r="C196" s="545"/>
      <c r="D196" s="545"/>
      <c r="E196" s="545"/>
      <c r="F196" s="545"/>
      <c r="G196" s="545"/>
      <c r="H196" s="545"/>
      <c r="I196" s="545"/>
      <c r="J196" s="545"/>
      <c r="K196" s="545"/>
      <c r="L196" s="545"/>
      <c r="M196" s="545"/>
      <c r="N196" s="545"/>
      <c r="O196" s="545"/>
      <c r="P196" s="545"/>
      <c r="Q196" s="545"/>
      <c r="R196" s="545"/>
      <c r="S196" s="545"/>
      <c r="T196" s="545"/>
      <c r="U196" s="545"/>
      <c r="V196" s="545"/>
      <c r="W196" s="545"/>
      <c r="X196" s="545"/>
      <c r="Y196" s="545"/>
      <c r="Z196" s="545"/>
      <c r="AA196" s="545"/>
      <c r="AB196" s="545"/>
      <c r="AC196" s="545"/>
      <c r="AD196" s="545"/>
      <c r="AE196" s="545"/>
      <c r="AF196" s="545"/>
      <c r="AG196" s="545"/>
      <c r="AH196" s="545"/>
      <c r="AI196" s="545"/>
      <c r="AJ196" s="545"/>
      <c r="AK196" s="545"/>
      <c r="AL196" s="545"/>
      <c r="AM196" s="545"/>
      <c r="AN196" s="545"/>
      <c r="AO196" s="545"/>
      <c r="AP196" s="545"/>
      <c r="AQ196" s="545"/>
    </row>
    <row r="197" spans="1:46" ht="15">
      <c r="B197" s="545"/>
      <c r="C197" s="545"/>
      <c r="D197" s="545"/>
      <c r="E197" s="545"/>
      <c r="F197" s="545"/>
      <c r="G197" s="545"/>
      <c r="H197" s="545"/>
      <c r="I197" s="545"/>
      <c r="J197" s="545"/>
      <c r="K197" s="545"/>
      <c r="L197" s="545"/>
      <c r="M197" s="545"/>
      <c r="N197" s="545"/>
      <c r="O197" s="545"/>
      <c r="P197" s="545"/>
      <c r="Q197" s="545"/>
      <c r="R197" s="545"/>
      <c r="S197" s="545"/>
      <c r="T197" s="545"/>
      <c r="U197" s="545"/>
      <c r="V197" s="545"/>
      <c r="W197" s="545"/>
      <c r="X197" s="545"/>
      <c r="Y197" s="545"/>
      <c r="Z197" s="545"/>
      <c r="AA197" s="545"/>
      <c r="AB197" s="545"/>
      <c r="AC197" s="545"/>
      <c r="AD197" s="545"/>
      <c r="AE197" s="545"/>
      <c r="AF197" s="545"/>
      <c r="AG197" s="545"/>
      <c r="AH197" s="545"/>
      <c r="AI197" s="545"/>
      <c r="AJ197" s="545"/>
      <c r="AK197" s="545"/>
      <c r="AL197" s="545"/>
      <c r="AM197" s="545"/>
      <c r="AN197" s="545"/>
      <c r="AO197" s="545"/>
      <c r="AP197" s="545"/>
      <c r="AQ197" s="545"/>
    </row>
    <row r="198" spans="1:46" ht="15">
      <c r="B198" s="545"/>
      <c r="C198" s="545"/>
      <c r="D198" s="545"/>
      <c r="E198" s="545"/>
      <c r="F198" s="545"/>
      <c r="G198" s="545"/>
      <c r="H198" s="545"/>
      <c r="I198" s="545"/>
      <c r="J198" s="545"/>
      <c r="K198" s="545"/>
      <c r="L198" s="545"/>
      <c r="M198" s="545"/>
      <c r="N198" s="545"/>
      <c r="O198" s="545"/>
      <c r="P198" s="545"/>
      <c r="Q198" s="545"/>
      <c r="R198" s="545"/>
      <c r="S198" s="545"/>
      <c r="T198" s="545"/>
      <c r="U198" s="545"/>
      <c r="V198" s="545"/>
      <c r="W198" s="545"/>
      <c r="X198" s="545"/>
      <c r="Y198" s="545"/>
      <c r="Z198" s="545"/>
      <c r="AA198" s="545"/>
      <c r="AB198" s="545"/>
      <c r="AC198" s="545"/>
      <c r="AD198" s="545"/>
      <c r="AE198" s="545"/>
      <c r="AF198" s="545"/>
      <c r="AG198" s="545"/>
      <c r="AH198" s="545"/>
      <c r="AI198" s="545"/>
      <c r="AJ198" s="545"/>
      <c r="AK198" s="545"/>
      <c r="AL198" s="545"/>
      <c r="AM198" s="545"/>
      <c r="AN198" s="545"/>
      <c r="AO198" s="545"/>
      <c r="AP198" s="545"/>
      <c r="AQ198" s="545"/>
    </row>
    <row r="199" spans="1:46" ht="15">
      <c r="B199" s="545"/>
      <c r="C199" s="545"/>
      <c r="D199" s="545"/>
      <c r="E199" s="545"/>
      <c r="F199" s="545"/>
      <c r="G199" s="545"/>
      <c r="H199" s="545"/>
      <c r="I199" s="545"/>
      <c r="J199" s="545"/>
      <c r="K199" s="545"/>
      <c r="L199" s="545"/>
      <c r="M199" s="545"/>
      <c r="N199" s="545"/>
      <c r="O199" s="545"/>
      <c r="P199" s="545"/>
      <c r="Q199" s="545"/>
      <c r="R199" s="545"/>
      <c r="S199" s="545"/>
      <c r="T199" s="545"/>
      <c r="U199" s="545"/>
      <c r="V199" s="545"/>
      <c r="W199" s="545"/>
      <c r="X199" s="545"/>
      <c r="Y199" s="545"/>
      <c r="Z199" s="545"/>
      <c r="AA199" s="545"/>
      <c r="AB199" s="545"/>
      <c r="AC199" s="545"/>
      <c r="AD199" s="545"/>
      <c r="AE199" s="545"/>
      <c r="AF199" s="545"/>
      <c r="AG199" s="545"/>
      <c r="AH199" s="545"/>
      <c r="AI199" s="545"/>
      <c r="AJ199" s="545"/>
      <c r="AK199" s="545"/>
      <c r="AL199" s="545"/>
      <c r="AM199" s="545"/>
      <c r="AN199" s="545"/>
      <c r="AO199" s="545"/>
      <c r="AP199" s="545"/>
      <c r="AQ199" s="545"/>
    </row>
    <row r="200" spans="1:46" ht="15">
      <c r="B200" s="545"/>
      <c r="C200" s="545"/>
      <c r="D200" s="545"/>
      <c r="E200" s="545"/>
      <c r="F200" s="545"/>
      <c r="G200" s="545"/>
      <c r="H200" s="545"/>
      <c r="I200" s="545"/>
      <c r="J200" s="545"/>
      <c r="K200" s="545"/>
      <c r="L200" s="545"/>
      <c r="M200" s="545"/>
      <c r="N200" s="545"/>
      <c r="O200" s="545"/>
      <c r="P200" s="545"/>
      <c r="Q200" s="545"/>
      <c r="R200" s="545"/>
      <c r="S200" s="545"/>
      <c r="T200" s="545"/>
      <c r="U200" s="545"/>
      <c r="V200" s="545"/>
      <c r="W200" s="545"/>
      <c r="X200" s="545"/>
      <c r="Y200" s="545"/>
      <c r="Z200" s="545"/>
      <c r="AA200" s="545"/>
      <c r="AB200" s="545"/>
      <c r="AC200" s="545"/>
      <c r="AD200" s="545"/>
      <c r="AE200" s="545"/>
      <c r="AF200" s="545"/>
      <c r="AG200" s="545"/>
      <c r="AH200" s="545"/>
      <c r="AI200" s="545"/>
      <c r="AJ200" s="545"/>
      <c r="AK200" s="545"/>
      <c r="AL200" s="545"/>
      <c r="AM200" s="545"/>
      <c r="AN200" s="545"/>
      <c r="AO200" s="545"/>
      <c r="AP200" s="545"/>
      <c r="AQ200" s="545"/>
    </row>
    <row r="201" spans="1:46" ht="15">
      <c r="A201" s="217"/>
      <c r="B201" s="545"/>
      <c r="C201" s="545"/>
      <c r="D201" s="545"/>
      <c r="E201" s="545"/>
      <c r="F201" s="545"/>
      <c r="G201" s="545"/>
      <c r="H201" s="545"/>
      <c r="I201" s="545"/>
      <c r="J201" s="545"/>
      <c r="K201" s="545"/>
      <c r="L201" s="545"/>
      <c r="M201" s="545"/>
      <c r="N201" s="545"/>
      <c r="O201" s="545"/>
      <c r="P201" s="545"/>
      <c r="Q201" s="545"/>
      <c r="R201" s="545"/>
      <c r="S201" s="545"/>
      <c r="T201" s="545"/>
      <c r="U201" s="545"/>
      <c r="V201" s="545"/>
      <c r="W201" s="545"/>
      <c r="X201" s="545"/>
      <c r="Y201" s="545"/>
      <c r="Z201" s="545"/>
      <c r="AA201" s="545"/>
      <c r="AB201" s="545"/>
      <c r="AC201" s="545"/>
      <c r="AD201" s="545"/>
      <c r="AE201" s="545"/>
      <c r="AF201" s="545"/>
      <c r="AG201" s="545"/>
      <c r="AH201" s="545"/>
      <c r="AI201" s="545"/>
      <c r="AJ201" s="545"/>
      <c r="AK201" s="545"/>
      <c r="AL201" s="545"/>
      <c r="AM201" s="545"/>
      <c r="AN201" s="545"/>
      <c r="AO201" s="545"/>
      <c r="AP201" s="545"/>
      <c r="AQ201" s="545"/>
    </row>
    <row r="202" spans="1:46" ht="15">
      <c r="B202" s="545"/>
      <c r="C202" s="545"/>
      <c r="D202" s="545"/>
      <c r="E202" s="545"/>
      <c r="F202" s="545"/>
      <c r="G202" s="545"/>
      <c r="H202" s="545"/>
      <c r="I202" s="545"/>
      <c r="J202" s="545"/>
      <c r="K202" s="545"/>
      <c r="L202" s="545"/>
      <c r="M202" s="545"/>
      <c r="N202" s="545"/>
      <c r="O202" s="545"/>
      <c r="P202" s="545"/>
      <c r="Q202" s="545"/>
      <c r="R202" s="545"/>
      <c r="S202" s="545"/>
      <c r="T202" s="545"/>
      <c r="U202" s="545"/>
      <c r="V202" s="545"/>
      <c r="W202" s="545"/>
      <c r="X202" s="545"/>
      <c r="Y202" s="545"/>
      <c r="Z202" s="545"/>
      <c r="AA202" s="545"/>
      <c r="AB202" s="545"/>
      <c r="AC202" s="545"/>
      <c r="AD202" s="545"/>
      <c r="AE202" s="545"/>
      <c r="AF202" s="545"/>
      <c r="AG202" s="545"/>
      <c r="AH202" s="545"/>
      <c r="AI202" s="545"/>
      <c r="AJ202" s="545"/>
      <c r="AK202" s="545"/>
      <c r="AL202" s="545"/>
      <c r="AM202" s="545"/>
      <c r="AN202" s="545"/>
      <c r="AO202" s="545"/>
      <c r="AP202" s="545"/>
      <c r="AQ202" s="545"/>
    </row>
    <row r="203" spans="1:46" ht="15">
      <c r="B203" s="545"/>
      <c r="C203" s="545"/>
      <c r="D203" s="545"/>
      <c r="E203" s="545"/>
      <c r="F203" s="545"/>
      <c r="G203" s="545"/>
      <c r="H203" s="545"/>
      <c r="I203" s="545"/>
      <c r="J203" s="545"/>
      <c r="K203" s="545"/>
      <c r="L203" s="545"/>
      <c r="M203" s="545"/>
      <c r="N203" s="545"/>
      <c r="O203" s="545"/>
      <c r="P203" s="545"/>
      <c r="Q203" s="545"/>
      <c r="R203" s="545"/>
      <c r="S203" s="545"/>
      <c r="T203" s="545"/>
      <c r="U203" s="545"/>
      <c r="V203" s="545"/>
      <c r="W203" s="545"/>
      <c r="X203" s="545"/>
      <c r="Y203" s="545"/>
      <c r="Z203" s="545"/>
      <c r="AA203" s="545"/>
      <c r="AB203" s="545"/>
      <c r="AC203" s="545"/>
      <c r="AD203" s="545"/>
      <c r="AE203" s="545"/>
      <c r="AF203" s="545"/>
      <c r="AG203" s="545"/>
      <c r="AH203" s="545"/>
      <c r="AI203" s="545"/>
      <c r="AJ203" s="545"/>
      <c r="AK203" s="545"/>
      <c r="AL203" s="545"/>
      <c r="AM203" s="545"/>
      <c r="AN203" s="545"/>
      <c r="AO203" s="545"/>
      <c r="AP203" s="545"/>
      <c r="AQ203" s="545"/>
    </row>
    <row r="204" spans="1:46" ht="15">
      <c r="B204" s="545"/>
      <c r="C204" s="545"/>
      <c r="D204" s="545"/>
      <c r="E204" s="545"/>
      <c r="F204" s="545"/>
      <c r="G204" s="545"/>
      <c r="H204" s="545"/>
      <c r="I204" s="545"/>
      <c r="J204" s="545"/>
      <c r="K204" s="545"/>
      <c r="L204" s="545"/>
      <c r="M204" s="545"/>
      <c r="N204" s="545"/>
      <c r="O204" s="545"/>
      <c r="P204" s="545"/>
      <c r="Q204" s="545"/>
      <c r="R204" s="545"/>
      <c r="S204" s="545"/>
      <c r="T204" s="545"/>
      <c r="U204" s="545"/>
      <c r="V204" s="545"/>
      <c r="W204" s="545"/>
      <c r="X204" s="545"/>
      <c r="Y204" s="545"/>
      <c r="Z204" s="545"/>
      <c r="AA204" s="545"/>
      <c r="AB204" s="545"/>
      <c r="AC204" s="545"/>
      <c r="AD204" s="545"/>
      <c r="AE204" s="545"/>
      <c r="AF204" s="545"/>
      <c r="AG204" s="545"/>
      <c r="AH204" s="545"/>
      <c r="AI204" s="545"/>
      <c r="AJ204" s="545"/>
      <c r="AK204" s="545"/>
      <c r="AL204" s="545"/>
      <c r="AM204" s="545"/>
      <c r="AN204" s="545"/>
      <c r="AO204" s="545"/>
      <c r="AP204" s="545"/>
      <c r="AQ204" s="545"/>
    </row>
    <row r="205" spans="1:46" ht="15">
      <c r="B205" s="545"/>
      <c r="C205" s="545"/>
      <c r="D205" s="545"/>
      <c r="E205" s="545"/>
      <c r="F205" s="545"/>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row>
    <row r="206" spans="1:46" ht="15">
      <c r="B206" s="545"/>
      <c r="C206" s="545"/>
      <c r="D206" s="545"/>
      <c r="E206" s="545"/>
      <c r="F206" s="545"/>
      <c r="G206" s="545"/>
      <c r="H206" s="545"/>
      <c r="I206" s="545"/>
      <c r="J206" s="545"/>
      <c r="K206" s="545"/>
      <c r="L206" s="545"/>
      <c r="M206" s="545"/>
      <c r="N206" s="545"/>
      <c r="O206" s="545"/>
      <c r="P206" s="545"/>
      <c r="Q206" s="545"/>
      <c r="R206" s="545"/>
      <c r="S206" s="545"/>
      <c r="T206" s="545"/>
      <c r="U206" s="545"/>
      <c r="V206" s="545"/>
      <c r="W206" s="545"/>
      <c r="X206" s="545"/>
      <c r="Y206" s="545"/>
      <c r="Z206" s="545"/>
      <c r="AA206" s="545"/>
      <c r="AB206" s="545"/>
      <c r="AC206" s="545"/>
      <c r="AD206" s="545"/>
      <c r="AE206" s="545"/>
      <c r="AF206" s="545"/>
      <c r="AG206" s="545"/>
      <c r="AH206" s="545"/>
      <c r="AI206" s="545"/>
      <c r="AJ206" s="545"/>
      <c r="AK206" s="545"/>
      <c r="AL206" s="545"/>
      <c r="AM206" s="545"/>
      <c r="AN206" s="545"/>
      <c r="AO206" s="545"/>
      <c r="AP206" s="545"/>
      <c r="AQ206" s="545"/>
    </row>
    <row r="207" spans="1:46" ht="15">
      <c r="B207" s="545"/>
      <c r="C207" s="545"/>
      <c r="D207" s="545"/>
      <c r="E207" s="545"/>
      <c r="F207" s="545"/>
      <c r="G207" s="545"/>
      <c r="H207" s="545"/>
      <c r="I207" s="545"/>
      <c r="J207" s="545"/>
      <c r="K207" s="545"/>
      <c r="L207" s="545"/>
      <c r="M207" s="545"/>
      <c r="N207" s="545"/>
      <c r="O207" s="545"/>
      <c r="P207" s="545"/>
      <c r="Q207" s="545"/>
      <c r="R207" s="545"/>
      <c r="S207" s="545"/>
      <c r="T207" s="545"/>
      <c r="U207" s="545"/>
      <c r="V207" s="545"/>
      <c r="W207" s="545"/>
      <c r="X207" s="545"/>
      <c r="Y207" s="545"/>
      <c r="Z207" s="545"/>
      <c r="AA207" s="545"/>
      <c r="AB207" s="545"/>
      <c r="AC207" s="545"/>
      <c r="AD207" s="545"/>
      <c r="AE207" s="545"/>
      <c r="AF207" s="545"/>
      <c r="AG207" s="545"/>
      <c r="AH207" s="545"/>
      <c r="AI207" s="545"/>
      <c r="AJ207" s="545"/>
      <c r="AK207" s="545"/>
      <c r="AL207" s="545"/>
      <c r="AM207" s="545"/>
      <c r="AN207" s="545"/>
      <c r="AO207" s="545"/>
      <c r="AP207" s="545"/>
      <c r="AQ207" s="545"/>
    </row>
    <row r="208" spans="1:46" ht="15">
      <c r="B208" s="545"/>
      <c r="C208" s="545"/>
      <c r="D208" s="545"/>
      <c r="E208" s="545"/>
      <c r="F208" s="545"/>
      <c r="G208" s="545"/>
      <c r="H208" s="545"/>
      <c r="I208" s="545"/>
      <c r="J208" s="545"/>
      <c r="K208" s="545"/>
      <c r="L208" s="545"/>
      <c r="M208" s="545"/>
      <c r="N208" s="545"/>
      <c r="O208" s="545"/>
      <c r="P208" s="545"/>
      <c r="Q208" s="545"/>
      <c r="R208" s="545"/>
      <c r="S208" s="545"/>
      <c r="T208" s="545"/>
      <c r="U208" s="545"/>
      <c r="V208" s="545"/>
      <c r="W208" s="545"/>
      <c r="X208" s="545"/>
      <c r="Y208" s="545"/>
      <c r="Z208" s="545"/>
      <c r="AA208" s="545"/>
      <c r="AB208" s="545"/>
      <c r="AC208" s="545"/>
      <c r="AD208" s="545"/>
      <c r="AE208" s="545"/>
      <c r="AF208" s="545"/>
      <c r="AG208" s="545"/>
      <c r="AH208" s="545"/>
      <c r="AI208" s="545"/>
      <c r="AJ208" s="545"/>
      <c r="AK208" s="545"/>
      <c r="AL208" s="545"/>
      <c r="AM208" s="545"/>
      <c r="AN208" s="545"/>
      <c r="AO208" s="545"/>
      <c r="AP208" s="545"/>
      <c r="AQ208" s="545"/>
    </row>
    <row r="209" spans="2:43" ht="15">
      <c r="B209" s="545"/>
      <c r="C209" s="545"/>
      <c r="D209" s="545"/>
      <c r="E209" s="545"/>
      <c r="F209" s="545"/>
      <c r="G209" s="545"/>
      <c r="H209" s="545"/>
      <c r="I209" s="545"/>
      <c r="J209" s="545"/>
      <c r="K209" s="545"/>
      <c r="L209" s="545"/>
      <c r="M209" s="545"/>
      <c r="N209" s="545"/>
      <c r="O209" s="545"/>
      <c r="P209" s="545"/>
      <c r="Q209" s="545"/>
      <c r="R209" s="545"/>
      <c r="S209" s="545"/>
      <c r="T209" s="545"/>
      <c r="U209" s="545"/>
      <c r="V209" s="545"/>
      <c r="W209" s="545"/>
      <c r="X209" s="545"/>
      <c r="Y209" s="545"/>
      <c r="Z209" s="545"/>
      <c r="AA209" s="545"/>
      <c r="AB209" s="545"/>
      <c r="AC209" s="545"/>
      <c r="AD209" s="545"/>
      <c r="AE209" s="545"/>
      <c r="AF209" s="545"/>
      <c r="AG209" s="545"/>
      <c r="AH209" s="545"/>
      <c r="AI209" s="545"/>
      <c r="AJ209" s="545"/>
      <c r="AK209" s="545"/>
      <c r="AL209" s="545"/>
      <c r="AM209" s="545"/>
      <c r="AN209" s="545"/>
      <c r="AO209" s="545"/>
      <c r="AP209" s="545"/>
      <c r="AQ209" s="545"/>
    </row>
    <row r="210" spans="2:43" ht="15">
      <c r="B210" s="545"/>
      <c r="C210" s="545"/>
      <c r="D210" s="545"/>
      <c r="E210" s="545"/>
      <c r="F210" s="545"/>
      <c r="G210" s="545"/>
      <c r="H210" s="545"/>
      <c r="I210" s="545"/>
      <c r="J210" s="545"/>
      <c r="K210" s="545"/>
      <c r="L210" s="545"/>
      <c r="M210" s="545"/>
      <c r="N210" s="545"/>
      <c r="O210" s="545"/>
      <c r="P210" s="545"/>
      <c r="Q210" s="545"/>
      <c r="R210" s="545"/>
      <c r="S210" s="545"/>
      <c r="T210" s="545"/>
      <c r="U210" s="545"/>
      <c r="V210" s="545"/>
      <c r="W210" s="545"/>
      <c r="X210" s="545"/>
      <c r="Y210" s="545"/>
      <c r="Z210" s="545"/>
      <c r="AA210" s="545"/>
      <c r="AB210" s="545"/>
      <c r="AC210" s="545"/>
      <c r="AD210" s="545"/>
      <c r="AE210" s="545"/>
      <c r="AF210" s="545"/>
      <c r="AG210" s="545"/>
      <c r="AH210" s="545"/>
      <c r="AI210" s="545"/>
      <c r="AJ210" s="545"/>
      <c r="AK210" s="545"/>
      <c r="AL210" s="545"/>
      <c r="AM210" s="545"/>
      <c r="AN210" s="545"/>
      <c r="AO210" s="545"/>
      <c r="AP210" s="545"/>
      <c r="AQ210" s="545"/>
    </row>
    <row r="211" spans="2:43" ht="15">
      <c r="B211" s="545"/>
      <c r="C211" s="545"/>
      <c r="D211" s="545"/>
      <c r="E211" s="545"/>
      <c r="F211" s="545"/>
      <c r="G211" s="545"/>
      <c r="H211" s="545"/>
      <c r="I211" s="545"/>
      <c r="J211" s="545"/>
      <c r="K211" s="545"/>
      <c r="L211" s="545"/>
      <c r="M211" s="545"/>
      <c r="N211" s="545"/>
      <c r="O211" s="545"/>
      <c r="P211" s="545"/>
      <c r="Q211" s="545"/>
      <c r="R211" s="545"/>
      <c r="S211" s="545"/>
      <c r="T211" s="545"/>
      <c r="U211" s="545"/>
      <c r="V211" s="545"/>
      <c r="W211" s="545"/>
      <c r="X211" s="545"/>
      <c r="Y211" s="545"/>
      <c r="Z211" s="545"/>
      <c r="AA211" s="545"/>
      <c r="AB211" s="545"/>
      <c r="AC211" s="545"/>
      <c r="AD211" s="545"/>
      <c r="AE211" s="545"/>
      <c r="AF211" s="545"/>
      <c r="AG211" s="545"/>
      <c r="AH211" s="545"/>
      <c r="AI211" s="545"/>
      <c r="AJ211" s="545"/>
      <c r="AK211" s="545"/>
      <c r="AL211" s="545"/>
      <c r="AM211" s="545"/>
      <c r="AN211" s="545"/>
      <c r="AO211" s="545"/>
      <c r="AP211" s="545"/>
      <c r="AQ211" s="545"/>
    </row>
    <row r="212" spans="2:43" ht="15">
      <c r="B212" s="545"/>
      <c r="C212" s="545"/>
      <c r="D212" s="545"/>
      <c r="E212" s="545"/>
      <c r="F212" s="545"/>
      <c r="G212" s="545"/>
      <c r="H212" s="545"/>
      <c r="I212" s="545"/>
      <c r="J212" s="545"/>
      <c r="K212" s="545"/>
      <c r="L212" s="545"/>
      <c r="M212" s="545"/>
      <c r="N212" s="545"/>
      <c r="O212" s="545"/>
      <c r="P212" s="545"/>
      <c r="Q212" s="545"/>
      <c r="R212" s="545"/>
      <c r="S212" s="545"/>
      <c r="T212" s="545"/>
      <c r="U212" s="545"/>
      <c r="V212" s="545"/>
      <c r="W212" s="545"/>
      <c r="X212" s="545"/>
      <c r="Y212" s="545"/>
      <c r="Z212" s="545"/>
      <c r="AA212" s="545"/>
      <c r="AB212" s="545"/>
      <c r="AC212" s="545"/>
      <c r="AD212" s="545"/>
      <c r="AE212" s="545"/>
      <c r="AF212" s="545"/>
      <c r="AG212" s="545"/>
      <c r="AH212" s="545"/>
      <c r="AI212" s="545"/>
      <c r="AJ212" s="545"/>
      <c r="AK212" s="545"/>
      <c r="AL212" s="545"/>
      <c r="AM212" s="545"/>
      <c r="AN212" s="545"/>
      <c r="AO212" s="545"/>
      <c r="AP212" s="545"/>
      <c r="AQ212" s="545"/>
    </row>
    <row r="213" spans="2:43" ht="15">
      <c r="B213" s="545"/>
      <c r="C213" s="545"/>
      <c r="D213" s="545"/>
      <c r="E213" s="545"/>
      <c r="F213" s="545"/>
      <c r="G213" s="545"/>
      <c r="H213" s="545"/>
      <c r="I213" s="545"/>
      <c r="J213" s="545"/>
      <c r="K213" s="545"/>
      <c r="L213" s="545"/>
      <c r="M213" s="545"/>
      <c r="N213" s="545"/>
      <c r="O213" s="545"/>
      <c r="P213" s="545"/>
      <c r="Q213" s="545"/>
      <c r="R213" s="545"/>
      <c r="S213" s="545"/>
      <c r="T213" s="545"/>
      <c r="U213" s="545"/>
      <c r="V213" s="545"/>
      <c r="W213" s="545"/>
      <c r="X213" s="545"/>
      <c r="Y213" s="545"/>
      <c r="Z213" s="545"/>
      <c r="AA213" s="545"/>
      <c r="AB213" s="545"/>
      <c r="AC213" s="545"/>
      <c r="AD213" s="545"/>
      <c r="AE213" s="545"/>
      <c r="AF213" s="545"/>
      <c r="AG213" s="545"/>
      <c r="AH213" s="545"/>
      <c r="AI213" s="545"/>
      <c r="AJ213" s="545"/>
      <c r="AK213" s="545"/>
      <c r="AL213" s="545"/>
      <c r="AM213" s="545"/>
      <c r="AN213" s="545"/>
      <c r="AO213" s="545"/>
      <c r="AP213" s="545"/>
      <c r="AQ213" s="545"/>
    </row>
    <row r="214" spans="2:43" ht="15">
      <c r="B214" s="545"/>
      <c r="C214" s="545"/>
      <c r="D214" s="545"/>
      <c r="E214" s="545"/>
      <c r="F214" s="545"/>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row>
    <row r="215" spans="2:43" ht="15">
      <c r="B215" s="545"/>
      <c r="C215" s="545"/>
      <c r="D215" s="545"/>
      <c r="E215" s="545"/>
      <c r="F215" s="545"/>
      <c r="G215" s="545"/>
      <c r="H215" s="545"/>
      <c r="I215" s="545"/>
      <c r="J215" s="545"/>
      <c r="K215" s="545"/>
      <c r="L215" s="545"/>
      <c r="M215" s="545"/>
      <c r="N215" s="545"/>
      <c r="O215" s="545"/>
      <c r="P215" s="545"/>
      <c r="Q215" s="545"/>
      <c r="R215" s="545"/>
      <c r="S215" s="545"/>
      <c r="T215" s="545"/>
      <c r="U215" s="545"/>
      <c r="V215" s="545"/>
      <c r="W215" s="545"/>
      <c r="X215" s="545"/>
      <c r="Y215" s="545"/>
      <c r="Z215" s="545"/>
      <c r="AA215" s="545"/>
      <c r="AB215" s="545"/>
      <c r="AC215" s="545"/>
      <c r="AD215" s="545"/>
      <c r="AE215" s="545"/>
      <c r="AF215" s="545"/>
      <c r="AG215" s="545"/>
      <c r="AH215" s="545"/>
      <c r="AI215" s="545"/>
      <c r="AJ215" s="545"/>
      <c r="AK215" s="545"/>
      <c r="AL215" s="545"/>
      <c r="AM215" s="545"/>
      <c r="AN215" s="545"/>
      <c r="AO215" s="545"/>
      <c r="AP215" s="545"/>
      <c r="AQ215" s="545"/>
    </row>
    <row r="216" spans="2:43" ht="15">
      <c r="B216" s="545"/>
      <c r="C216" s="545"/>
      <c r="D216" s="545"/>
      <c r="E216" s="545"/>
      <c r="F216" s="545"/>
      <c r="G216" s="545"/>
      <c r="H216" s="545"/>
      <c r="I216" s="545"/>
      <c r="J216" s="545"/>
      <c r="K216" s="545"/>
      <c r="L216" s="545"/>
      <c r="M216" s="545"/>
      <c r="N216" s="545"/>
      <c r="O216" s="545"/>
      <c r="P216" s="545"/>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5"/>
      <c r="AQ216" s="545"/>
    </row>
    <row r="217" spans="2:43" ht="15">
      <c r="B217" s="545"/>
      <c r="C217" s="545"/>
      <c r="D217" s="545"/>
      <c r="E217" s="545"/>
      <c r="F217" s="545"/>
      <c r="G217" s="545"/>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row>
    <row r="218" spans="2:43" ht="15">
      <c r="B218" s="545"/>
      <c r="C218" s="545"/>
      <c r="D218" s="545"/>
      <c r="E218" s="545"/>
      <c r="F218" s="545"/>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row>
    <row r="219" spans="2:43" ht="15">
      <c r="B219" s="545"/>
      <c r="C219" s="545"/>
      <c r="D219" s="545"/>
      <c r="E219" s="545"/>
      <c r="F219" s="545"/>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row>
    <row r="220" spans="2:43" ht="15">
      <c r="B220" s="545"/>
      <c r="C220" s="545"/>
      <c r="D220" s="545"/>
      <c r="E220" s="545"/>
      <c r="F220" s="545"/>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row>
    <row r="221" spans="2:43" ht="15">
      <c r="B221" s="545"/>
      <c r="C221" s="545"/>
      <c r="D221" s="545"/>
      <c r="E221" s="545"/>
      <c r="F221" s="545"/>
      <c r="G221" s="545"/>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row>
    <row r="222" spans="2:43" ht="15">
      <c r="B222" s="545"/>
      <c r="C222" s="545"/>
      <c r="D222" s="545"/>
      <c r="E222" s="545"/>
      <c r="F222" s="545"/>
      <c r="G222" s="545"/>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row>
    <row r="223" spans="2:43" ht="15">
      <c r="B223" s="545"/>
      <c r="C223" s="545"/>
      <c r="D223" s="545"/>
      <c r="E223" s="545"/>
      <c r="F223" s="545"/>
      <c r="G223" s="545"/>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row>
    <row r="224" spans="2:43" ht="15">
      <c r="B224" s="545"/>
      <c r="C224" s="545"/>
      <c r="D224" s="545"/>
      <c r="E224" s="545"/>
      <c r="F224" s="545"/>
      <c r="G224" s="545"/>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row>
    <row r="225" spans="2:43" ht="15">
      <c r="B225" s="545"/>
      <c r="C225" s="545"/>
      <c r="D225" s="545"/>
      <c r="E225" s="545"/>
      <c r="F225" s="545"/>
      <c r="G225" s="545"/>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row>
    <row r="226" spans="2:43" ht="15">
      <c r="B226" s="545"/>
      <c r="C226" s="545"/>
      <c r="D226" s="545"/>
      <c r="E226" s="545"/>
      <c r="F226" s="545"/>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row>
    <row r="227" spans="2:43" ht="15">
      <c r="B227" s="545"/>
      <c r="C227" s="545"/>
      <c r="D227" s="545"/>
      <c r="E227" s="545"/>
      <c r="F227" s="545"/>
      <c r="G227" s="545"/>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row>
    <row r="228" spans="2:43" ht="15">
      <c r="B228" s="545"/>
      <c r="C228" s="545"/>
      <c r="D228" s="545"/>
      <c r="E228" s="545"/>
      <c r="F228" s="545"/>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row>
    <row r="229" spans="2:43" ht="15">
      <c r="B229" s="545"/>
      <c r="C229" s="545"/>
      <c r="D229" s="545"/>
      <c r="E229" s="545"/>
      <c r="F229" s="545"/>
      <c r="G229" s="545"/>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row>
    <row r="230" spans="2:43" ht="15">
      <c r="B230" s="545"/>
      <c r="C230" s="545"/>
      <c r="D230" s="545"/>
      <c r="E230" s="545"/>
      <c r="F230" s="545"/>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row>
    <row r="231" spans="2:43" ht="15">
      <c r="B231" s="545"/>
      <c r="C231" s="545"/>
      <c r="D231" s="545"/>
      <c r="E231" s="545"/>
      <c r="F231" s="545"/>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row>
    <row r="232" spans="2:43" ht="15">
      <c r="B232" s="545"/>
      <c r="C232" s="545"/>
      <c r="D232" s="545"/>
      <c r="E232" s="545"/>
      <c r="F232" s="545"/>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row>
    <row r="233" spans="2:43" ht="15">
      <c r="B233" s="545"/>
      <c r="C233" s="545"/>
      <c r="D233" s="545"/>
      <c r="E233" s="545"/>
      <c r="F233" s="545"/>
      <c r="G233" s="545"/>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row>
    <row r="234" spans="2:43" ht="15">
      <c r="B234" s="545"/>
      <c r="C234" s="545"/>
      <c r="D234" s="545"/>
      <c r="E234" s="545"/>
      <c r="F234" s="545"/>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row>
    <row r="235" spans="2:43" ht="15">
      <c r="B235" s="545"/>
      <c r="C235" s="545"/>
      <c r="D235" s="545"/>
      <c r="E235" s="545"/>
      <c r="F235" s="545"/>
      <c r="G235" s="545"/>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row>
    <row r="236" spans="2:43" ht="15">
      <c r="B236" s="545"/>
      <c r="C236" s="545"/>
      <c r="D236" s="545"/>
      <c r="E236" s="545"/>
      <c r="F236" s="545"/>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row>
    <row r="237" spans="2:43" ht="15">
      <c r="B237" s="545"/>
      <c r="C237" s="545"/>
      <c r="D237" s="545"/>
      <c r="E237" s="545"/>
      <c r="F237" s="545"/>
      <c r="G237" s="545"/>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row>
    <row r="238" spans="2:43" ht="15">
      <c r="B238" s="545"/>
      <c r="C238" s="545"/>
      <c r="D238" s="545"/>
      <c r="E238" s="545"/>
      <c r="F238" s="545"/>
      <c r="G238" s="545"/>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row>
  </sheetData>
  <mergeCells count="3">
    <mergeCell ref="B15:AR15"/>
    <mergeCell ref="B48:AR48"/>
    <mergeCell ref="C146:AQ146"/>
  </mergeCells>
  <pageMargins left="0.70866141732283472" right="0.70866141732283472" top="0.74803149606299213" bottom="0.74803149606299213" header="0.31496062992125984" footer="0.31496062992125984"/>
  <pageSetup paperSize="9" scale="41" fitToHeight="2"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156"/>
  <sheetViews>
    <sheetView topLeftCell="B15" zoomScale="80" zoomScaleNormal="80" workbookViewId="0">
      <selection activeCell="B15" sqref="A1:XFD1048576"/>
    </sheetView>
  </sheetViews>
  <sheetFormatPr defaultColWidth="7.109375" defaultRowHeight="12.75" outlineLevelRow="1"/>
  <cols>
    <col min="1" max="1" width="7.5546875" style="369" hidden="1" customWidth="1"/>
    <col min="2" max="2" width="3.5546875" style="369" customWidth="1"/>
    <col min="3" max="3" width="52.77734375" style="369" customWidth="1"/>
    <col min="4" max="15" width="1.77734375" style="369" hidden="1" customWidth="1"/>
    <col min="16" max="22" width="9.109375" style="369" hidden="1" customWidth="1"/>
    <col min="23" max="23" width="7.5546875" style="369" customWidth="1"/>
    <col min="24" max="29" width="7" style="1079" customWidth="1"/>
    <col min="30" max="34" width="6.21875" style="1079" customWidth="1"/>
    <col min="35" max="43" width="6.21875" style="369" customWidth="1"/>
    <col min="44" max="16384" width="7.109375" style="369"/>
  </cols>
  <sheetData>
    <row r="1" spans="1:43" ht="23.25" hidden="1" customHeight="1" outlineLevel="1">
      <c r="B1" s="369" t="s">
        <v>460</v>
      </c>
    </row>
    <row r="2" spans="1:43" ht="23.25" hidden="1" customHeight="1" outlineLevel="1"/>
    <row r="3" spans="1:43" ht="23.25" hidden="1" customHeight="1" outlineLevel="1">
      <c r="V3" s="369" t="s">
        <v>461</v>
      </c>
      <c r="X3" s="1079" t="s">
        <v>462</v>
      </c>
    </row>
    <row r="4" spans="1:43" ht="23.25" hidden="1" customHeight="1" outlineLevel="1">
      <c r="B4" s="369" t="s">
        <v>255</v>
      </c>
      <c r="P4" s="1081">
        <v>1993</v>
      </c>
      <c r="Q4" s="1081">
        <v>1994</v>
      </c>
      <c r="R4" s="1081">
        <v>1995</v>
      </c>
      <c r="S4" s="1081">
        <v>1996</v>
      </c>
      <c r="T4" s="1081">
        <v>1997</v>
      </c>
      <c r="U4" s="1081">
        <v>1998</v>
      </c>
      <c r="V4" s="1081">
        <v>1999</v>
      </c>
      <c r="W4" s="1081">
        <v>2000</v>
      </c>
      <c r="X4" s="1115">
        <v>2001</v>
      </c>
      <c r="Y4" s="1115">
        <v>2002</v>
      </c>
      <c r="Z4" s="1115">
        <v>2003</v>
      </c>
      <c r="AA4" s="1115">
        <v>2004</v>
      </c>
      <c r="AB4" s="1115">
        <v>2005</v>
      </c>
      <c r="AC4" s="1115">
        <v>2006</v>
      </c>
      <c r="AD4" s="1115">
        <v>2007</v>
      </c>
      <c r="AE4" s="1115">
        <v>2008</v>
      </c>
      <c r="AF4" s="1115">
        <v>2009</v>
      </c>
      <c r="AG4" s="1115">
        <v>2010</v>
      </c>
      <c r="AH4" s="1115">
        <v>2011</v>
      </c>
      <c r="AI4" s="1115">
        <v>2012</v>
      </c>
      <c r="AJ4" s="1115">
        <v>2013</v>
      </c>
      <c r="AK4" s="1115">
        <v>2014</v>
      </c>
      <c r="AL4" s="1115">
        <v>2015</v>
      </c>
      <c r="AM4" s="1115">
        <v>2016</v>
      </c>
      <c r="AN4" s="1115">
        <v>2017</v>
      </c>
      <c r="AO4" s="1115">
        <v>2018</v>
      </c>
      <c r="AP4" s="1115">
        <v>2019</v>
      </c>
      <c r="AQ4" s="1115">
        <v>2020</v>
      </c>
    </row>
    <row r="5" spans="1:43" ht="18.75" hidden="1" customHeight="1" outlineLevel="1"/>
    <row r="6" spans="1:43" ht="18.75" hidden="1" customHeight="1" outlineLevel="1">
      <c r="A6" s="369" t="s">
        <v>2</v>
      </c>
      <c r="B6" s="369" t="s">
        <v>3</v>
      </c>
      <c r="P6" s="1084">
        <f t="shared" ref="P6:U6" si="0">P96</f>
        <v>31.799999999999997</v>
      </c>
      <c r="Q6" s="1084">
        <f t="shared" si="0"/>
        <v>39.100000000000009</v>
      </c>
      <c r="R6" s="1084">
        <f t="shared" si="0"/>
        <v>46.2</v>
      </c>
      <c r="S6" s="1084">
        <f t="shared" si="0"/>
        <v>50.1</v>
      </c>
      <c r="T6" s="1084">
        <f t="shared" si="0"/>
        <v>64.3</v>
      </c>
      <c r="U6" s="1084">
        <f t="shared" si="0"/>
        <v>185.2</v>
      </c>
      <c r="V6" s="1084">
        <f>V96</f>
        <v>205.79999999999998</v>
      </c>
      <c r="W6" s="1084"/>
      <c r="X6" s="1090">
        <f>X96</f>
        <v>196.60000000000002</v>
      </c>
      <c r="Y6" s="1090">
        <f>Y96</f>
        <v>319.30000000000013</v>
      </c>
      <c r="AA6" s="1090">
        <f>AA96</f>
        <v>395.55</v>
      </c>
      <c r="AC6" s="1090"/>
      <c r="AD6" s="1090">
        <f>AC96</f>
        <v>498.09999999999997</v>
      </c>
      <c r="AE6" s="1090">
        <f>AE96</f>
        <v>578.09999999999991</v>
      </c>
      <c r="AF6" s="1090">
        <f t="shared" ref="AF6:AL6" si="1">AF96</f>
        <v>617.90000000000009</v>
      </c>
      <c r="AG6" s="1090">
        <f t="shared" si="1"/>
        <v>644.5</v>
      </c>
      <c r="AH6" s="1090">
        <f t="shared" si="1"/>
        <v>563.19999999999993</v>
      </c>
      <c r="AI6" s="1090">
        <f t="shared" si="1"/>
        <v>652.09999999999991</v>
      </c>
      <c r="AJ6" s="1090">
        <f t="shared" si="1"/>
        <v>488.7</v>
      </c>
      <c r="AK6" s="1090">
        <f t="shared" si="1"/>
        <v>413.9</v>
      </c>
      <c r="AL6" s="1090">
        <f t="shared" si="1"/>
        <v>418.90000000000003</v>
      </c>
      <c r="AM6" s="1090">
        <f>AM96</f>
        <v>430.4</v>
      </c>
      <c r="AN6" s="1090">
        <f>AN96</f>
        <v>402</v>
      </c>
      <c r="AO6" s="1090">
        <f t="shared" ref="AO6:AP6" si="2">AO96</f>
        <v>415.7</v>
      </c>
      <c r="AP6" s="1090">
        <f t="shared" si="2"/>
        <v>464.8</v>
      </c>
      <c r="AQ6" s="1090"/>
    </row>
    <row r="7" spans="1:43" ht="18.75" hidden="1" customHeight="1" outlineLevel="1">
      <c r="A7" s="369" t="s">
        <v>4</v>
      </c>
      <c r="B7" s="369" t="s">
        <v>5</v>
      </c>
      <c r="P7" s="1084">
        <f t="shared" ref="P7:U7" si="3">P119</f>
        <v>100.1</v>
      </c>
      <c r="Q7" s="1084">
        <f t="shared" si="3"/>
        <v>113.4</v>
      </c>
      <c r="R7" s="1084">
        <f t="shared" si="3"/>
        <v>115</v>
      </c>
      <c r="S7" s="1084">
        <f t="shared" si="3"/>
        <v>109.5</v>
      </c>
      <c r="T7" s="1084">
        <f t="shared" si="3"/>
        <v>117.5</v>
      </c>
      <c r="U7" s="1084">
        <f t="shared" si="3"/>
        <v>142.5</v>
      </c>
      <c r="V7" s="1084">
        <f>V119</f>
        <v>150.00000000000003</v>
      </c>
      <c r="W7" s="1084"/>
      <c r="X7" s="1090">
        <f>X119</f>
        <v>205.5</v>
      </c>
      <c r="Y7" s="1090">
        <f>Y119</f>
        <v>226.59999999999997</v>
      </c>
      <c r="AA7" s="1090">
        <f>AA119</f>
        <v>330.29999999999995</v>
      </c>
      <c r="AC7" s="1090"/>
      <c r="AD7" s="1090">
        <f>AC119</f>
        <v>430.8</v>
      </c>
      <c r="AE7" s="1090">
        <f>AE119</f>
        <v>591.79999999999995</v>
      </c>
      <c r="AF7" s="1090">
        <f t="shared" ref="AF7:AL7" si="4">AF119</f>
        <v>739</v>
      </c>
      <c r="AG7" s="1090">
        <f t="shared" si="4"/>
        <v>828.4</v>
      </c>
      <c r="AH7" s="1090">
        <f t="shared" si="4"/>
        <v>874.2</v>
      </c>
      <c r="AI7" s="1090">
        <f t="shared" si="4"/>
        <v>1023.9</v>
      </c>
      <c r="AJ7" s="1090">
        <f t="shared" si="4"/>
        <v>720.4</v>
      </c>
      <c r="AK7" s="1090">
        <f t="shared" si="4"/>
        <v>506.9</v>
      </c>
      <c r="AL7" s="1090">
        <f t="shared" si="4"/>
        <v>484.09999999999997</v>
      </c>
      <c r="AM7" s="1090">
        <f>AM119</f>
        <v>496.9</v>
      </c>
      <c r="AN7" s="1090">
        <f>AN119</f>
        <v>526.29999999999995</v>
      </c>
      <c r="AO7" s="1090">
        <f t="shared" ref="AO7:AP7" si="5">AO119</f>
        <v>550.1</v>
      </c>
      <c r="AP7" s="1090">
        <f t="shared" si="5"/>
        <v>565.4</v>
      </c>
      <c r="AQ7" s="1090"/>
    </row>
    <row r="8" spans="1:43" ht="18.75" hidden="1" customHeight="1" outlineLevel="1">
      <c r="A8" s="311" t="s">
        <v>6</v>
      </c>
      <c r="P8" s="1084">
        <f t="shared" ref="P8:U8" si="6">P7+P6</f>
        <v>131.89999999999998</v>
      </c>
      <c r="Q8" s="1084">
        <f t="shared" si="6"/>
        <v>152.5</v>
      </c>
      <c r="R8" s="1084">
        <f t="shared" si="6"/>
        <v>161.19999999999999</v>
      </c>
      <c r="S8" s="1084">
        <f t="shared" si="6"/>
        <v>159.6</v>
      </c>
      <c r="T8" s="1084">
        <f t="shared" si="6"/>
        <v>181.8</v>
      </c>
      <c r="U8" s="1084">
        <f t="shared" si="6"/>
        <v>327.7</v>
      </c>
      <c r="V8" s="1084">
        <f>V7+V6</f>
        <v>355.8</v>
      </c>
      <c r="W8" s="1084"/>
      <c r="X8" s="1090">
        <f>X7+X6</f>
        <v>402.1</v>
      </c>
      <c r="Y8" s="1090">
        <f>Y7+Y6</f>
        <v>545.90000000000009</v>
      </c>
      <c r="AA8" s="1090">
        <f>AA7+AA6</f>
        <v>725.84999999999991</v>
      </c>
      <c r="AC8" s="1090"/>
      <c r="AD8" s="1090">
        <f>AD7+AD6</f>
        <v>928.9</v>
      </c>
      <c r="AE8" s="1090">
        <f>AE7+AE6</f>
        <v>1169.8999999999999</v>
      </c>
      <c r="AF8" s="1090">
        <f t="shared" ref="AF8:AL8" si="7">AF7+AF6</f>
        <v>1356.9</v>
      </c>
      <c r="AG8" s="1090">
        <f t="shared" si="7"/>
        <v>1472.9</v>
      </c>
      <c r="AH8" s="1090">
        <f t="shared" si="7"/>
        <v>1437.4</v>
      </c>
      <c r="AI8" s="1090">
        <f t="shared" si="7"/>
        <v>1676</v>
      </c>
      <c r="AJ8" s="1090">
        <f>AJ7+AJ6</f>
        <v>1209.0999999999999</v>
      </c>
      <c r="AK8" s="1090">
        <f t="shared" si="7"/>
        <v>920.8</v>
      </c>
      <c r="AL8" s="1090">
        <f t="shared" si="7"/>
        <v>903</v>
      </c>
      <c r="AM8" s="1090">
        <f>AM7+AM6</f>
        <v>927.3</v>
      </c>
      <c r="AN8" s="1090">
        <f>AN7+AN6</f>
        <v>928.3</v>
      </c>
      <c r="AO8" s="1090">
        <f t="shared" ref="AO8:AP8" si="8">AO7+AO6</f>
        <v>965.8</v>
      </c>
      <c r="AP8" s="1090">
        <f t="shared" si="8"/>
        <v>1030.2</v>
      </c>
      <c r="AQ8" s="1090"/>
    </row>
    <row r="9" spans="1:43" ht="18.75" hidden="1" customHeight="1" outlineLevel="1">
      <c r="P9" s="1084"/>
      <c r="Q9" s="1084"/>
      <c r="R9" s="1084"/>
      <c r="S9" s="1084"/>
      <c r="T9" s="1084"/>
      <c r="U9" s="1084"/>
      <c r="V9" s="1084"/>
      <c r="W9" s="1084"/>
      <c r="X9" s="1090"/>
      <c r="Y9" s="1090"/>
      <c r="AA9" s="1090"/>
      <c r="AC9" s="1090"/>
      <c r="AD9" s="1090"/>
      <c r="AE9" s="1090"/>
      <c r="AF9" s="1090"/>
      <c r="AG9" s="1090"/>
      <c r="AH9" s="1090"/>
      <c r="AI9" s="1090"/>
      <c r="AJ9" s="1090"/>
      <c r="AK9" s="1090"/>
      <c r="AL9" s="1090"/>
      <c r="AM9" s="1090"/>
      <c r="AN9" s="1090"/>
      <c r="AO9" s="1090"/>
      <c r="AP9" s="1090"/>
      <c r="AQ9" s="1090"/>
    </row>
    <row r="10" spans="1:43" ht="18.75" hidden="1" customHeight="1" outlineLevel="1">
      <c r="B10" s="165" t="s">
        <v>110</v>
      </c>
      <c r="P10" s="1084">
        <f t="shared" ref="P10:U10" si="9">P128</f>
        <v>487.8</v>
      </c>
      <c r="Q10" s="1084">
        <f t="shared" si="9"/>
        <v>642.6</v>
      </c>
      <c r="R10" s="1084">
        <f t="shared" si="9"/>
        <v>766.9</v>
      </c>
      <c r="S10" s="1084">
        <f t="shared" si="9"/>
        <v>991.3</v>
      </c>
      <c r="T10" s="1084">
        <f t="shared" si="9"/>
        <v>1264.9000000000001</v>
      </c>
      <c r="U10" s="1084">
        <f t="shared" si="9"/>
        <v>1945</v>
      </c>
      <c r="V10" s="1084">
        <f>V128</f>
        <v>2544.5</v>
      </c>
      <c r="W10" s="1084"/>
      <c r="X10" s="1090">
        <f>X128</f>
        <v>2009.5</v>
      </c>
      <c r="Y10" s="1090">
        <f>Y128</f>
        <v>2708.9</v>
      </c>
      <c r="AA10" s="1090">
        <f>AA128</f>
        <v>2240</v>
      </c>
      <c r="AC10" s="1090"/>
      <c r="AD10" s="1090">
        <f>AC128</f>
        <v>2299.1999999999998</v>
      </c>
      <c r="AE10" s="1090">
        <f>AE128</f>
        <v>1857.8</v>
      </c>
      <c r="AF10" s="1090">
        <f t="shared" ref="AF10:AL10" si="10">AF128</f>
        <v>1899.2</v>
      </c>
      <c r="AG10" s="1090">
        <f t="shared" si="10"/>
        <v>1754.6</v>
      </c>
      <c r="AH10" s="1090">
        <f t="shared" si="10"/>
        <v>1767.6</v>
      </c>
      <c r="AI10" s="1090">
        <f t="shared" si="10"/>
        <v>1699.3000000000002</v>
      </c>
      <c r="AJ10" s="1090">
        <f>AJ128</f>
        <v>1760</v>
      </c>
      <c r="AK10" s="1090">
        <f t="shared" si="10"/>
        <v>896.8</v>
      </c>
      <c r="AL10" s="1090">
        <f t="shared" si="10"/>
        <v>943.6</v>
      </c>
      <c r="AM10" s="1090">
        <f>AM128</f>
        <v>962.09999999999991</v>
      </c>
      <c r="AN10" s="1090">
        <f>AN128</f>
        <v>987.2</v>
      </c>
      <c r="AO10" s="1090">
        <f t="shared" ref="AO10:AP10" si="11">AO128</f>
        <v>1092.2</v>
      </c>
      <c r="AP10" s="1090">
        <f t="shared" si="11"/>
        <v>1345</v>
      </c>
      <c r="AQ10" s="1090"/>
    </row>
    <row r="11" spans="1:43" ht="18.75" hidden="1" customHeight="1" outlineLevel="1">
      <c r="B11" s="165"/>
      <c r="R11" s="1084"/>
      <c r="S11" s="1084"/>
      <c r="T11" s="1084"/>
      <c r="U11" s="1084"/>
      <c r="V11" s="1084"/>
      <c r="W11" s="1084"/>
      <c r="X11" s="1090"/>
      <c r="Y11" s="1090"/>
      <c r="AA11" s="1090"/>
      <c r="AC11" s="1090"/>
      <c r="AD11" s="1090"/>
      <c r="AE11" s="1090"/>
      <c r="AF11" s="1090"/>
      <c r="AG11" s="1090"/>
      <c r="AH11" s="1090"/>
      <c r="AI11" s="1090"/>
      <c r="AJ11" s="1090"/>
      <c r="AK11" s="1090"/>
      <c r="AL11" s="1090"/>
      <c r="AM11" s="1090"/>
      <c r="AN11" s="1090"/>
      <c r="AO11" s="1090"/>
      <c r="AP11" s="1090"/>
      <c r="AQ11" s="1090"/>
    </row>
    <row r="12" spans="1:43" ht="18.75" hidden="1" customHeight="1" outlineLevel="1">
      <c r="B12" s="165" t="s">
        <v>8</v>
      </c>
      <c r="R12" s="1084"/>
      <c r="S12" s="1084"/>
      <c r="T12" s="1084"/>
      <c r="U12" s="1084"/>
      <c r="V12" s="1084"/>
      <c r="W12" s="1084"/>
      <c r="X12" s="1090">
        <f>X101+X102</f>
        <v>94.2</v>
      </c>
      <c r="Y12" s="1090">
        <f>Y101+Y102</f>
        <v>142.20000000000002</v>
      </c>
      <c r="AA12" s="1090">
        <f>AA101+AA102</f>
        <v>155.80000000000001</v>
      </c>
      <c r="AC12" s="1090"/>
      <c r="AD12" s="1090">
        <f>AC101+AC102</f>
        <v>202.1</v>
      </c>
      <c r="AE12" s="1090">
        <f t="shared" ref="AE12:AJ12" si="12">AE101+AE102</f>
        <v>236.4</v>
      </c>
      <c r="AF12" s="1090">
        <f t="shared" si="12"/>
        <v>212.1</v>
      </c>
      <c r="AG12" s="1090">
        <f t="shared" si="12"/>
        <v>181</v>
      </c>
      <c r="AH12" s="1090">
        <f t="shared" si="12"/>
        <v>185.9</v>
      </c>
      <c r="AI12" s="1090">
        <f t="shared" si="12"/>
        <v>192.7</v>
      </c>
      <c r="AJ12" s="1090">
        <f t="shared" si="12"/>
        <v>192.6</v>
      </c>
      <c r="AK12" s="1090">
        <f>SUM(AK102:AK103)</f>
        <v>153</v>
      </c>
      <c r="AL12" s="1090">
        <f>SUM(AL102:AL103)</f>
        <v>156.60000000000002</v>
      </c>
      <c r="AM12" s="1090">
        <f>SUM(AM102:AM103)</f>
        <v>165.8</v>
      </c>
      <c r="AN12" s="1090">
        <f>SUM(AN102:AN103)</f>
        <v>176</v>
      </c>
      <c r="AO12" s="1090">
        <f t="shared" ref="AO12" si="13">SUM(AO102:AO103)</f>
        <v>191.6</v>
      </c>
      <c r="AP12" s="1090">
        <f>SUM(AP102:AP103)</f>
        <v>215.7</v>
      </c>
      <c r="AQ12" s="1090"/>
    </row>
    <row r="13" spans="1:43" ht="18.75" hidden="1" customHeight="1" outlineLevel="1">
      <c r="C13" s="369" t="s">
        <v>256</v>
      </c>
      <c r="R13" s="1084"/>
      <c r="S13" s="1084"/>
      <c r="T13" s="1084"/>
      <c r="U13" s="1084"/>
      <c r="V13" s="1084"/>
      <c r="W13" s="1084"/>
      <c r="X13" s="1090"/>
      <c r="Y13" s="1090"/>
      <c r="Z13" s="1090"/>
      <c r="AA13" s="1090"/>
      <c r="AB13" s="1090"/>
      <c r="AC13" s="1090"/>
      <c r="AD13" s="1090"/>
      <c r="AE13" s="1090"/>
      <c r="AF13" s="1090"/>
      <c r="AG13" s="1090"/>
    </row>
    <row r="14" spans="1:43" ht="18.75" hidden="1" customHeight="1" outlineLevel="1">
      <c r="C14" s="369" t="s">
        <v>257</v>
      </c>
      <c r="R14" s="1084"/>
      <c r="S14" s="1084"/>
      <c r="T14" s="1084"/>
      <c r="U14" s="1084"/>
      <c r="V14" s="1084"/>
      <c r="W14" s="1084"/>
      <c r="X14" s="1090"/>
      <c r="Y14" s="1090"/>
      <c r="Z14" s="1090"/>
      <c r="AA14" s="1090"/>
      <c r="AB14" s="1090"/>
      <c r="AC14" s="1090"/>
      <c r="AD14" s="1090"/>
      <c r="AE14" s="1090"/>
      <c r="AF14" s="1090"/>
      <c r="AG14" s="1090"/>
    </row>
    <row r="15" spans="1:43" ht="36" customHeight="1" collapsed="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B16" s="165"/>
      <c r="C16" s="165"/>
      <c r="D16" s="165"/>
      <c r="E16" s="165"/>
      <c r="F16" s="165"/>
      <c r="G16" s="165"/>
      <c r="H16" s="165"/>
      <c r="I16" s="165"/>
      <c r="J16" s="165"/>
      <c r="K16" s="165"/>
      <c r="L16" s="165"/>
      <c r="M16" s="165"/>
      <c r="N16" s="165"/>
      <c r="O16" s="168"/>
      <c r="P16" s="168"/>
      <c r="Q16" s="168"/>
      <c r="R16" s="168"/>
      <c r="S16" s="168"/>
      <c r="T16" s="168"/>
      <c r="U16" s="168"/>
      <c r="V16" s="168"/>
      <c r="W16" s="168"/>
      <c r="X16" s="166"/>
      <c r="Y16" s="166"/>
      <c r="Z16" s="166"/>
      <c r="AA16" s="166"/>
      <c r="AB16" s="166"/>
      <c r="AC16" s="166"/>
      <c r="AD16" s="166"/>
      <c r="AE16" s="166"/>
      <c r="AF16" s="166"/>
      <c r="AG16" s="1090"/>
    </row>
    <row r="17" spans="2:43">
      <c r="B17" s="170" t="s">
        <v>460</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090"/>
    </row>
    <row r="18" spans="2:43">
      <c r="B18" s="165"/>
      <c r="C18" s="165"/>
      <c r="D18" s="165"/>
      <c r="E18" s="165"/>
      <c r="F18" s="165"/>
      <c r="G18" s="165"/>
      <c r="H18" s="165"/>
      <c r="I18" s="165"/>
      <c r="J18" s="165"/>
      <c r="K18" s="165"/>
      <c r="L18" s="165"/>
      <c r="M18" s="165"/>
      <c r="N18" s="165"/>
      <c r="O18" s="168"/>
      <c r="P18" s="168"/>
      <c r="Q18" s="168"/>
      <c r="R18" s="168"/>
      <c r="S18" s="168"/>
      <c r="T18" s="168"/>
      <c r="U18" s="168"/>
      <c r="V18" s="168"/>
      <c r="W18" s="168"/>
      <c r="X18" s="166"/>
      <c r="Y18" s="166"/>
      <c r="Z18" s="166"/>
      <c r="AA18" s="166"/>
      <c r="AB18" s="166"/>
      <c r="AC18" s="166"/>
      <c r="AD18" s="166"/>
      <c r="AE18" s="166"/>
      <c r="AF18" s="166"/>
      <c r="AG18" s="1090"/>
    </row>
    <row r="19" spans="2:43">
      <c r="B19" s="165"/>
      <c r="C19" s="165"/>
      <c r="D19" s="165"/>
      <c r="E19" s="165"/>
      <c r="F19" s="165"/>
      <c r="G19" s="165"/>
      <c r="H19" s="165"/>
      <c r="I19" s="165"/>
      <c r="J19" s="165"/>
      <c r="K19" s="165"/>
      <c r="L19" s="165"/>
      <c r="M19" s="165"/>
      <c r="N19" s="165"/>
      <c r="O19" s="168"/>
      <c r="P19" s="168"/>
      <c r="Q19" s="168"/>
      <c r="R19" s="168"/>
      <c r="S19" s="168"/>
      <c r="T19" s="168"/>
      <c r="U19" s="168"/>
      <c r="V19" s="168"/>
      <c r="W19" s="168"/>
      <c r="X19" s="166"/>
      <c r="Y19" s="166"/>
      <c r="Z19" s="166"/>
      <c r="AA19" s="166"/>
      <c r="AB19" s="166"/>
      <c r="AC19" s="166"/>
      <c r="AD19" s="166"/>
      <c r="AE19" s="166"/>
      <c r="AF19" s="166"/>
      <c r="AG19" s="1090"/>
    </row>
    <row r="20" spans="2:43">
      <c r="B20" s="165"/>
      <c r="C20" s="165"/>
      <c r="D20" s="165"/>
      <c r="E20" s="165"/>
      <c r="F20" s="165"/>
      <c r="G20" s="165"/>
      <c r="H20" s="165"/>
      <c r="I20" s="165"/>
      <c r="J20" s="165"/>
      <c r="K20" s="165"/>
      <c r="L20" s="165"/>
      <c r="M20" s="165"/>
      <c r="N20" s="165"/>
      <c r="O20" s="168"/>
      <c r="P20" s="168"/>
      <c r="Q20" s="168"/>
      <c r="R20" s="168"/>
      <c r="S20" s="168"/>
      <c r="T20" s="168"/>
      <c r="U20" s="168"/>
      <c r="V20" s="168"/>
      <c r="W20" s="168"/>
      <c r="X20" s="166"/>
      <c r="Y20" s="166"/>
      <c r="Z20" s="166"/>
      <c r="AA20" s="166"/>
      <c r="AB20" s="166"/>
      <c r="AC20" s="166"/>
      <c r="AD20" s="166"/>
      <c r="AE20" s="166"/>
      <c r="AF20" s="166"/>
      <c r="AG20" s="1090"/>
    </row>
    <row r="21" spans="2:43">
      <c r="B21" s="170" t="s">
        <v>259</v>
      </c>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090"/>
    </row>
    <row r="22" spans="2:43">
      <c r="B22" s="172"/>
      <c r="C22" s="172"/>
      <c r="D22" s="172"/>
      <c r="E22" s="172"/>
      <c r="F22" s="172"/>
      <c r="G22" s="172"/>
      <c r="H22" s="172"/>
      <c r="I22" s="172"/>
      <c r="J22" s="172"/>
      <c r="K22" s="172"/>
      <c r="L22" s="172"/>
      <c r="M22" s="172"/>
      <c r="N22" s="172"/>
      <c r="O22" s="173"/>
      <c r="P22" s="173"/>
      <c r="Q22" s="173"/>
      <c r="R22" s="173"/>
      <c r="S22" s="173"/>
      <c r="T22" s="173"/>
      <c r="U22" s="173"/>
      <c r="V22" s="173"/>
      <c r="W22" s="173"/>
      <c r="X22" s="256"/>
      <c r="Y22" s="256"/>
      <c r="Z22" s="256"/>
      <c r="AA22" s="256"/>
      <c r="AB22" s="256"/>
      <c r="AC22" s="256"/>
      <c r="AD22" s="256"/>
      <c r="AE22" s="256"/>
      <c r="AF22" s="256"/>
      <c r="AG22" s="1090"/>
    </row>
    <row r="23" spans="2:43">
      <c r="B23" s="165"/>
      <c r="C23" s="165"/>
      <c r="D23" s="165"/>
      <c r="E23" s="165"/>
      <c r="F23" s="165"/>
      <c r="G23" s="165"/>
      <c r="H23" s="165"/>
      <c r="I23" s="165"/>
      <c r="J23" s="165"/>
      <c r="K23" s="165"/>
      <c r="L23" s="165"/>
      <c r="M23" s="165"/>
      <c r="N23" s="165"/>
      <c r="O23" s="168"/>
      <c r="P23" s="168"/>
      <c r="Q23" s="168"/>
      <c r="R23" s="168"/>
      <c r="S23" s="168"/>
      <c r="T23" s="168"/>
      <c r="U23" s="168"/>
      <c r="V23" s="168"/>
      <c r="W23" s="168"/>
      <c r="X23" s="257">
        <v>2001</v>
      </c>
      <c r="Y23" s="546"/>
      <c r="Z23" s="259">
        <v>2003</v>
      </c>
      <c r="AA23" s="546"/>
      <c r="AB23" s="259">
        <v>2005</v>
      </c>
      <c r="AC23" s="546"/>
      <c r="AD23" s="259">
        <v>2007</v>
      </c>
      <c r="AE23" s="546"/>
      <c r="AF23" s="259">
        <v>2009</v>
      </c>
      <c r="AG23" s="1082">
        <v>2010</v>
      </c>
      <c r="AH23" s="1082">
        <v>2011</v>
      </c>
      <c r="AI23" s="1082">
        <v>2012</v>
      </c>
      <c r="AJ23" s="1082">
        <v>2013</v>
      </c>
      <c r="AK23" s="1082">
        <v>2014</v>
      </c>
      <c r="AL23" s="1082">
        <v>2015</v>
      </c>
      <c r="AM23" s="1082">
        <v>2016</v>
      </c>
      <c r="AN23" s="1082">
        <v>2017</v>
      </c>
      <c r="AO23" s="1082">
        <v>2018</v>
      </c>
      <c r="AP23" s="1082">
        <v>2019</v>
      </c>
      <c r="AQ23" s="1082">
        <v>2020</v>
      </c>
    </row>
    <row r="24" spans="2:43">
      <c r="B24" s="1250"/>
      <c r="C24" s="1498"/>
      <c r="D24" s="165"/>
      <c r="E24" s="165"/>
      <c r="F24" s="165"/>
      <c r="G24" s="165"/>
      <c r="H24" s="165"/>
      <c r="I24" s="165"/>
      <c r="J24" s="165"/>
      <c r="K24" s="165"/>
      <c r="L24" s="165"/>
      <c r="M24" s="165"/>
      <c r="N24" s="165"/>
      <c r="O24" s="168"/>
      <c r="P24" s="168"/>
      <c r="Q24" s="168"/>
      <c r="R24" s="168"/>
      <c r="S24" s="168"/>
      <c r="T24" s="168"/>
      <c r="U24" s="168"/>
      <c r="V24" s="168"/>
      <c r="W24" s="168"/>
      <c r="X24" s="166"/>
      <c r="Y24" s="166"/>
      <c r="Z24" s="166"/>
      <c r="AA24" s="166"/>
      <c r="AB24" s="166"/>
      <c r="AC24" s="166"/>
      <c r="AD24" s="166"/>
      <c r="AE24" s="166"/>
      <c r="AF24" s="166"/>
      <c r="AG24" s="1090"/>
    </row>
    <row r="25" spans="2:43">
      <c r="B25" s="206" t="s">
        <v>436</v>
      </c>
      <c r="C25" s="165"/>
      <c r="D25" s="165"/>
      <c r="E25" s="165"/>
      <c r="F25" s="165"/>
      <c r="G25" s="165"/>
      <c r="H25" s="165"/>
      <c r="I25" s="165"/>
      <c r="J25" s="165"/>
      <c r="K25" s="165"/>
      <c r="L25" s="165"/>
      <c r="M25" s="165"/>
      <c r="N25" s="165"/>
      <c r="O25" s="168"/>
      <c r="P25" s="168"/>
      <c r="Q25" s="168"/>
      <c r="R25" s="168"/>
      <c r="S25" s="168"/>
      <c r="T25" s="168"/>
      <c r="U25" s="168"/>
      <c r="V25" s="168"/>
      <c r="W25" s="168"/>
      <c r="X25" s="71">
        <v>78.026601999999983</v>
      </c>
      <c r="Y25" s="244"/>
      <c r="Z25" s="71">
        <v>147.630008</v>
      </c>
      <c r="AA25" s="244"/>
      <c r="AB25" s="71">
        <v>173.23974699999999</v>
      </c>
      <c r="AC25" s="244"/>
      <c r="AD25" s="71">
        <v>224.918308</v>
      </c>
      <c r="AE25" s="244"/>
      <c r="AF25" s="71">
        <v>290.96924000000001</v>
      </c>
      <c r="AG25" s="71">
        <v>287.61568799999998</v>
      </c>
      <c r="AH25" s="71">
        <v>410.72902200000004</v>
      </c>
      <c r="AI25" s="71">
        <v>457.60155700000001</v>
      </c>
      <c r="AJ25" s="71">
        <v>485.85205999999999</v>
      </c>
      <c r="AK25" s="71">
        <v>515.90068099999996</v>
      </c>
      <c r="AL25" s="71">
        <v>531.05270299999995</v>
      </c>
      <c r="AM25" s="71">
        <v>548.46</v>
      </c>
      <c r="AN25" s="71">
        <v>616.81999999999994</v>
      </c>
      <c r="AO25" s="71">
        <v>658.7</v>
      </c>
      <c r="AP25" s="71">
        <f>SUM(AP27:AP29)</f>
        <v>808.14</v>
      </c>
      <c r="AQ25" s="71"/>
    </row>
    <row r="26" spans="2:43">
      <c r="B26" s="217"/>
      <c r="C26" s="165"/>
      <c r="D26" s="165"/>
      <c r="E26" s="165"/>
      <c r="F26" s="165"/>
      <c r="G26" s="165"/>
      <c r="H26" s="165"/>
      <c r="I26" s="165"/>
      <c r="J26" s="165"/>
      <c r="K26" s="165"/>
      <c r="L26" s="165"/>
      <c r="M26" s="165"/>
      <c r="N26" s="165"/>
      <c r="O26" s="168"/>
      <c r="P26" s="168"/>
      <c r="Q26" s="168"/>
      <c r="R26" s="168"/>
      <c r="S26" s="168"/>
      <c r="T26" s="168"/>
      <c r="U26" s="168"/>
      <c r="V26" s="168"/>
      <c r="W26" s="168"/>
      <c r="X26" s="166"/>
      <c r="Y26" s="166"/>
      <c r="Z26" s="166"/>
      <c r="AA26" s="166"/>
      <c r="AB26" s="166"/>
      <c r="AC26" s="166"/>
      <c r="AD26" s="166"/>
      <c r="AE26" s="166"/>
      <c r="AF26" s="166"/>
      <c r="AG26" s="1090"/>
      <c r="AH26" s="1090"/>
    </row>
    <row r="27" spans="2:43">
      <c r="B27" s="165"/>
      <c r="C27" s="165" t="s">
        <v>463</v>
      </c>
      <c r="D27" s="165"/>
      <c r="E27" s="165"/>
      <c r="F27" s="165"/>
      <c r="G27" s="165"/>
      <c r="H27" s="165"/>
      <c r="I27" s="165"/>
      <c r="J27" s="165"/>
      <c r="K27" s="165"/>
      <c r="L27" s="165"/>
      <c r="M27" s="165"/>
      <c r="N27" s="165"/>
      <c r="O27" s="168"/>
      <c r="P27" s="168"/>
      <c r="Q27" s="168"/>
      <c r="R27" s="168"/>
      <c r="S27" s="168"/>
      <c r="T27" s="168"/>
      <c r="U27" s="168"/>
      <c r="V27" s="168"/>
      <c r="W27" s="168"/>
      <c r="X27" s="244">
        <v>69.242622999999995</v>
      </c>
      <c r="Y27" s="166"/>
      <c r="Z27" s="244">
        <v>126.46923700000001</v>
      </c>
      <c r="AA27" s="166"/>
      <c r="AB27" s="244">
        <v>148.932704</v>
      </c>
      <c r="AC27" s="166"/>
      <c r="AD27" s="244">
        <v>196.400217</v>
      </c>
      <c r="AE27" s="166"/>
      <c r="AF27" s="241">
        <v>230.39371</v>
      </c>
      <c r="AG27" s="1090">
        <v>233.38944000000001</v>
      </c>
      <c r="AH27" s="1090">
        <v>356.80220700000001</v>
      </c>
      <c r="AI27" s="1499">
        <v>384.07397900000001</v>
      </c>
      <c r="AJ27" s="1499">
        <v>412.97274199999998</v>
      </c>
      <c r="AK27" s="1499">
        <v>450.89769899999999</v>
      </c>
      <c r="AL27" s="1499">
        <v>466.715171</v>
      </c>
      <c r="AM27" s="1079">
        <v>485.5</v>
      </c>
      <c r="AN27" s="1079">
        <v>552</v>
      </c>
      <c r="AO27" s="1079">
        <v>593</v>
      </c>
      <c r="AP27" s="1079">
        <v>735.3</v>
      </c>
      <c r="AQ27" s="1079"/>
    </row>
    <row r="28" spans="2:43">
      <c r="B28" s="165"/>
      <c r="C28" s="165" t="s">
        <v>438</v>
      </c>
      <c r="D28" s="165"/>
      <c r="E28" s="165"/>
      <c r="F28" s="165"/>
      <c r="G28" s="165"/>
      <c r="H28" s="165"/>
      <c r="I28" s="165"/>
      <c r="J28" s="165"/>
      <c r="K28" s="165"/>
      <c r="L28" s="165"/>
      <c r="M28" s="165"/>
      <c r="N28" s="165"/>
      <c r="O28" s="168"/>
      <c r="P28" s="168"/>
      <c r="Q28" s="168"/>
      <c r="R28" s="168"/>
      <c r="S28" s="168"/>
      <c r="T28" s="168"/>
      <c r="U28" s="168"/>
      <c r="V28" s="168"/>
      <c r="W28" s="168"/>
      <c r="X28" s="244">
        <v>5.6262689999999997</v>
      </c>
      <c r="Y28" s="166"/>
      <c r="Z28" s="244">
        <v>12.438256000000001</v>
      </c>
      <c r="AA28" s="166"/>
      <c r="AB28" s="244">
        <v>16.656153</v>
      </c>
      <c r="AC28" s="166"/>
      <c r="AD28" s="244">
        <v>13.597124000000001</v>
      </c>
      <c r="AE28" s="166"/>
      <c r="AF28" s="241">
        <v>24.552983000000001</v>
      </c>
      <c r="AG28" s="1090">
        <v>25.130355999999999</v>
      </c>
      <c r="AH28" s="1090">
        <v>27.398296999999999</v>
      </c>
      <c r="AI28" s="1499">
        <v>36.470806000000003</v>
      </c>
      <c r="AJ28" s="1499">
        <v>44.003436000000001</v>
      </c>
      <c r="AK28" s="1499">
        <v>39.737997999999997</v>
      </c>
      <c r="AL28" s="1499">
        <v>39.737997999999997</v>
      </c>
      <c r="AM28" s="1079">
        <v>40.46</v>
      </c>
      <c r="AN28" s="1079">
        <v>42.52</v>
      </c>
      <c r="AO28" s="1079">
        <v>44.37</v>
      </c>
      <c r="AP28" s="1079">
        <v>48.94</v>
      </c>
      <c r="AQ28" s="1079"/>
    </row>
    <row r="29" spans="2:43">
      <c r="B29" s="552"/>
      <c r="C29" s="552" t="s">
        <v>439</v>
      </c>
      <c r="D29" s="165"/>
      <c r="E29" s="165"/>
      <c r="F29" s="165"/>
      <c r="G29" s="165"/>
      <c r="H29" s="165"/>
      <c r="I29" s="165"/>
      <c r="J29" s="165"/>
      <c r="K29" s="165"/>
      <c r="L29" s="165"/>
      <c r="M29" s="165"/>
      <c r="N29" s="165"/>
      <c r="O29" s="168"/>
      <c r="P29" s="168"/>
      <c r="Q29" s="168"/>
      <c r="R29" s="168"/>
      <c r="S29" s="168"/>
      <c r="T29" s="168"/>
      <c r="U29" s="168"/>
      <c r="V29" s="168"/>
      <c r="W29" s="168"/>
      <c r="X29" s="244">
        <v>3.1577099999999998</v>
      </c>
      <c r="Y29" s="166"/>
      <c r="Z29" s="244">
        <v>8.7225149999999996</v>
      </c>
      <c r="AA29" s="166"/>
      <c r="AB29" s="244">
        <v>7.6508900000000004</v>
      </c>
      <c r="AC29" s="166"/>
      <c r="AD29" s="244">
        <v>14.920966999999999</v>
      </c>
      <c r="AE29" s="166"/>
      <c r="AF29" s="241">
        <v>36.022547000000003</v>
      </c>
      <c r="AG29" s="1090">
        <v>29.095891999999999</v>
      </c>
      <c r="AH29" s="1090">
        <v>26.528517999999998</v>
      </c>
      <c r="AI29" s="1499">
        <v>37.056772000000002</v>
      </c>
      <c r="AJ29" s="1499">
        <v>28.875882000000001</v>
      </c>
      <c r="AK29" s="1499">
        <v>25.264983999999998</v>
      </c>
      <c r="AL29" s="1499">
        <v>24.599533999999998</v>
      </c>
      <c r="AM29" s="1079">
        <v>22.5</v>
      </c>
      <c r="AN29" s="1079">
        <v>22.3</v>
      </c>
      <c r="AO29" s="1079">
        <v>21.5</v>
      </c>
      <c r="AP29" s="1079">
        <v>23.9</v>
      </c>
      <c r="AQ29" s="1079"/>
    </row>
    <row r="30" spans="2:43">
      <c r="B30" s="957"/>
      <c r="C30" s="904"/>
      <c r="D30" s="172"/>
      <c r="E30" s="172"/>
      <c r="F30" s="172"/>
      <c r="G30" s="172"/>
      <c r="H30" s="172"/>
      <c r="I30" s="172"/>
      <c r="J30" s="172"/>
      <c r="K30" s="172"/>
      <c r="L30" s="172"/>
      <c r="M30" s="172"/>
      <c r="N30" s="172"/>
      <c r="O30" s="173"/>
      <c r="P30" s="173"/>
      <c r="Q30" s="173"/>
      <c r="R30" s="173"/>
      <c r="S30" s="173"/>
      <c r="T30" s="173"/>
      <c r="U30" s="173"/>
      <c r="V30" s="173"/>
      <c r="W30" s="173"/>
      <c r="X30" s="256"/>
      <c r="Y30" s="256"/>
      <c r="Z30" s="256"/>
      <c r="AA30" s="256"/>
      <c r="AB30" s="256"/>
      <c r="AC30" s="256"/>
      <c r="AD30" s="256"/>
      <c r="AE30" s="256"/>
      <c r="AF30" s="256"/>
      <c r="AG30" s="256"/>
      <c r="AH30" s="256"/>
      <c r="AI30" s="256"/>
      <c r="AJ30" s="256"/>
      <c r="AK30" s="256"/>
      <c r="AL30" s="256"/>
      <c r="AM30" s="256"/>
      <c r="AN30" s="256"/>
      <c r="AO30" s="256"/>
      <c r="AP30" s="256"/>
      <c r="AQ30" s="256"/>
    </row>
    <row r="31" spans="2:43">
      <c r="B31" s="165" t="s">
        <v>464</v>
      </c>
      <c r="C31" s="165"/>
      <c r="D31" s="165"/>
      <c r="E31" s="165"/>
      <c r="F31" s="165"/>
      <c r="G31" s="165"/>
      <c r="H31" s="165"/>
      <c r="I31" s="165"/>
      <c r="J31" s="165"/>
      <c r="K31" s="165"/>
      <c r="L31" s="165"/>
      <c r="M31" s="165"/>
      <c r="N31" s="165"/>
      <c r="O31" s="168"/>
      <c r="P31" s="168"/>
      <c r="Q31" s="168"/>
      <c r="R31" s="168"/>
      <c r="S31" s="168"/>
      <c r="T31" s="168"/>
      <c r="U31" s="168"/>
      <c r="V31" s="168"/>
      <c r="W31" s="168"/>
      <c r="X31" s="166"/>
      <c r="Y31" s="166"/>
      <c r="Z31" s="166"/>
      <c r="AA31" s="166"/>
      <c r="AB31" s="166"/>
      <c r="AC31" s="166"/>
      <c r="AD31" s="166"/>
      <c r="AE31" s="166"/>
      <c r="AF31" s="166"/>
      <c r="AG31" s="1090"/>
    </row>
    <row r="32" spans="2:43">
      <c r="B32" s="1094" t="s">
        <v>1547</v>
      </c>
      <c r="C32" s="165"/>
      <c r="D32" s="165"/>
      <c r="E32" s="165"/>
      <c r="F32" s="165"/>
      <c r="G32" s="165"/>
      <c r="H32" s="165"/>
      <c r="I32" s="165"/>
      <c r="J32" s="165"/>
      <c r="K32" s="165"/>
      <c r="L32" s="165"/>
      <c r="M32" s="165"/>
      <c r="N32" s="165"/>
      <c r="O32" s="168"/>
      <c r="P32" s="168"/>
      <c r="Q32" s="168"/>
      <c r="R32" s="168"/>
      <c r="S32" s="168"/>
      <c r="T32" s="168"/>
      <c r="U32" s="168"/>
      <c r="V32" s="168"/>
      <c r="W32" s="168"/>
      <c r="X32" s="166"/>
      <c r="Y32" s="166"/>
      <c r="Z32" s="166"/>
      <c r="AA32" s="166"/>
      <c r="AB32" s="166"/>
      <c r="AC32" s="166"/>
      <c r="AD32" s="166"/>
      <c r="AE32" s="166"/>
      <c r="AF32" s="166"/>
      <c r="AG32" s="1090"/>
    </row>
    <row r="33" spans="2:39">
      <c r="B33" s="1491"/>
      <c r="R33" s="1084"/>
      <c r="S33" s="1084"/>
      <c r="T33" s="1084"/>
      <c r="U33" s="1084"/>
      <c r="V33" s="1084"/>
      <c r="W33" s="1084"/>
      <c r="X33" s="1500"/>
      <c r="Y33" s="1500"/>
      <c r="Z33" s="1500"/>
      <c r="AA33" s="1500"/>
      <c r="AB33" s="1500"/>
      <c r="AC33" s="1500"/>
      <c r="AD33" s="1500"/>
      <c r="AE33" s="1500"/>
      <c r="AF33" s="1500"/>
      <c r="AG33" s="1500"/>
      <c r="AH33" s="1500"/>
      <c r="AI33" s="1500"/>
      <c r="AJ33" s="1500"/>
      <c r="AK33" s="1090"/>
      <c r="AL33" s="1090"/>
      <c r="AM33" s="1090"/>
    </row>
    <row r="34" spans="2:39" hidden="1">
      <c r="R34" s="1084"/>
      <c r="S34" s="1084"/>
      <c r="T34" s="1084"/>
      <c r="U34" s="1084"/>
      <c r="V34" s="1084"/>
      <c r="W34" s="1084"/>
      <c r="X34" s="1090"/>
      <c r="Y34" s="1090"/>
      <c r="Z34" s="1090"/>
      <c r="AA34" s="1090"/>
      <c r="AB34" s="1090"/>
      <c r="AC34" s="1090"/>
      <c r="AD34" s="1090"/>
      <c r="AE34" s="1090"/>
      <c r="AF34" s="1090"/>
      <c r="AG34" s="1090"/>
    </row>
    <row r="35" spans="2:39" hidden="1">
      <c r="R35" s="1084"/>
      <c r="S35" s="1084"/>
      <c r="T35" s="1084"/>
      <c r="U35" s="1084"/>
      <c r="V35" s="1084"/>
      <c r="W35" s="1084"/>
      <c r="X35" s="1090"/>
      <c r="Y35" s="1090"/>
      <c r="Z35" s="1090"/>
      <c r="AA35" s="1090"/>
      <c r="AB35" s="1090"/>
      <c r="AC35" s="1090"/>
      <c r="AD35" s="1090"/>
      <c r="AE35" s="1090"/>
      <c r="AF35" s="1090"/>
      <c r="AG35" s="1090"/>
    </row>
    <row r="36" spans="2:39" hidden="1">
      <c r="R36" s="1084"/>
      <c r="S36" s="1084"/>
      <c r="T36" s="1084"/>
      <c r="U36" s="1084"/>
      <c r="V36" s="1084"/>
      <c r="W36" s="1084"/>
      <c r="X36" s="1090"/>
      <c r="Y36" s="1090"/>
      <c r="Z36" s="1090"/>
      <c r="AA36" s="1090"/>
      <c r="AB36" s="1090"/>
      <c r="AC36" s="1090"/>
      <c r="AD36" s="1090"/>
      <c r="AE36" s="1090"/>
      <c r="AF36" s="1090"/>
      <c r="AG36" s="1090"/>
    </row>
    <row r="37" spans="2:39" hidden="1">
      <c r="R37" s="1084"/>
      <c r="S37" s="1084"/>
      <c r="T37" s="1084"/>
      <c r="U37" s="1084"/>
      <c r="V37" s="1084"/>
      <c r="W37" s="1084"/>
      <c r="X37" s="1090"/>
      <c r="Y37" s="1090"/>
      <c r="Z37" s="1090"/>
      <c r="AA37" s="1090"/>
      <c r="AB37" s="1090"/>
      <c r="AC37" s="1090"/>
      <c r="AD37" s="1090"/>
      <c r="AE37" s="1090"/>
      <c r="AF37" s="1090"/>
      <c r="AG37" s="1090"/>
    </row>
    <row r="38" spans="2:39" hidden="1">
      <c r="R38" s="1084"/>
      <c r="S38" s="1084"/>
      <c r="T38" s="1084"/>
      <c r="U38" s="1084"/>
      <c r="V38" s="1084"/>
      <c r="W38" s="1084"/>
      <c r="X38" s="1090"/>
      <c r="Y38" s="1090"/>
      <c r="Z38" s="1090"/>
      <c r="AA38" s="1090"/>
      <c r="AB38" s="1090"/>
      <c r="AC38" s="1090"/>
      <c r="AD38" s="1090"/>
      <c r="AE38" s="1090"/>
      <c r="AF38" s="1090"/>
      <c r="AG38" s="1090"/>
    </row>
    <row r="39" spans="2:39" hidden="1">
      <c r="R39" s="1084"/>
      <c r="S39" s="1084"/>
      <c r="T39" s="1084"/>
      <c r="U39" s="1084"/>
      <c r="V39" s="1084"/>
      <c r="W39" s="1084"/>
      <c r="X39" s="1090"/>
      <c r="Y39" s="1090"/>
      <c r="Z39" s="1090"/>
      <c r="AA39" s="1090"/>
      <c r="AB39" s="1090"/>
      <c r="AC39" s="1090"/>
      <c r="AD39" s="1090"/>
      <c r="AE39" s="1090"/>
      <c r="AF39" s="1090"/>
      <c r="AG39" s="1090"/>
    </row>
    <row r="40" spans="2:39" hidden="1">
      <c r="R40" s="1084"/>
      <c r="S40" s="1084"/>
      <c r="T40" s="1084"/>
      <c r="U40" s="1084"/>
      <c r="V40" s="1084"/>
      <c r="W40" s="1084"/>
      <c r="X40" s="1090"/>
      <c r="Y40" s="1090"/>
      <c r="Z40" s="1090"/>
      <c r="AA40" s="1090"/>
      <c r="AB40" s="1090"/>
      <c r="AC40" s="1090"/>
      <c r="AD40" s="1090"/>
      <c r="AE40" s="1090"/>
      <c r="AF40" s="1090"/>
      <c r="AG40" s="1090"/>
    </row>
    <row r="41" spans="2:39" hidden="1">
      <c r="R41" s="1084"/>
      <c r="S41" s="1084"/>
      <c r="T41" s="1084"/>
      <c r="U41" s="1084"/>
      <c r="V41" s="1084"/>
      <c r="W41" s="1084"/>
      <c r="X41" s="1090"/>
      <c r="Y41" s="1090"/>
      <c r="Z41" s="1090"/>
      <c r="AA41" s="1090"/>
      <c r="AB41" s="1090"/>
      <c r="AC41" s="1090"/>
      <c r="AD41" s="1090"/>
      <c r="AE41" s="1090"/>
      <c r="AF41" s="1090"/>
      <c r="AG41" s="1090"/>
    </row>
    <row r="42" spans="2:39" hidden="1">
      <c r="R42" s="1084"/>
      <c r="S42" s="1084"/>
      <c r="T42" s="1084"/>
      <c r="U42" s="1084"/>
      <c r="V42" s="1084"/>
      <c r="W42" s="1084"/>
      <c r="X42" s="1090"/>
      <c r="Y42" s="1090"/>
      <c r="Z42" s="1090"/>
      <c r="AA42" s="1090"/>
      <c r="AB42" s="1090"/>
      <c r="AC42" s="1090"/>
      <c r="AD42" s="1090"/>
      <c r="AE42" s="1090"/>
      <c r="AF42" s="1090"/>
      <c r="AG42" s="1090"/>
    </row>
    <row r="43" spans="2:39" hidden="1">
      <c r="R43" s="1084"/>
      <c r="S43" s="1084"/>
      <c r="T43" s="1084"/>
      <c r="U43" s="1084"/>
      <c r="V43" s="1084"/>
      <c r="W43" s="1084"/>
      <c r="X43" s="1090"/>
      <c r="Y43" s="1090"/>
      <c r="Z43" s="1090"/>
      <c r="AA43" s="1090"/>
      <c r="AB43" s="1090"/>
      <c r="AC43" s="1090"/>
      <c r="AD43" s="1090"/>
      <c r="AE43" s="1090"/>
      <c r="AF43" s="1090"/>
      <c r="AG43" s="1090"/>
    </row>
    <row r="44" spans="2:39" hidden="1">
      <c r="R44" s="1084"/>
      <c r="S44" s="1084"/>
      <c r="T44" s="1084"/>
      <c r="U44" s="1084"/>
      <c r="V44" s="1084"/>
      <c r="W44" s="1084"/>
      <c r="X44" s="1090"/>
      <c r="Y44" s="1090"/>
      <c r="Z44" s="1090"/>
      <c r="AA44" s="1090"/>
      <c r="AB44" s="1090"/>
      <c r="AC44" s="1090"/>
      <c r="AD44" s="1090"/>
      <c r="AE44" s="1090"/>
      <c r="AF44" s="1090"/>
      <c r="AG44" s="1090"/>
    </row>
    <row r="45" spans="2:39" hidden="1">
      <c r="R45" s="1084"/>
      <c r="S45" s="1084"/>
      <c r="T45" s="1084"/>
      <c r="U45" s="1084"/>
      <c r="V45" s="1084"/>
      <c r="W45" s="1084"/>
      <c r="X45" s="1090"/>
      <c r="Y45" s="1090"/>
      <c r="Z45" s="1090"/>
      <c r="AA45" s="1090"/>
      <c r="AB45" s="1090"/>
      <c r="AC45" s="1090"/>
      <c r="AD45" s="1090"/>
      <c r="AE45" s="1090"/>
      <c r="AF45" s="1090"/>
      <c r="AG45" s="1090"/>
    </row>
    <row r="46" spans="2:39" hidden="1">
      <c r="R46" s="1084"/>
      <c r="S46" s="1084"/>
      <c r="T46" s="1084"/>
      <c r="U46" s="1084"/>
      <c r="V46" s="1084"/>
      <c r="W46" s="1084"/>
      <c r="X46" s="1090"/>
      <c r="Y46" s="1090"/>
      <c r="Z46" s="1090"/>
      <c r="AA46" s="1090"/>
      <c r="AB46" s="1090"/>
      <c r="AC46" s="1090"/>
      <c r="AD46" s="1090"/>
      <c r="AE46" s="1090"/>
      <c r="AF46" s="1090"/>
      <c r="AG46" s="1090"/>
    </row>
    <row r="47" spans="2:39" hidden="1">
      <c r="R47" s="1084"/>
      <c r="S47" s="1084"/>
      <c r="T47" s="1084"/>
      <c r="U47" s="1084"/>
      <c r="V47" s="1084"/>
      <c r="W47" s="1084"/>
      <c r="X47" s="1090"/>
      <c r="Y47" s="1090"/>
      <c r="Z47" s="1090"/>
      <c r="AA47" s="1090"/>
      <c r="AB47" s="1090"/>
      <c r="AC47" s="1090"/>
      <c r="AD47" s="1090"/>
      <c r="AE47" s="1090"/>
      <c r="AF47" s="1090"/>
      <c r="AG47" s="1090"/>
    </row>
    <row r="48" spans="2:39" hidden="1">
      <c r="R48" s="1084"/>
      <c r="S48" s="1084"/>
      <c r="T48" s="1084"/>
      <c r="U48" s="1084"/>
      <c r="V48" s="1084"/>
      <c r="W48" s="1084"/>
      <c r="X48" s="1090"/>
      <c r="Y48" s="1090"/>
      <c r="Z48" s="1090"/>
      <c r="AA48" s="1090"/>
      <c r="AB48" s="1090"/>
      <c r="AC48" s="1090"/>
      <c r="AD48" s="1090"/>
      <c r="AE48" s="1090"/>
      <c r="AF48" s="1090"/>
      <c r="AG48" s="1090"/>
    </row>
    <row r="49" spans="2:43" hidden="1">
      <c r="R49" s="1084"/>
      <c r="S49" s="1084"/>
      <c r="T49" s="1084"/>
      <c r="U49" s="1084"/>
      <c r="V49" s="1084"/>
      <c r="W49" s="1084"/>
      <c r="X49" s="1090"/>
      <c r="Y49" s="1090"/>
      <c r="Z49" s="1090"/>
      <c r="AA49" s="1090"/>
      <c r="AB49" s="1090"/>
      <c r="AC49" s="1090"/>
      <c r="AD49" s="1090"/>
      <c r="AE49" s="1090"/>
      <c r="AF49" s="1090"/>
      <c r="AG49" s="1090"/>
    </row>
    <row r="50" spans="2:43" hidden="1">
      <c r="R50" s="1084"/>
      <c r="S50" s="1084"/>
      <c r="T50" s="1084"/>
      <c r="U50" s="1084"/>
      <c r="V50" s="1084"/>
      <c r="W50" s="1084"/>
      <c r="X50" s="1090"/>
      <c r="Y50" s="1090"/>
      <c r="Z50" s="1090"/>
      <c r="AA50" s="1090"/>
      <c r="AB50" s="1090"/>
      <c r="AC50" s="1090"/>
      <c r="AD50" s="1090"/>
      <c r="AE50" s="1090"/>
      <c r="AF50" s="1090"/>
      <c r="AG50" s="1090"/>
    </row>
    <row r="51" spans="2:43" hidden="1">
      <c r="R51" s="1084"/>
      <c r="S51" s="1084"/>
      <c r="T51" s="1084"/>
      <c r="U51" s="1084"/>
      <c r="V51" s="1084"/>
      <c r="W51" s="1084"/>
      <c r="X51" s="1090"/>
      <c r="Y51" s="1090"/>
      <c r="Z51" s="1090"/>
      <c r="AA51" s="1090"/>
      <c r="AB51" s="1090"/>
      <c r="AC51" s="1090"/>
      <c r="AD51" s="1090"/>
      <c r="AE51" s="1090"/>
      <c r="AF51" s="1090"/>
      <c r="AG51" s="1090"/>
    </row>
    <row r="52" spans="2:43" hidden="1">
      <c r="R52" s="1084"/>
      <c r="S52" s="1084"/>
      <c r="T52" s="1084"/>
      <c r="U52" s="1084"/>
      <c r="V52" s="1084"/>
      <c r="W52" s="1084"/>
      <c r="X52" s="1090"/>
      <c r="Y52" s="1090"/>
      <c r="Z52" s="1090"/>
      <c r="AA52" s="1090"/>
      <c r="AB52" s="1090"/>
      <c r="AC52" s="1090"/>
      <c r="AD52" s="1090"/>
      <c r="AE52" s="1090"/>
      <c r="AF52" s="1090"/>
      <c r="AG52" s="1090"/>
    </row>
    <row r="53" spans="2:43" hidden="1">
      <c r="R53" s="1084"/>
      <c r="S53" s="1084"/>
      <c r="T53" s="1084"/>
      <c r="U53" s="1084"/>
      <c r="V53" s="1084"/>
      <c r="W53" s="1084"/>
      <c r="X53" s="1090"/>
      <c r="Y53" s="1090"/>
      <c r="Z53" s="1090"/>
      <c r="AA53" s="1090"/>
      <c r="AB53" s="1090"/>
      <c r="AC53" s="1090"/>
      <c r="AD53" s="1090"/>
      <c r="AE53" s="1090"/>
      <c r="AF53" s="1090"/>
      <c r="AG53" s="1090"/>
    </row>
    <row r="54" spans="2:43" hidden="1">
      <c r="R54" s="1084"/>
      <c r="S54" s="1084"/>
      <c r="T54" s="1084"/>
      <c r="U54" s="1084"/>
      <c r="V54" s="1084"/>
      <c r="W54" s="1084"/>
      <c r="X54" s="1090"/>
      <c r="Y54" s="1090"/>
      <c r="Z54" s="1090"/>
      <c r="AA54" s="1090"/>
      <c r="AB54" s="1090"/>
      <c r="AC54" s="1090"/>
      <c r="AD54" s="1090"/>
      <c r="AE54" s="1090"/>
      <c r="AF54" s="1090"/>
      <c r="AG54" s="1090"/>
    </row>
    <row r="55" spans="2:43" ht="15" hidden="1">
      <c r="B55" s="1970"/>
      <c r="C55" s="1976"/>
      <c r="D55" s="1976"/>
      <c r="E55" s="1976"/>
      <c r="F55" s="1976"/>
      <c r="G55" s="1976"/>
      <c r="H55" s="1976"/>
      <c r="I55" s="1976"/>
      <c r="J55" s="1976"/>
      <c r="K55" s="1976"/>
      <c r="L55" s="1976"/>
      <c r="M55" s="1976"/>
      <c r="N55" s="1976"/>
      <c r="O55" s="1976"/>
      <c r="P55" s="1976"/>
      <c r="Q55" s="1976"/>
      <c r="R55" s="1976"/>
      <c r="S55" s="1976"/>
      <c r="T55" s="1976"/>
      <c r="U55" s="1976"/>
      <c r="V55" s="1976"/>
      <c r="W55" s="1976"/>
      <c r="X55" s="1976"/>
      <c r="Y55" s="1976"/>
      <c r="Z55" s="1976"/>
      <c r="AA55" s="1090"/>
      <c r="AB55" s="1090"/>
      <c r="AC55" s="1090"/>
      <c r="AD55" s="1090"/>
      <c r="AE55" s="1090"/>
      <c r="AF55" s="1090"/>
      <c r="AG55" s="1090"/>
    </row>
    <row r="56" spans="2:43" ht="15" hidden="1">
      <c r="B56" s="1970"/>
      <c r="C56" s="1976"/>
      <c r="D56" s="1976"/>
      <c r="E56" s="1976"/>
      <c r="F56" s="1976"/>
      <c r="G56" s="1976"/>
      <c r="H56" s="1976"/>
      <c r="I56" s="1976"/>
      <c r="J56" s="1976"/>
      <c r="K56" s="1976"/>
      <c r="L56" s="1976"/>
      <c r="M56" s="1976"/>
      <c r="N56" s="1976"/>
      <c r="O56" s="1976"/>
      <c r="P56" s="1976"/>
      <c r="Q56" s="1976"/>
      <c r="R56" s="1976"/>
      <c r="S56" s="1976"/>
      <c r="T56" s="1976"/>
      <c r="U56" s="1976"/>
      <c r="V56" s="1976"/>
      <c r="W56" s="1976"/>
      <c r="X56" s="1976"/>
      <c r="Y56" s="1976"/>
      <c r="Z56" s="1976"/>
      <c r="AA56" s="1090"/>
      <c r="AB56" s="1090"/>
      <c r="AC56" s="1090"/>
      <c r="AD56" s="1090"/>
      <c r="AE56" s="1090"/>
      <c r="AF56" s="1090"/>
      <c r="AG56" s="1090"/>
    </row>
    <row r="57" spans="2:43" ht="15" hidden="1">
      <c r="B57" s="1970"/>
      <c r="C57" s="1976"/>
      <c r="D57" s="1976"/>
      <c r="E57" s="1976"/>
      <c r="F57" s="1976"/>
      <c r="G57" s="1976"/>
      <c r="H57" s="1976"/>
      <c r="I57" s="1976"/>
      <c r="J57" s="1976"/>
      <c r="K57" s="1976"/>
      <c r="L57" s="1976"/>
      <c r="M57" s="1976"/>
      <c r="N57" s="1976"/>
      <c r="O57" s="1976"/>
      <c r="P57" s="1976"/>
      <c r="Q57" s="1976"/>
      <c r="R57" s="1976"/>
      <c r="S57" s="1976"/>
      <c r="T57" s="1976"/>
      <c r="U57" s="1976"/>
      <c r="V57" s="1976"/>
      <c r="W57" s="1976"/>
      <c r="X57" s="1976"/>
      <c r="Y57" s="1976"/>
      <c r="Z57" s="1976"/>
      <c r="AA57" s="1090"/>
      <c r="AB57" s="1090"/>
      <c r="AC57" s="1090"/>
      <c r="AD57" s="1090"/>
      <c r="AE57" s="1090"/>
      <c r="AF57" s="1090"/>
      <c r="AG57" s="1090"/>
    </row>
    <row r="58" spans="2:43" hidden="1">
      <c r="R58" s="1084"/>
      <c r="S58" s="1084"/>
      <c r="T58" s="1084"/>
      <c r="U58" s="1084"/>
      <c r="V58" s="1084"/>
      <c r="W58" s="1084"/>
      <c r="X58" s="1090"/>
      <c r="Y58" s="1090"/>
      <c r="Z58" s="1090"/>
      <c r="AA58" s="1090"/>
      <c r="AB58" s="1090"/>
      <c r="AC58" s="1090"/>
      <c r="AD58" s="1090"/>
      <c r="AE58" s="1090"/>
      <c r="AF58" s="1090"/>
      <c r="AG58" s="1090"/>
    </row>
    <row r="59" spans="2:43">
      <c r="R59" s="1084"/>
      <c r="S59" s="1084"/>
      <c r="T59" s="1084"/>
      <c r="U59" s="1084"/>
      <c r="V59" s="1084"/>
      <c r="W59" s="1084"/>
      <c r="X59" s="1090"/>
      <c r="Y59" s="1090"/>
      <c r="Z59" s="1090"/>
      <c r="AA59" s="1090"/>
      <c r="AB59" s="1090"/>
      <c r="AC59" s="1090"/>
      <c r="AD59" s="1090"/>
      <c r="AE59" s="1090"/>
      <c r="AF59" s="1090"/>
      <c r="AG59" s="1090"/>
    </row>
    <row r="60" spans="2:43"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090"/>
    </row>
    <row r="61" spans="2:43" outlineLevel="1">
      <c r="B61" s="190" t="s">
        <v>465</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090"/>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501"/>
      <c r="Z62" s="1501"/>
      <c r="AA62" s="1501"/>
      <c r="AB62" s="1501"/>
      <c r="AC62" s="1501"/>
      <c r="AD62" s="1501"/>
      <c r="AE62" s="1501"/>
      <c r="AF62" s="1501"/>
      <c r="AG62" s="1090"/>
    </row>
    <row r="63" spans="2:43" outlineLevel="1">
      <c r="B63" s="165" t="s">
        <v>1870</v>
      </c>
      <c r="C63" s="165"/>
      <c r="D63" s="165"/>
      <c r="E63" s="167"/>
      <c r="F63" s="167"/>
      <c r="G63" s="167"/>
      <c r="H63" s="167"/>
      <c r="I63" s="167"/>
      <c r="J63" s="167"/>
      <c r="K63" s="167"/>
      <c r="L63" s="167"/>
      <c r="M63" s="167"/>
      <c r="N63" s="167"/>
      <c r="O63" s="197"/>
      <c r="P63" s="199"/>
      <c r="Q63" s="199"/>
      <c r="R63" s="199"/>
      <c r="S63" s="199"/>
      <c r="T63" s="199"/>
      <c r="U63" s="199"/>
      <c r="V63" s="199"/>
      <c r="W63" s="199"/>
      <c r="X63" s="202">
        <v>2001</v>
      </c>
      <c r="Y63" s="1082">
        <v>2002</v>
      </c>
      <c r="Z63" s="202">
        <v>2003</v>
      </c>
      <c r="AA63" s="1082">
        <v>2004</v>
      </c>
      <c r="AB63" s="202">
        <v>2005</v>
      </c>
      <c r="AC63" s="1082">
        <v>2006</v>
      </c>
      <c r="AD63" s="202">
        <v>2007</v>
      </c>
      <c r="AE63" s="1082">
        <v>2008</v>
      </c>
      <c r="AF63" s="202">
        <v>2009</v>
      </c>
      <c r="AG63" s="1082">
        <v>2010</v>
      </c>
      <c r="AH63" s="1082">
        <v>2011</v>
      </c>
      <c r="AI63" s="1082">
        <v>2012</v>
      </c>
      <c r="AJ63" s="1082">
        <v>2013</v>
      </c>
      <c r="AK63" s="1082">
        <v>2014</v>
      </c>
      <c r="AL63" s="1082">
        <v>2015</v>
      </c>
      <c r="AM63" s="1082">
        <v>2016</v>
      </c>
      <c r="AN63" s="1082">
        <v>2017</v>
      </c>
      <c r="AO63" s="1082">
        <v>2018</v>
      </c>
      <c r="AP63" s="1082">
        <v>2019</v>
      </c>
      <c r="AQ63" s="1082">
        <v>2020</v>
      </c>
    </row>
    <row r="64" spans="2:43" outlineLevel="1">
      <c r="B64" s="165" t="s">
        <v>1871</v>
      </c>
      <c r="C64" s="165"/>
      <c r="D64" s="165"/>
      <c r="E64" s="167"/>
      <c r="F64" s="167"/>
      <c r="G64" s="167"/>
      <c r="H64" s="167"/>
      <c r="I64" s="167"/>
      <c r="J64" s="167"/>
      <c r="K64" s="167"/>
      <c r="L64" s="167"/>
      <c r="M64" s="167"/>
      <c r="N64" s="167"/>
      <c r="O64" s="197"/>
      <c r="P64" s="199"/>
      <c r="Q64" s="199"/>
      <c r="R64" s="199"/>
      <c r="S64" s="199"/>
      <c r="T64" s="199"/>
      <c r="U64" s="199"/>
      <c r="V64" s="199"/>
      <c r="W64" s="199"/>
      <c r="X64" s="75"/>
      <c r="Y64" s="75"/>
      <c r="Z64" s="75"/>
      <c r="AA64" s="75"/>
      <c r="AB64" s="75"/>
      <c r="AC64" s="75"/>
      <c r="AD64" s="75"/>
      <c r="AE64" s="75"/>
      <c r="AF64" s="75"/>
      <c r="AG64" s="75"/>
      <c r="AH64" s="75"/>
    </row>
    <row r="65" spans="2:43" outlineLevel="1">
      <c r="B65" s="204" t="s">
        <v>28</v>
      </c>
      <c r="C65" s="165" t="s">
        <v>29</v>
      </c>
      <c r="D65" s="165"/>
      <c r="E65" s="167"/>
      <c r="F65" s="167"/>
      <c r="G65" s="167"/>
      <c r="H65" s="167"/>
      <c r="I65" s="167"/>
      <c r="J65" s="167"/>
      <c r="K65" s="167"/>
      <c r="L65" s="167"/>
      <c r="M65" s="167"/>
      <c r="N65" s="167"/>
      <c r="O65" s="197"/>
      <c r="P65" s="199"/>
      <c r="Q65" s="199"/>
      <c r="R65" s="199"/>
      <c r="S65" s="199"/>
      <c r="T65" s="199"/>
      <c r="U65" s="199"/>
      <c r="V65" s="199"/>
      <c r="W65" s="199"/>
      <c r="X65" s="166">
        <v>55639.391000000003</v>
      </c>
      <c r="Y65" s="166">
        <v>60602.387999999999</v>
      </c>
      <c r="Z65" s="166">
        <v>64730.25</v>
      </c>
      <c r="AA65" s="166">
        <v>68387.270999999993</v>
      </c>
      <c r="AB65" s="166">
        <v>74312.748000000007</v>
      </c>
      <c r="AC65" s="166">
        <v>81029.222999999998</v>
      </c>
      <c r="AD65" s="166">
        <v>89055.86</v>
      </c>
      <c r="AE65" s="166">
        <v>90610.453999999998</v>
      </c>
      <c r="AF65" s="166">
        <v>80141.445999999996</v>
      </c>
      <c r="AG65" s="166">
        <v>79222.534</v>
      </c>
      <c r="AH65" s="166">
        <v>78975.197</v>
      </c>
      <c r="AI65" s="166">
        <v>79331.843999999997</v>
      </c>
      <c r="AJ65" s="166">
        <v>80630.562000000005</v>
      </c>
      <c r="AK65" s="166">
        <v>83398.103000000003</v>
      </c>
      <c r="AL65" s="166">
        <v>86507.414000000004</v>
      </c>
      <c r="AM65" s="166">
        <v>91159.857999999993</v>
      </c>
      <c r="AN65" s="166">
        <v>93914.752999999997</v>
      </c>
      <c r="AO65" s="166">
        <v>99338.875</v>
      </c>
      <c r="AP65" s="166">
        <v>104587.745</v>
      </c>
      <c r="AQ65" s="166">
        <v>93418.554999999993</v>
      </c>
    </row>
    <row r="66" spans="2:43" ht="5.0999999999999996" customHeight="1" outlineLevel="1">
      <c r="B66" s="75"/>
      <c r="C66" s="165"/>
      <c r="D66" s="165"/>
      <c r="E66" s="167"/>
      <c r="F66" s="167"/>
      <c r="G66" s="167"/>
      <c r="H66" s="167"/>
      <c r="I66" s="167"/>
      <c r="J66" s="167"/>
      <c r="K66" s="167"/>
      <c r="L66" s="167"/>
      <c r="M66" s="167"/>
      <c r="N66" s="167"/>
      <c r="O66" s="197"/>
      <c r="P66" s="199"/>
      <c r="Q66" s="199"/>
      <c r="R66" s="199"/>
      <c r="S66" s="199"/>
      <c r="T66" s="199"/>
      <c r="U66" s="199"/>
      <c r="V66" s="199"/>
      <c r="W66" s="199"/>
      <c r="X66" s="166"/>
      <c r="Y66" s="166"/>
      <c r="Z66" s="166"/>
      <c r="AA66" s="166"/>
      <c r="AB66" s="166"/>
      <c r="AC66" s="166"/>
      <c r="AD66" s="166"/>
      <c r="AE66" s="166"/>
      <c r="AF66" s="166"/>
      <c r="AG66" s="166"/>
      <c r="AH66" s="166"/>
      <c r="AI66" s="166"/>
      <c r="AJ66" s="166"/>
      <c r="AK66" s="166"/>
      <c r="AL66" s="166"/>
      <c r="AM66" s="166"/>
      <c r="AN66" s="166"/>
      <c r="AO66" s="166"/>
      <c r="AP66" s="166"/>
      <c r="AQ66" s="166"/>
    </row>
    <row r="67" spans="2:43" outlineLevel="1">
      <c r="B67" s="204" t="s">
        <v>30</v>
      </c>
      <c r="C67" s="165" t="s">
        <v>31</v>
      </c>
      <c r="D67" s="165"/>
      <c r="E67" s="167"/>
      <c r="F67" s="167"/>
      <c r="G67" s="167"/>
      <c r="H67" s="167"/>
      <c r="I67" s="167"/>
      <c r="J67" s="167"/>
      <c r="K67" s="167"/>
      <c r="L67" s="167"/>
      <c r="M67" s="167"/>
      <c r="N67" s="167"/>
      <c r="O67" s="197"/>
      <c r="P67" s="199"/>
      <c r="Q67" s="199"/>
      <c r="R67" s="199"/>
      <c r="S67" s="199"/>
      <c r="T67" s="199"/>
      <c r="U67" s="199"/>
      <c r="V67" s="199"/>
      <c r="W67" s="199"/>
      <c r="X67" s="166">
        <v>63994.510999999999</v>
      </c>
      <c r="Y67" s="166">
        <v>70121.611000000004</v>
      </c>
      <c r="Z67" s="166">
        <v>74764.063000000009</v>
      </c>
      <c r="AA67" s="166">
        <v>79154.255000000005</v>
      </c>
      <c r="AB67" s="166">
        <v>85093.104000000007</v>
      </c>
      <c r="AC67" s="166">
        <v>92870.895000000004</v>
      </c>
      <c r="AD67" s="166">
        <v>102352.556</v>
      </c>
      <c r="AE67" s="166">
        <v>104336.995</v>
      </c>
      <c r="AF67" s="166">
        <v>93401.696999999986</v>
      </c>
      <c r="AG67" s="166">
        <v>91174.486000000004</v>
      </c>
      <c r="AH67" s="166">
        <v>91190.311000000002</v>
      </c>
      <c r="AI67" s="166">
        <v>91560.008999999991</v>
      </c>
      <c r="AJ67" s="166">
        <v>92457.576000000001</v>
      </c>
      <c r="AK67" s="166">
        <v>96242.004000000015</v>
      </c>
      <c r="AL67" s="166">
        <v>99916.448000000004</v>
      </c>
      <c r="AM67" s="166">
        <v>105592.54699999999</v>
      </c>
      <c r="AN67" s="166">
        <v>109377.326</v>
      </c>
      <c r="AO67" s="166">
        <v>116027.42299999998</v>
      </c>
      <c r="AP67" s="166">
        <v>123516.08199999999</v>
      </c>
      <c r="AQ67" s="166">
        <v>116062.22600000001</v>
      </c>
    </row>
    <row r="68" spans="2:43" ht="5.0999999999999996" customHeight="1" outlineLevel="1">
      <c r="B68" s="75"/>
      <c r="C68" s="165"/>
      <c r="D68" s="165"/>
      <c r="E68" s="167"/>
      <c r="F68" s="167"/>
      <c r="G68" s="167"/>
      <c r="H68" s="167"/>
      <c r="I68" s="167"/>
      <c r="J68" s="167"/>
      <c r="K68" s="167"/>
      <c r="L68" s="167"/>
      <c r="M68" s="167"/>
      <c r="N68" s="167"/>
      <c r="O68" s="197"/>
      <c r="P68" s="199"/>
      <c r="Q68" s="199"/>
      <c r="R68" s="199"/>
      <c r="S68" s="199"/>
      <c r="T68" s="199"/>
      <c r="U68" s="199"/>
      <c r="V68" s="199"/>
      <c r="W68" s="199"/>
      <c r="X68" s="75"/>
      <c r="Y68" s="75"/>
      <c r="Z68" s="75"/>
      <c r="AA68" s="75"/>
      <c r="AB68" s="75"/>
      <c r="AC68" s="75"/>
      <c r="AD68" s="75"/>
      <c r="AE68" s="75"/>
      <c r="AF68" s="75"/>
      <c r="AG68" s="75"/>
      <c r="AH68" s="75"/>
      <c r="AI68" s="75"/>
      <c r="AJ68" s="75"/>
      <c r="AK68" s="75"/>
      <c r="AL68" s="75"/>
      <c r="AM68" s="75"/>
      <c r="AN68" s="75"/>
      <c r="AO68" s="75"/>
      <c r="AP68" s="75"/>
      <c r="AQ68" s="75"/>
    </row>
    <row r="69" spans="2:43" outlineLevel="1">
      <c r="B69" s="204" t="s">
        <v>32</v>
      </c>
      <c r="C69" s="165" t="s">
        <v>33</v>
      </c>
      <c r="D69" s="165"/>
      <c r="E69" s="167"/>
      <c r="F69" s="167"/>
      <c r="G69" s="167"/>
      <c r="H69" s="167"/>
      <c r="I69" s="167"/>
      <c r="J69" s="167"/>
      <c r="K69" s="167"/>
      <c r="L69" s="167"/>
      <c r="M69" s="167"/>
      <c r="N69" s="167"/>
      <c r="O69" s="197"/>
      <c r="P69" s="199"/>
      <c r="Q69" s="199"/>
      <c r="R69" s="199"/>
      <c r="S69" s="199"/>
      <c r="T69" s="199"/>
      <c r="U69" s="199"/>
      <c r="V69" s="199"/>
      <c r="W69" s="199"/>
      <c r="X69" s="166">
        <f>SUM(X71:X72)</f>
        <v>12183.757000000001</v>
      </c>
      <c r="Y69" s="166">
        <f t="shared" ref="Y69:AQ69" si="14">SUM(Y71:Y72)</f>
        <v>13712.654</v>
      </c>
      <c r="Z69" s="166">
        <f t="shared" si="14"/>
        <v>14543.87</v>
      </c>
      <c r="AA69" s="166">
        <f t="shared" si="14"/>
        <v>16044.614000000001</v>
      </c>
      <c r="AB69" s="166">
        <f t="shared" si="14"/>
        <v>17768.079000000002</v>
      </c>
      <c r="AC69" s="166">
        <f t="shared" si="14"/>
        <v>19424.787</v>
      </c>
      <c r="AD69" s="166">
        <f t="shared" si="14"/>
        <v>20480.658000000003</v>
      </c>
      <c r="AE69" s="166">
        <f t="shared" si="14"/>
        <v>18478.473000000002</v>
      </c>
      <c r="AF69" s="166">
        <f t="shared" si="14"/>
        <v>15194.236000000001</v>
      </c>
      <c r="AG69" s="166">
        <f t="shared" si="14"/>
        <v>14926.088</v>
      </c>
      <c r="AH69" s="166">
        <f t="shared" si="14"/>
        <v>14609.405000000001</v>
      </c>
      <c r="AI69" s="166">
        <f t="shared" si="14"/>
        <v>14992.474</v>
      </c>
      <c r="AJ69" s="166">
        <f t="shared" si="14"/>
        <v>15385.168000000001</v>
      </c>
      <c r="AK69" s="166">
        <f t="shared" si="14"/>
        <v>16702.874000000003</v>
      </c>
      <c r="AL69" s="166">
        <f t="shared" si="14"/>
        <v>17304.998</v>
      </c>
      <c r="AM69" s="166">
        <f t="shared" si="14"/>
        <v>18368.584000000003</v>
      </c>
      <c r="AN69" s="166">
        <f t="shared" si="14"/>
        <v>19223.407999999999</v>
      </c>
      <c r="AO69" s="166">
        <f t="shared" si="14"/>
        <v>19662.203999999998</v>
      </c>
      <c r="AP69" s="166">
        <f t="shared" si="14"/>
        <v>21254.861000000001</v>
      </c>
      <c r="AQ69" s="166">
        <f t="shared" si="14"/>
        <v>18099.518</v>
      </c>
    </row>
    <row r="70" spans="2:43" ht="5.0999999999999996" customHeight="1" outlineLevel="1">
      <c r="B70" s="75"/>
      <c r="C70" s="165"/>
      <c r="D70" s="165"/>
      <c r="E70" s="167"/>
      <c r="F70" s="167"/>
      <c r="G70" s="167"/>
      <c r="H70" s="167"/>
      <c r="I70" s="167"/>
      <c r="J70" s="167"/>
      <c r="K70" s="167"/>
      <c r="L70" s="167"/>
      <c r="M70" s="167"/>
      <c r="N70" s="167"/>
      <c r="O70" s="197"/>
      <c r="P70" s="199"/>
      <c r="Q70" s="199"/>
      <c r="R70" s="199"/>
      <c r="S70" s="199"/>
      <c r="T70" s="199"/>
      <c r="U70" s="199"/>
      <c r="V70" s="199"/>
      <c r="W70" s="199"/>
      <c r="X70" s="75"/>
      <c r="Y70" s="75"/>
      <c r="Z70" s="75"/>
      <c r="AA70" s="75"/>
      <c r="AB70" s="75"/>
      <c r="AC70" s="75"/>
      <c r="AD70" s="75"/>
      <c r="AE70" s="75"/>
      <c r="AF70" s="75"/>
      <c r="AG70" s="75"/>
      <c r="AH70" s="75"/>
      <c r="AI70" s="75"/>
      <c r="AJ70" s="75"/>
      <c r="AK70" s="75"/>
      <c r="AL70" s="75"/>
      <c r="AM70" s="75"/>
      <c r="AN70" s="75"/>
      <c r="AO70" s="75"/>
      <c r="AP70" s="75"/>
      <c r="AQ70" s="75"/>
    </row>
    <row r="71" spans="2:43" outlineLevel="1">
      <c r="B71" s="75"/>
      <c r="C71" s="165" t="s">
        <v>34</v>
      </c>
      <c r="D71" s="165"/>
      <c r="E71" s="167"/>
      <c r="F71" s="167"/>
      <c r="G71" s="167"/>
      <c r="H71" s="167"/>
      <c r="I71" s="167"/>
      <c r="J71" s="167"/>
      <c r="K71" s="167"/>
      <c r="L71" s="167"/>
      <c r="M71" s="167"/>
      <c r="N71" s="167"/>
      <c r="O71" s="197"/>
      <c r="P71" s="199"/>
      <c r="Q71" s="199"/>
      <c r="R71" s="199"/>
      <c r="S71" s="199"/>
      <c r="T71" s="199"/>
      <c r="U71" s="199"/>
      <c r="V71" s="199"/>
      <c r="W71" s="199"/>
      <c r="X71" s="166">
        <v>7995.53</v>
      </c>
      <c r="Y71" s="166">
        <v>9133.77</v>
      </c>
      <c r="Z71" s="166">
        <v>9807.880000000001</v>
      </c>
      <c r="AA71" s="166">
        <v>10986.09</v>
      </c>
      <c r="AB71" s="166">
        <v>12373.29</v>
      </c>
      <c r="AC71" s="166">
        <v>13745.56</v>
      </c>
      <c r="AD71" s="166">
        <v>14355.37</v>
      </c>
      <c r="AE71" s="166">
        <v>13084.42</v>
      </c>
      <c r="AF71" s="166">
        <v>10324.469999999999</v>
      </c>
      <c r="AG71" s="166">
        <v>10067.17</v>
      </c>
      <c r="AH71" s="166">
        <v>9755.1</v>
      </c>
      <c r="AI71" s="166">
        <v>10219.26</v>
      </c>
      <c r="AJ71" s="166">
        <v>10371.94</v>
      </c>
      <c r="AK71" s="166">
        <v>11527.480000000001</v>
      </c>
      <c r="AL71" s="166">
        <v>11831</v>
      </c>
      <c r="AM71" s="166">
        <v>12602.52</v>
      </c>
      <c r="AN71" s="166">
        <v>13059.928</v>
      </c>
      <c r="AO71" s="166">
        <v>14175.153999999999</v>
      </c>
      <c r="AP71" s="166">
        <v>15281.091</v>
      </c>
      <c r="AQ71" s="166">
        <v>12629.795</v>
      </c>
    </row>
    <row r="72" spans="2:43" outlineLevel="1">
      <c r="B72" s="75"/>
      <c r="C72" s="165" t="s">
        <v>35</v>
      </c>
      <c r="D72" s="165"/>
      <c r="E72" s="167"/>
      <c r="F72" s="167"/>
      <c r="G72" s="167"/>
      <c r="H72" s="167"/>
      <c r="I72" s="167"/>
      <c r="J72" s="167"/>
      <c r="K72" s="167"/>
      <c r="L72" s="167"/>
      <c r="M72" s="167"/>
      <c r="N72" s="167"/>
      <c r="O72" s="197"/>
      <c r="P72" s="199"/>
      <c r="Q72" s="199"/>
      <c r="R72" s="199"/>
      <c r="S72" s="199"/>
      <c r="T72" s="199"/>
      <c r="U72" s="199"/>
      <c r="V72" s="199"/>
      <c r="W72" s="199"/>
      <c r="X72" s="166">
        <v>4188.2270000000008</v>
      </c>
      <c r="Y72" s="166">
        <v>4578.884</v>
      </c>
      <c r="Z72" s="166">
        <v>4735.99</v>
      </c>
      <c r="AA72" s="166">
        <v>5058.5240000000003</v>
      </c>
      <c r="AB72" s="166">
        <v>5394.7890000000007</v>
      </c>
      <c r="AC72" s="166">
        <v>5679.2269999999999</v>
      </c>
      <c r="AD72" s="166">
        <v>6125.2880000000005</v>
      </c>
      <c r="AE72" s="166">
        <v>5394.0530000000008</v>
      </c>
      <c r="AF72" s="166">
        <v>4869.7660000000005</v>
      </c>
      <c r="AG72" s="166">
        <v>4858.9179999999997</v>
      </c>
      <c r="AH72" s="166">
        <v>4854.3050000000003</v>
      </c>
      <c r="AI72" s="166">
        <v>4773.2139999999999</v>
      </c>
      <c r="AJ72" s="166">
        <v>5013.2280000000001</v>
      </c>
      <c r="AK72" s="166">
        <v>5175.3940000000002</v>
      </c>
      <c r="AL72" s="166">
        <v>5473.9979999999996</v>
      </c>
      <c r="AM72" s="166">
        <v>5766.0640000000003</v>
      </c>
      <c r="AN72" s="166">
        <v>6163.48</v>
      </c>
      <c r="AO72" s="166">
        <v>5487.05</v>
      </c>
      <c r="AP72" s="166">
        <v>5973.77</v>
      </c>
      <c r="AQ72" s="166">
        <v>5469.723</v>
      </c>
    </row>
    <row r="73" spans="2:43" ht="5.0999999999999996" customHeight="1" outlineLevel="1">
      <c r="B73" s="75"/>
      <c r="C73" s="165"/>
      <c r="D73" s="165"/>
      <c r="E73" s="167"/>
      <c r="F73" s="167"/>
      <c r="G73" s="167"/>
      <c r="H73" s="167"/>
      <c r="I73" s="167"/>
      <c r="J73" s="167"/>
      <c r="K73" s="167"/>
      <c r="L73" s="167"/>
      <c r="M73" s="167"/>
      <c r="N73" s="167"/>
      <c r="O73" s="197"/>
      <c r="P73" s="199"/>
      <c r="Q73" s="199"/>
      <c r="R73" s="199"/>
      <c r="S73" s="199"/>
      <c r="T73" s="199"/>
      <c r="U73" s="199"/>
      <c r="V73" s="199"/>
      <c r="W73" s="199"/>
      <c r="X73" s="166"/>
      <c r="Y73" s="166"/>
      <c r="Z73" s="166"/>
      <c r="AA73" s="166"/>
      <c r="AB73" s="166"/>
      <c r="AC73" s="166"/>
      <c r="AD73" s="166"/>
      <c r="AE73" s="166"/>
      <c r="AF73" s="166"/>
      <c r="AG73" s="166"/>
      <c r="AH73" s="166"/>
      <c r="AI73" s="166"/>
      <c r="AJ73" s="166"/>
      <c r="AK73" s="166"/>
      <c r="AL73" s="166"/>
      <c r="AM73" s="166"/>
      <c r="AN73" s="166"/>
      <c r="AO73" s="166"/>
      <c r="AP73" s="166"/>
      <c r="AQ73" s="166"/>
    </row>
    <row r="74" spans="2:43" outlineLevel="1">
      <c r="B74" s="204" t="s">
        <v>36</v>
      </c>
      <c r="C74" s="165" t="s">
        <v>37</v>
      </c>
      <c r="D74" s="165"/>
      <c r="E74" s="167"/>
      <c r="F74" s="167"/>
      <c r="G74" s="167"/>
      <c r="H74" s="167"/>
      <c r="I74" s="167"/>
      <c r="J74" s="167"/>
      <c r="K74" s="167"/>
      <c r="L74" s="167"/>
      <c r="M74" s="167"/>
      <c r="N74" s="167"/>
      <c r="O74" s="197"/>
      <c r="P74" s="199"/>
      <c r="Q74" s="199"/>
      <c r="R74" s="199"/>
      <c r="S74" s="199"/>
      <c r="T74" s="199"/>
      <c r="U74" s="199"/>
      <c r="V74" s="199"/>
      <c r="W74" s="199"/>
      <c r="X74" s="166">
        <v>12451.623</v>
      </c>
      <c r="Y74" s="166">
        <v>13942.143</v>
      </c>
      <c r="Z74" s="166">
        <v>14766.152999999998</v>
      </c>
      <c r="AA74" s="166">
        <v>16279.394</v>
      </c>
      <c r="AB74" s="166">
        <v>18332.572</v>
      </c>
      <c r="AC74" s="166">
        <v>19968.09</v>
      </c>
      <c r="AD74" s="166">
        <v>20982.469999999998</v>
      </c>
      <c r="AE74" s="166">
        <v>18955.350999999999</v>
      </c>
      <c r="AF74" s="166">
        <v>15562.055</v>
      </c>
      <c r="AG74" s="166">
        <v>15319.098</v>
      </c>
      <c r="AH74" s="166">
        <v>14960.654999999999</v>
      </c>
      <c r="AI74" s="166">
        <v>15411.4</v>
      </c>
      <c r="AJ74" s="166">
        <v>15788.717999999999</v>
      </c>
      <c r="AK74" s="166">
        <v>17299.226999999999</v>
      </c>
      <c r="AL74" s="166">
        <v>18035.900999999998</v>
      </c>
      <c r="AM74" s="166">
        <v>19037.541000000001</v>
      </c>
      <c r="AN74" s="166">
        <v>20080.272999999997</v>
      </c>
      <c r="AO74" s="166">
        <v>20649.707999999999</v>
      </c>
      <c r="AP74" s="166">
        <v>22272.923999999999</v>
      </c>
      <c r="AQ74" s="166">
        <v>19059.464</v>
      </c>
    </row>
    <row r="75" spans="2:43" ht="5.0999999999999996" customHeight="1" outlineLevel="1">
      <c r="B75" s="75"/>
      <c r="C75" s="165"/>
      <c r="D75" s="165"/>
      <c r="E75" s="167"/>
      <c r="F75" s="167"/>
      <c r="G75" s="167"/>
      <c r="H75" s="167"/>
      <c r="I75" s="167"/>
      <c r="J75" s="167"/>
      <c r="K75" s="167"/>
      <c r="L75" s="167"/>
      <c r="M75" s="167"/>
      <c r="N75" s="167"/>
      <c r="O75" s="197"/>
      <c r="P75" s="199"/>
      <c r="Q75" s="199"/>
      <c r="R75" s="199"/>
      <c r="S75" s="199"/>
      <c r="T75" s="199"/>
      <c r="U75" s="199"/>
      <c r="V75" s="199"/>
      <c r="W75" s="199"/>
      <c r="X75" s="166"/>
      <c r="Y75" s="166"/>
      <c r="Z75" s="166"/>
      <c r="AA75" s="166"/>
      <c r="AB75" s="166"/>
      <c r="AC75" s="166"/>
      <c r="AD75" s="166"/>
      <c r="AE75" s="166"/>
      <c r="AF75" s="166"/>
      <c r="AG75" s="166"/>
      <c r="AH75" s="166"/>
      <c r="AI75" s="166"/>
      <c r="AJ75" s="166"/>
      <c r="AK75" s="166"/>
      <c r="AL75" s="166"/>
      <c r="AM75" s="166"/>
      <c r="AN75" s="166"/>
      <c r="AO75" s="166"/>
      <c r="AP75" s="166"/>
      <c r="AQ75" s="166"/>
    </row>
    <row r="76" spans="2:43" outlineLevel="1">
      <c r="B76" s="204" t="s">
        <v>38</v>
      </c>
      <c r="C76" s="165" t="s">
        <v>39</v>
      </c>
      <c r="D76" s="165"/>
      <c r="E76" s="167"/>
      <c r="F76" s="167"/>
      <c r="G76" s="167"/>
      <c r="H76" s="167"/>
      <c r="I76" s="167"/>
      <c r="J76" s="167"/>
      <c r="K76" s="167"/>
      <c r="L76" s="167"/>
      <c r="M76" s="167"/>
      <c r="N76" s="167"/>
      <c r="O76" s="197"/>
      <c r="P76" s="199"/>
      <c r="Q76" s="199"/>
      <c r="R76" s="199"/>
      <c r="S76" s="199"/>
      <c r="T76" s="199"/>
      <c r="U76" s="199"/>
      <c r="V76" s="199"/>
      <c r="W76" s="199"/>
      <c r="X76" s="166">
        <v>13094.915999999999</v>
      </c>
      <c r="Y76" s="166">
        <v>14620.32</v>
      </c>
      <c r="Z76" s="166">
        <v>15558.400000000001</v>
      </c>
      <c r="AA76" s="166">
        <v>17207.453999999998</v>
      </c>
      <c r="AB76" s="166">
        <v>19347.740000000002</v>
      </c>
      <c r="AC76" s="166">
        <v>21001.4</v>
      </c>
      <c r="AD76" s="166">
        <v>22082.18</v>
      </c>
      <c r="AE76" s="166">
        <v>20223.521000000001</v>
      </c>
      <c r="AF76" s="166">
        <v>16806.688000000002</v>
      </c>
      <c r="AG76" s="166">
        <v>16618.907999999999</v>
      </c>
      <c r="AH76" s="166">
        <v>16330.432999999999</v>
      </c>
      <c r="AI76" s="166">
        <v>16788.518</v>
      </c>
      <c r="AJ76" s="166">
        <v>17320.855000000003</v>
      </c>
      <c r="AK76" s="166">
        <v>18991.262999999999</v>
      </c>
      <c r="AL76" s="166">
        <v>20013.147000000001</v>
      </c>
      <c r="AM76" s="166">
        <v>20984.884000000002</v>
      </c>
      <c r="AN76" s="166">
        <v>22076.056999999997</v>
      </c>
      <c r="AO76" s="166">
        <v>22616.821</v>
      </c>
      <c r="AP76" s="166">
        <v>24088.135000000002</v>
      </c>
      <c r="AQ76" s="166">
        <v>20912.013999999999</v>
      </c>
    </row>
    <row r="77" spans="2:43" outlineLevel="1">
      <c r="B77" s="204"/>
      <c r="C77" s="165"/>
      <c r="D77" s="165"/>
      <c r="E77" s="167"/>
      <c r="F77" s="167"/>
      <c r="G77" s="167"/>
      <c r="H77" s="167"/>
      <c r="I77" s="167"/>
      <c r="J77" s="167"/>
      <c r="K77" s="167"/>
      <c r="L77" s="167"/>
      <c r="M77" s="167"/>
      <c r="N77" s="167"/>
      <c r="O77" s="197"/>
      <c r="P77" s="199"/>
      <c r="Q77" s="199"/>
      <c r="R77" s="199"/>
      <c r="S77" s="199"/>
      <c r="T77" s="199"/>
      <c r="U77" s="199"/>
      <c r="V77" s="199"/>
      <c r="W77" s="199"/>
      <c r="X77" s="166"/>
      <c r="Y77" s="166"/>
      <c r="Z77" s="166"/>
      <c r="AA77" s="166"/>
      <c r="AB77" s="166"/>
      <c r="AC77" s="166"/>
      <c r="AD77" s="166"/>
      <c r="AE77" s="166"/>
      <c r="AF77" s="166"/>
      <c r="AG77" s="166"/>
      <c r="AH77" s="166"/>
      <c r="AI77" s="166"/>
      <c r="AJ77" s="166"/>
      <c r="AK77" s="166"/>
      <c r="AL77" s="166"/>
      <c r="AM77" s="166"/>
      <c r="AN77" s="166"/>
      <c r="AO77" s="166"/>
      <c r="AP77" s="166"/>
      <c r="AQ77" s="166"/>
    </row>
    <row r="78" spans="2:43" outlineLevel="1">
      <c r="B78" s="165" t="s">
        <v>40</v>
      </c>
      <c r="D78" s="165"/>
      <c r="E78" s="167"/>
      <c r="F78" s="167"/>
      <c r="G78" s="167"/>
      <c r="H78" s="167"/>
      <c r="I78" s="167"/>
      <c r="J78" s="167"/>
      <c r="K78" s="167"/>
      <c r="L78" s="167"/>
      <c r="M78" s="167"/>
      <c r="N78" s="167"/>
      <c r="O78" s="197"/>
      <c r="P78" s="199"/>
      <c r="Q78" s="199"/>
      <c r="R78" s="199"/>
      <c r="S78" s="199"/>
      <c r="T78" s="199"/>
      <c r="U78" s="199"/>
      <c r="V78" s="199"/>
      <c r="W78" s="199"/>
      <c r="X78" s="166"/>
      <c r="Y78" s="166"/>
      <c r="Z78" s="166"/>
      <c r="AA78" s="166"/>
      <c r="AB78" s="166"/>
      <c r="AC78" s="166"/>
      <c r="AD78" s="166"/>
      <c r="AE78" s="166"/>
      <c r="AF78" s="166"/>
      <c r="AG78" s="166"/>
      <c r="AH78" s="166"/>
      <c r="AI78" s="166"/>
      <c r="AJ78" s="166"/>
      <c r="AK78" s="166"/>
      <c r="AL78" s="166"/>
      <c r="AM78" s="166"/>
      <c r="AN78" s="166"/>
      <c r="AO78" s="166"/>
      <c r="AP78" s="166"/>
      <c r="AQ78" s="166"/>
    </row>
    <row r="79" spans="2:43" ht="6" customHeight="1" outlineLevel="1">
      <c r="B79" s="75"/>
      <c r="C79" s="165"/>
      <c r="D79" s="165"/>
      <c r="E79" s="167"/>
      <c r="F79" s="167"/>
      <c r="G79" s="167"/>
      <c r="H79" s="167"/>
      <c r="I79" s="167"/>
      <c r="J79" s="167"/>
      <c r="K79" s="167"/>
      <c r="L79" s="167"/>
      <c r="M79" s="167"/>
      <c r="N79" s="167"/>
      <c r="O79" s="197"/>
      <c r="P79" s="199"/>
      <c r="Q79" s="199"/>
      <c r="R79" s="199"/>
      <c r="S79" s="199"/>
      <c r="T79" s="199"/>
      <c r="U79" s="199"/>
      <c r="V79" s="199"/>
      <c r="W79" s="199"/>
      <c r="X79" s="166"/>
      <c r="Y79" s="166"/>
      <c r="Z79" s="166"/>
      <c r="AA79" s="166"/>
      <c r="AB79" s="166"/>
      <c r="AC79" s="166"/>
      <c r="AD79" s="166"/>
      <c r="AE79" s="166"/>
      <c r="AF79" s="166"/>
      <c r="AG79" s="166"/>
      <c r="AH79" s="166"/>
      <c r="AI79" s="166"/>
      <c r="AJ79" s="166"/>
      <c r="AK79" s="166"/>
      <c r="AL79" s="166"/>
      <c r="AM79" s="166"/>
      <c r="AN79" s="166"/>
      <c r="AO79" s="166"/>
      <c r="AP79" s="166"/>
      <c r="AQ79" s="166"/>
    </row>
    <row r="80" spans="2:43" outlineLevel="1">
      <c r="B80" s="205" t="s">
        <v>41</v>
      </c>
      <c r="C80" s="206" t="s">
        <v>42</v>
      </c>
      <c r="D80" s="206"/>
      <c r="E80" s="167"/>
      <c r="F80" s="167"/>
      <c r="G80" s="167"/>
      <c r="H80" s="167"/>
      <c r="I80" s="167"/>
      <c r="J80" s="167"/>
      <c r="K80" s="167"/>
      <c r="L80" s="167"/>
      <c r="M80" s="167"/>
      <c r="N80" s="167"/>
      <c r="O80" s="197"/>
      <c r="P80" s="199"/>
      <c r="Q80" s="199"/>
      <c r="R80" s="199"/>
      <c r="S80" s="199"/>
      <c r="T80" s="199"/>
      <c r="U80" s="199"/>
      <c r="V80" s="199"/>
      <c r="W80" s="199"/>
      <c r="X80" s="207">
        <f>X69/X67</f>
        <v>0.19038753183065968</v>
      </c>
      <c r="Y80" s="207">
        <f t="shared" ref="Y80:AQ80" si="15">Y69/Y67</f>
        <v>0.19555531888735414</v>
      </c>
      <c r="Z80" s="207">
        <f t="shared" si="15"/>
        <v>0.19453022503605774</v>
      </c>
      <c r="AA80" s="207">
        <f t="shared" si="15"/>
        <v>0.20270058760580845</v>
      </c>
      <c r="AB80" s="207">
        <f t="shared" si="15"/>
        <v>0.20880750806786882</v>
      </c>
      <c r="AC80" s="207">
        <f t="shared" si="15"/>
        <v>0.20915903739271599</v>
      </c>
      <c r="AD80" s="207">
        <f t="shared" si="15"/>
        <v>0.20009913577536845</v>
      </c>
      <c r="AE80" s="207">
        <f t="shared" si="15"/>
        <v>0.17710374925020606</v>
      </c>
      <c r="AF80" s="207">
        <f t="shared" si="15"/>
        <v>0.16267623060424699</v>
      </c>
      <c r="AG80" s="207">
        <f t="shared" si="15"/>
        <v>0.16370904465532166</v>
      </c>
      <c r="AH80" s="207">
        <f t="shared" si="15"/>
        <v>0.16020786462719708</v>
      </c>
      <c r="AI80" s="207">
        <f t="shared" si="15"/>
        <v>0.16374478512775159</v>
      </c>
      <c r="AJ80" s="207">
        <f t="shared" si="15"/>
        <v>0.16640245900454931</v>
      </c>
      <c r="AK80" s="207">
        <f t="shared" si="15"/>
        <v>0.17355077103340449</v>
      </c>
      <c r="AL80" s="207">
        <f t="shared" si="15"/>
        <v>0.17319468762540477</v>
      </c>
      <c r="AM80" s="207">
        <f t="shared" si="15"/>
        <v>0.17395720173318677</v>
      </c>
      <c r="AN80" s="207">
        <f t="shared" si="15"/>
        <v>0.17575313552646185</v>
      </c>
      <c r="AO80" s="207">
        <f t="shared" si="15"/>
        <v>0.16946169699899308</v>
      </c>
      <c r="AP80" s="207">
        <f t="shared" si="15"/>
        <v>0.17208172940589228</v>
      </c>
      <c r="AQ80" s="207">
        <f t="shared" si="15"/>
        <v>0.15594667295111159</v>
      </c>
    </row>
    <row r="81" spans="2:43" ht="5.0999999999999996" customHeight="1" outlineLevel="1">
      <c r="B81" s="75"/>
      <c r="C81" s="165"/>
      <c r="D81" s="165"/>
      <c r="E81" s="167"/>
      <c r="F81" s="167"/>
      <c r="G81" s="167"/>
      <c r="H81" s="167"/>
      <c r="I81" s="167"/>
      <c r="J81" s="167"/>
      <c r="K81" s="167"/>
      <c r="L81" s="167"/>
      <c r="M81" s="167"/>
      <c r="N81" s="167"/>
      <c r="O81" s="197"/>
      <c r="P81" s="199"/>
      <c r="Q81" s="199"/>
      <c r="R81" s="199"/>
      <c r="S81" s="199"/>
      <c r="T81" s="199"/>
      <c r="U81" s="199"/>
      <c r="V81" s="199"/>
      <c r="W81" s="199"/>
      <c r="X81" s="166"/>
      <c r="Y81" s="166"/>
      <c r="Z81" s="166"/>
      <c r="AA81" s="166"/>
      <c r="AB81" s="166"/>
      <c r="AC81" s="166"/>
      <c r="AD81" s="166"/>
      <c r="AE81" s="166"/>
      <c r="AF81" s="166"/>
      <c r="AG81" s="166"/>
      <c r="AH81" s="166"/>
      <c r="AI81" s="166"/>
      <c r="AJ81" s="166"/>
      <c r="AK81" s="166"/>
      <c r="AL81" s="166"/>
      <c r="AM81" s="166"/>
      <c r="AN81" s="166"/>
      <c r="AO81" s="166"/>
      <c r="AP81" s="166"/>
      <c r="AQ81" s="166"/>
    </row>
    <row r="82" spans="2:43" outlineLevel="1">
      <c r="B82" s="204" t="s">
        <v>43</v>
      </c>
      <c r="C82" s="165" t="s">
        <v>44</v>
      </c>
      <c r="D82" s="165"/>
      <c r="E82" s="167"/>
      <c r="F82" s="167"/>
      <c r="G82" s="167"/>
      <c r="H82" s="167"/>
      <c r="I82" s="167"/>
      <c r="J82" s="167"/>
      <c r="K82" s="167"/>
      <c r="L82" s="167"/>
      <c r="M82" s="167"/>
      <c r="N82" s="167"/>
      <c r="O82" s="197"/>
      <c r="P82" s="199"/>
      <c r="Q82" s="199"/>
      <c r="R82" s="199"/>
      <c r="S82" s="199"/>
      <c r="T82" s="199"/>
      <c r="U82" s="199"/>
      <c r="V82" s="199"/>
      <c r="W82" s="199"/>
      <c r="X82" s="208">
        <f>X76/X67</f>
        <v>0.20462561234353363</v>
      </c>
      <c r="Y82" s="208">
        <f t="shared" ref="Y82:AQ82" si="16">Y76/Y67</f>
        <v>0.20849948812499472</v>
      </c>
      <c r="Z82" s="208">
        <f t="shared" si="16"/>
        <v>0.20809997979911818</v>
      </c>
      <c r="AA82" s="208">
        <f t="shared" si="16"/>
        <v>0.21739139607845462</v>
      </c>
      <c r="AB82" s="208">
        <f t="shared" si="16"/>
        <v>0.22737142130812388</v>
      </c>
      <c r="AC82" s="208">
        <f t="shared" si="16"/>
        <v>0.22613543241938178</v>
      </c>
      <c r="AD82" s="208">
        <f t="shared" si="16"/>
        <v>0.21574624868185999</v>
      </c>
      <c r="AE82" s="208">
        <f t="shared" si="16"/>
        <v>0.19382886194872684</v>
      </c>
      <c r="AF82" s="208">
        <f t="shared" si="16"/>
        <v>0.17993985698139944</v>
      </c>
      <c r="AG82" s="208">
        <f t="shared" si="16"/>
        <v>0.18227586169227208</v>
      </c>
      <c r="AH82" s="208">
        <f t="shared" si="16"/>
        <v>0.17908079072128616</v>
      </c>
      <c r="AI82" s="208">
        <f t="shared" si="16"/>
        <v>0.18336081640184201</v>
      </c>
      <c r="AJ82" s="208">
        <f t="shared" si="16"/>
        <v>0.18733840696840248</v>
      </c>
      <c r="AK82" s="208">
        <f t="shared" si="16"/>
        <v>0.19732821648227519</v>
      </c>
      <c r="AL82" s="208">
        <f t="shared" si="16"/>
        <v>0.20029882367315541</v>
      </c>
      <c r="AM82" s="208">
        <f t="shared" si="16"/>
        <v>0.19873451863984304</v>
      </c>
      <c r="AN82" s="208">
        <f t="shared" si="16"/>
        <v>0.20183394317026909</v>
      </c>
      <c r="AO82" s="208">
        <f t="shared" si="16"/>
        <v>0.19492651319162715</v>
      </c>
      <c r="AP82" s="208">
        <f t="shared" si="16"/>
        <v>0.19502023226416787</v>
      </c>
      <c r="AQ82" s="208">
        <f t="shared" si="16"/>
        <v>0.18017932897478631</v>
      </c>
    </row>
    <row r="83" spans="2:43" ht="5.0999999999999996" customHeight="1" outlineLevel="1">
      <c r="B83" s="75"/>
      <c r="C83" s="165"/>
      <c r="D83" s="165"/>
      <c r="E83" s="167"/>
      <c r="F83" s="167"/>
      <c r="G83" s="167"/>
      <c r="H83" s="167"/>
      <c r="I83" s="167"/>
      <c r="J83" s="167"/>
      <c r="K83" s="167"/>
      <c r="L83" s="167"/>
      <c r="M83" s="167"/>
      <c r="N83" s="167"/>
      <c r="O83" s="197"/>
      <c r="P83" s="199"/>
      <c r="Q83" s="199"/>
      <c r="R83" s="199"/>
      <c r="S83" s="199"/>
      <c r="T83" s="199"/>
      <c r="U83" s="199"/>
      <c r="V83" s="199"/>
      <c r="W83" s="199"/>
      <c r="X83" s="166"/>
      <c r="Y83" s="166"/>
      <c r="Z83" s="166"/>
      <c r="AA83" s="166"/>
      <c r="AB83" s="166"/>
      <c r="AC83" s="166"/>
      <c r="AD83" s="166"/>
      <c r="AE83" s="166"/>
      <c r="AF83" s="166"/>
      <c r="AG83" s="166"/>
      <c r="AH83" s="166"/>
      <c r="AI83" s="166"/>
      <c r="AJ83" s="166"/>
      <c r="AK83" s="166"/>
      <c r="AL83" s="166"/>
      <c r="AM83" s="166"/>
      <c r="AN83" s="166"/>
      <c r="AO83" s="166"/>
      <c r="AP83" s="166"/>
      <c r="AQ83" s="166"/>
    </row>
    <row r="84" spans="2:43" outlineLevel="1">
      <c r="B84" s="204" t="s">
        <v>45</v>
      </c>
      <c r="C84" s="165" t="s">
        <v>46</v>
      </c>
      <c r="D84" s="165"/>
      <c r="E84" s="167"/>
      <c r="F84" s="167"/>
      <c r="G84" s="167"/>
      <c r="H84" s="167"/>
      <c r="I84" s="167"/>
      <c r="J84" s="167"/>
      <c r="K84" s="167"/>
      <c r="L84" s="167"/>
      <c r="M84" s="167"/>
      <c r="N84" s="167"/>
      <c r="O84" s="197"/>
      <c r="P84" s="199"/>
      <c r="Q84" s="199"/>
      <c r="R84" s="199"/>
      <c r="S84" s="199"/>
      <c r="T84" s="199"/>
      <c r="U84" s="199"/>
      <c r="V84" s="199"/>
      <c r="W84" s="199"/>
      <c r="X84" s="208">
        <f>X76/X65</f>
        <v>0.23535333088027507</v>
      </c>
      <c r="Y84" s="208">
        <f t="shared" ref="Y84:AQ84" si="17">Y76/Y65</f>
        <v>0.24124989926139545</v>
      </c>
      <c r="Z84" s="208">
        <f t="shared" si="17"/>
        <v>0.24035748355676056</v>
      </c>
      <c r="AA84" s="208">
        <f t="shared" si="17"/>
        <v>0.2516177901001489</v>
      </c>
      <c r="AB84" s="208">
        <f t="shared" si="17"/>
        <v>0.26035559874599173</v>
      </c>
      <c r="AC84" s="208">
        <f t="shared" si="17"/>
        <v>0.25918303573020812</v>
      </c>
      <c r="AD84" s="208">
        <f t="shared" si="17"/>
        <v>0.24795875307924711</v>
      </c>
      <c r="AE84" s="208">
        <f t="shared" si="17"/>
        <v>0.22319191778908867</v>
      </c>
      <c r="AF84" s="208">
        <f t="shared" si="17"/>
        <v>0.20971281201988798</v>
      </c>
      <c r="AG84" s="208">
        <f t="shared" si="17"/>
        <v>0.20977501174097762</v>
      </c>
      <c r="AH84" s="208">
        <f t="shared" si="17"/>
        <v>0.20677926260823382</v>
      </c>
      <c r="AI84" s="208">
        <f t="shared" si="17"/>
        <v>0.2116239476294034</v>
      </c>
      <c r="AJ84" s="208">
        <f t="shared" si="17"/>
        <v>0.21481749066811667</v>
      </c>
      <c r="AK84" s="208">
        <f t="shared" si="17"/>
        <v>0.22771816524411831</v>
      </c>
      <c r="AL84" s="208">
        <f t="shared" si="17"/>
        <v>0.23134603237590712</v>
      </c>
      <c r="AM84" s="208">
        <f t="shared" si="17"/>
        <v>0.23019873506165403</v>
      </c>
      <c r="AN84" s="208">
        <f t="shared" si="17"/>
        <v>0.23506484652097204</v>
      </c>
      <c r="AO84" s="208">
        <f t="shared" si="17"/>
        <v>0.22767341587067499</v>
      </c>
      <c r="AP84" s="208">
        <f t="shared" si="17"/>
        <v>0.23031508137019308</v>
      </c>
      <c r="AQ84" s="208">
        <f t="shared" si="17"/>
        <v>0.22385289517698065</v>
      </c>
    </row>
    <row r="85" spans="2:43" ht="5.0999999999999996"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ht="6" customHeight="1" outlineLevel="1">
      <c r="B86" s="165"/>
      <c r="C86" s="165"/>
      <c r="D86" s="165"/>
      <c r="E86" s="167"/>
      <c r="F86" s="167"/>
      <c r="G86" s="167"/>
      <c r="H86" s="167"/>
      <c r="I86" s="167"/>
      <c r="J86" s="167"/>
      <c r="K86" s="167"/>
      <c r="L86" s="167"/>
      <c r="M86" s="167"/>
      <c r="N86" s="167"/>
      <c r="O86" s="197"/>
      <c r="P86" s="199"/>
      <c r="Q86" s="199"/>
      <c r="R86" s="199"/>
      <c r="S86" s="199"/>
      <c r="T86" s="199"/>
      <c r="U86" s="199"/>
      <c r="V86" s="199"/>
      <c r="W86" s="199"/>
      <c r="X86" s="75"/>
      <c r="Y86" s="75"/>
      <c r="Z86" s="75"/>
      <c r="AA86" s="75"/>
      <c r="AB86" s="75"/>
      <c r="AC86" s="75"/>
      <c r="AD86" s="75"/>
      <c r="AE86" s="75"/>
      <c r="AF86" s="75"/>
      <c r="AG86" s="1090"/>
      <c r="AI86" s="1079"/>
      <c r="AJ86" s="1079"/>
      <c r="AK86" s="1079"/>
      <c r="AL86" s="1079"/>
    </row>
    <row r="87" spans="2:43" ht="30"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1090"/>
      <c r="AI87" s="1079"/>
      <c r="AJ87" s="1079"/>
      <c r="AK87" s="1079"/>
      <c r="AL87" s="1079"/>
    </row>
    <row r="88" spans="2:43">
      <c r="R88" s="1084"/>
      <c r="S88" s="1084"/>
      <c r="T88" s="1084"/>
      <c r="U88" s="1084"/>
      <c r="V88" s="1084"/>
      <c r="W88" s="1084"/>
      <c r="X88" s="1090"/>
      <c r="Y88" s="1090"/>
      <c r="Z88" s="1090"/>
      <c r="AA88" s="1090"/>
      <c r="AB88" s="1090"/>
      <c r="AC88" s="1090"/>
      <c r="AD88" s="1090"/>
      <c r="AE88" s="1090"/>
      <c r="AF88" s="1090"/>
      <c r="AG88" s="1090"/>
    </row>
    <row r="89" spans="2:43" hidden="1">
      <c r="R89" s="1084"/>
      <c r="S89" s="1084"/>
      <c r="T89" s="1084"/>
      <c r="U89" s="1084"/>
      <c r="V89" s="1084"/>
      <c r="W89" s="1084"/>
      <c r="X89" s="1090"/>
      <c r="Y89" s="1090"/>
      <c r="Z89" s="1090"/>
      <c r="AA89" s="1090"/>
      <c r="AB89" s="1090"/>
      <c r="AC89" s="1090"/>
      <c r="AD89" s="1090"/>
      <c r="AE89" s="1090"/>
      <c r="AF89" s="1090"/>
      <c r="AG89" s="1090"/>
    </row>
    <row r="90" spans="2:43" hidden="1">
      <c r="R90" s="1084"/>
      <c r="S90" s="1084"/>
      <c r="T90" s="1084"/>
      <c r="U90" s="1084"/>
      <c r="V90" s="1084"/>
      <c r="W90" s="1084"/>
      <c r="X90" s="1090"/>
      <c r="Y90" s="1090"/>
      <c r="Z90" s="1090"/>
      <c r="AA90" s="1090"/>
      <c r="AB90" s="1090"/>
      <c r="AC90" s="1090"/>
      <c r="AD90" s="1090"/>
      <c r="AE90" s="1090"/>
      <c r="AF90" s="1090"/>
      <c r="AG90" s="1090"/>
    </row>
    <row r="91" spans="2:43" hidden="1">
      <c r="R91" s="1084"/>
      <c r="S91" s="1084"/>
      <c r="T91" s="1084"/>
      <c r="U91" s="1084"/>
      <c r="V91" s="1084"/>
      <c r="W91" s="1084"/>
      <c r="X91" s="1090"/>
      <c r="Y91" s="1090"/>
      <c r="Z91" s="1090"/>
      <c r="AA91" s="1090"/>
      <c r="AB91" s="1090"/>
      <c r="AC91" s="1090"/>
      <c r="AD91" s="1090"/>
      <c r="AE91" s="1090"/>
      <c r="AF91" s="1090"/>
      <c r="AG91" s="1090"/>
    </row>
    <row r="92" spans="2:43">
      <c r="B92" s="170" t="s">
        <v>48</v>
      </c>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090"/>
    </row>
    <row r="93" spans="2:43">
      <c r="B93" s="562"/>
      <c r="C93" s="562"/>
      <c r="D93" s="562"/>
      <c r="E93" s="562"/>
      <c r="F93" s="562"/>
      <c r="G93" s="562"/>
      <c r="H93" s="562"/>
      <c r="I93" s="562"/>
      <c r="J93" s="562"/>
      <c r="K93" s="562"/>
      <c r="L93" s="562"/>
      <c r="M93" s="562"/>
      <c r="N93" s="562"/>
      <c r="O93" s="561"/>
      <c r="P93" s="194"/>
      <c r="Q93" s="194"/>
      <c r="R93" s="194"/>
      <c r="S93" s="194"/>
      <c r="T93" s="194"/>
      <c r="U93" s="194"/>
      <c r="V93" s="194"/>
      <c r="W93" s="194"/>
      <c r="X93" s="195"/>
      <c r="Y93" s="195"/>
      <c r="Z93" s="195"/>
      <c r="AA93" s="195"/>
      <c r="AB93" s="195"/>
      <c r="AC93" s="195"/>
      <c r="AD93" s="195"/>
      <c r="AE93" s="195"/>
      <c r="AF93" s="1501"/>
      <c r="AG93" s="1090"/>
    </row>
    <row r="94" spans="2:43">
      <c r="B94" s="167"/>
      <c r="C94" s="167"/>
      <c r="D94" s="167"/>
      <c r="E94" s="167"/>
      <c r="F94" s="167"/>
      <c r="G94" s="167"/>
      <c r="H94" s="167"/>
      <c r="I94" s="167"/>
      <c r="J94" s="167"/>
      <c r="K94" s="167"/>
      <c r="L94" s="167"/>
      <c r="M94" s="167"/>
      <c r="N94" s="167"/>
      <c r="O94" s="197"/>
      <c r="P94" s="199"/>
      <c r="Q94" s="199"/>
      <c r="R94" s="199"/>
      <c r="S94" s="199"/>
      <c r="T94" s="199"/>
      <c r="U94" s="199"/>
      <c r="V94" s="199"/>
      <c r="W94" s="199"/>
      <c r="X94" s="211">
        <v>2001</v>
      </c>
      <c r="Y94" s="211">
        <v>2002</v>
      </c>
      <c r="AA94" s="211">
        <v>2004</v>
      </c>
      <c r="AC94" s="211">
        <v>2006</v>
      </c>
      <c r="AD94" s="211">
        <v>2007</v>
      </c>
      <c r="AE94" s="211">
        <v>2008</v>
      </c>
      <c r="AF94" s="1082">
        <v>2009</v>
      </c>
      <c r="AG94" s="1082">
        <v>2010</v>
      </c>
      <c r="AH94" s="1082">
        <v>2011</v>
      </c>
      <c r="AI94" s="1082">
        <v>2012</v>
      </c>
      <c r="AJ94" s="1082">
        <v>2013</v>
      </c>
      <c r="AK94" s="1082">
        <v>2014</v>
      </c>
      <c r="AL94" s="1082">
        <v>2015</v>
      </c>
      <c r="AM94" s="1082">
        <v>2016</v>
      </c>
      <c r="AN94" s="1082">
        <v>2017</v>
      </c>
      <c r="AO94" s="1082">
        <v>2018</v>
      </c>
      <c r="AP94" s="1082">
        <v>2019</v>
      </c>
      <c r="AQ94" s="1082">
        <v>2020</v>
      </c>
    </row>
    <row r="95" spans="2:43">
      <c r="B95" s="165"/>
      <c r="C95" s="165"/>
      <c r="D95" s="165"/>
      <c r="E95" s="165"/>
      <c r="F95" s="165"/>
      <c r="G95" s="165"/>
      <c r="H95" s="165"/>
      <c r="I95" s="165"/>
      <c r="J95" s="165"/>
      <c r="K95" s="165"/>
      <c r="L95" s="165"/>
      <c r="M95" s="165"/>
      <c r="N95" s="165"/>
      <c r="O95" s="165"/>
      <c r="P95" s="165"/>
      <c r="Q95" s="165"/>
      <c r="R95" s="261"/>
      <c r="S95" s="261"/>
      <c r="T95" s="261"/>
      <c r="U95" s="261"/>
      <c r="V95" s="261"/>
      <c r="W95" s="261"/>
      <c r="X95" s="244"/>
      <c r="Y95" s="244"/>
      <c r="AA95" s="244"/>
      <c r="AC95" s="244"/>
      <c r="AD95" s="244"/>
      <c r="AE95" s="244"/>
      <c r="AF95" s="1090"/>
      <c r="AH95" s="369"/>
    </row>
    <row r="96" spans="2:43" s="1102" customFormat="1">
      <c r="B96" s="217" t="s">
        <v>49</v>
      </c>
      <c r="P96" s="1103">
        <v>31.799999999999997</v>
      </c>
      <c r="Q96" s="1103">
        <v>39.100000000000009</v>
      </c>
      <c r="R96" s="1103">
        <v>46.2</v>
      </c>
      <c r="S96" s="1103">
        <v>50.1</v>
      </c>
      <c r="T96" s="1103">
        <v>64.3</v>
      </c>
      <c r="U96" s="1103">
        <v>185.2</v>
      </c>
      <c r="V96" s="1103">
        <v>205.79999999999998</v>
      </c>
      <c r="W96" s="1103"/>
      <c r="X96" s="1502">
        <v>196.60000000000002</v>
      </c>
      <c r="Y96" s="1502">
        <v>319.30000000000013</v>
      </c>
      <c r="AA96" s="1502">
        <v>395.55</v>
      </c>
      <c r="AC96" s="1502">
        <v>498.09999999999997</v>
      </c>
      <c r="AD96" s="1502">
        <v>554.70000000000005</v>
      </c>
      <c r="AE96" s="1502">
        <v>578.09999999999991</v>
      </c>
      <c r="AF96" s="1502">
        <v>617.90000000000009</v>
      </c>
      <c r="AG96" s="1502">
        <v>644.5</v>
      </c>
      <c r="AH96" s="1502">
        <v>563.19999999999993</v>
      </c>
      <c r="AI96" s="1502">
        <v>652.09999999999991</v>
      </c>
      <c r="AJ96" s="1502">
        <v>488.7</v>
      </c>
      <c r="AK96" s="1502">
        <v>413.9</v>
      </c>
      <c r="AL96" s="1502">
        <v>418.90000000000003</v>
      </c>
      <c r="AM96" s="1502">
        <v>430.4</v>
      </c>
      <c r="AN96" s="1502">
        <v>402</v>
      </c>
      <c r="AO96" s="1502">
        <v>415.7</v>
      </c>
      <c r="AP96" s="1502">
        <v>464.8</v>
      </c>
      <c r="AQ96" s="1502"/>
    </row>
    <row r="97" spans="1:45">
      <c r="R97" s="1084"/>
      <c r="S97" s="1084"/>
      <c r="T97" s="1084"/>
      <c r="U97" s="1084"/>
      <c r="V97" s="1084"/>
      <c r="W97" s="1084"/>
      <c r="X97" s="1090"/>
      <c r="Y97" s="1090"/>
      <c r="AA97" s="1090"/>
      <c r="AC97" s="1090"/>
      <c r="AD97" s="1090"/>
      <c r="AE97" s="1090"/>
      <c r="AF97" s="1090"/>
      <c r="AG97" s="1090"/>
      <c r="AH97" s="369"/>
    </row>
    <row r="98" spans="1:45">
      <c r="R98" s="1084"/>
      <c r="S98" s="1084"/>
      <c r="T98" s="1084"/>
      <c r="U98" s="1084"/>
      <c r="V98" s="1084"/>
      <c r="W98" s="1084"/>
      <c r="X98" s="1090"/>
      <c r="Y98" s="1090"/>
      <c r="AA98" s="1090"/>
      <c r="AC98" s="1090"/>
      <c r="AD98" s="1090"/>
      <c r="AE98" s="1090"/>
      <c r="AF98" s="1090"/>
      <c r="AG98" s="1090"/>
      <c r="AH98" s="369"/>
    </row>
    <row r="99" spans="1:45" ht="18" customHeight="1">
      <c r="R99" s="1084"/>
      <c r="S99" s="1084"/>
      <c r="T99" s="1084"/>
      <c r="U99" s="1084"/>
      <c r="V99" s="1084"/>
      <c r="W99" s="1084"/>
      <c r="X99" s="1503"/>
      <c r="Y99" s="1090"/>
      <c r="AA99" s="1090"/>
      <c r="AC99" s="1090"/>
      <c r="AD99" s="1090"/>
      <c r="AE99" s="1090"/>
      <c r="AF99" s="1090"/>
      <c r="AG99" s="1090"/>
      <c r="AH99" s="369"/>
    </row>
    <row r="100" spans="1:45">
      <c r="C100" s="1102" t="s">
        <v>50</v>
      </c>
      <c r="R100" s="1084"/>
      <c r="S100" s="1084"/>
      <c r="T100" s="1084"/>
      <c r="U100" s="1084"/>
      <c r="V100" s="1084"/>
      <c r="W100" s="1084"/>
      <c r="X100" s="1090"/>
      <c r="Y100" s="1090"/>
      <c r="AA100" s="1090"/>
      <c r="AC100" s="1090"/>
      <c r="AD100" s="1090"/>
      <c r="AE100" s="1090"/>
      <c r="AF100" s="1090"/>
      <c r="AG100" s="1090"/>
      <c r="AH100" s="369"/>
    </row>
    <row r="101" spans="1:45">
      <c r="C101" s="369" t="s">
        <v>466</v>
      </c>
      <c r="P101" s="369">
        <v>16.7</v>
      </c>
      <c r="Q101" s="369">
        <v>24.7</v>
      </c>
      <c r="R101" s="1084">
        <v>32.200000000000003</v>
      </c>
      <c r="S101" s="1084">
        <v>37.5</v>
      </c>
      <c r="T101" s="1084">
        <v>50.3</v>
      </c>
      <c r="U101" s="1084">
        <v>84.2</v>
      </c>
      <c r="V101" s="1084">
        <v>111.4</v>
      </c>
      <c r="W101" s="1084"/>
      <c r="X101" s="1090">
        <v>91.5</v>
      </c>
      <c r="Y101" s="1090">
        <v>137.80000000000001</v>
      </c>
      <c r="AA101" s="1090">
        <v>150.80000000000001</v>
      </c>
      <c r="AC101" s="1090">
        <v>186.1</v>
      </c>
      <c r="AD101" s="1090">
        <v>199</v>
      </c>
      <c r="AE101" s="1090">
        <v>197.4</v>
      </c>
      <c r="AF101" s="1090">
        <v>174.1</v>
      </c>
      <c r="AG101" s="1090">
        <v>141.9</v>
      </c>
      <c r="AH101" s="1499">
        <v>144</v>
      </c>
      <c r="AI101" s="1079">
        <v>147.1</v>
      </c>
      <c r="AJ101" s="1079">
        <v>141.6</v>
      </c>
      <c r="AK101" s="1090" t="s">
        <v>269</v>
      </c>
      <c r="AL101" s="1090" t="s">
        <v>269</v>
      </c>
      <c r="AM101" s="1090" t="s">
        <v>269</v>
      </c>
      <c r="AN101" s="1090" t="s">
        <v>269</v>
      </c>
      <c r="AO101" s="1090" t="s">
        <v>269</v>
      </c>
      <c r="AP101" s="1090" t="s">
        <v>269</v>
      </c>
      <c r="AQ101" s="1079"/>
    </row>
    <row r="102" spans="1:45">
      <c r="C102" s="369" t="s">
        <v>467</v>
      </c>
      <c r="P102" s="369">
        <v>1.9</v>
      </c>
      <c r="Q102" s="369">
        <v>1.9</v>
      </c>
      <c r="R102" s="1084">
        <v>2</v>
      </c>
      <c r="S102" s="1084">
        <v>2.4</v>
      </c>
      <c r="T102" s="1084">
        <v>2.4</v>
      </c>
      <c r="U102" s="1084">
        <v>3.3</v>
      </c>
      <c r="V102" s="1084">
        <v>3.6</v>
      </c>
      <c r="W102" s="1084"/>
      <c r="X102" s="1090">
        <v>2.7</v>
      </c>
      <c r="Y102" s="1090">
        <v>4.4000000000000004</v>
      </c>
      <c r="AA102" s="1090">
        <v>5</v>
      </c>
      <c r="AC102" s="1090">
        <v>16</v>
      </c>
      <c r="AD102" s="1090">
        <v>31.4</v>
      </c>
      <c r="AE102" s="1090">
        <v>39</v>
      </c>
      <c r="AF102" s="1090">
        <v>38</v>
      </c>
      <c r="AG102" s="1090">
        <v>39.1</v>
      </c>
      <c r="AH102" s="1079">
        <v>41.9</v>
      </c>
      <c r="AI102" s="1079">
        <v>45.6</v>
      </c>
      <c r="AJ102" s="1079">
        <v>51</v>
      </c>
      <c r="AK102" s="1079">
        <v>59</v>
      </c>
      <c r="AL102" s="1079">
        <v>66.7</v>
      </c>
      <c r="AM102" s="1079">
        <v>75.5</v>
      </c>
      <c r="AN102" s="1079">
        <v>82.1</v>
      </c>
      <c r="AO102" s="1079">
        <v>92.6</v>
      </c>
      <c r="AP102" s="1079">
        <v>105.8</v>
      </c>
      <c r="AQ102" s="1079"/>
    </row>
    <row r="103" spans="1:45">
      <c r="C103" s="369" t="s">
        <v>1872</v>
      </c>
      <c r="D103" s="1491"/>
      <c r="E103" s="1491"/>
      <c r="F103" s="1491"/>
      <c r="G103" s="1491"/>
      <c r="H103" s="1491"/>
      <c r="R103" s="1084"/>
      <c r="S103" s="1084"/>
      <c r="T103" s="1084"/>
      <c r="U103" s="1084"/>
      <c r="V103" s="1084"/>
      <c r="W103" s="1084"/>
      <c r="X103" s="1090"/>
      <c r="Y103" s="1090"/>
      <c r="AA103" s="1090"/>
      <c r="AC103" s="1090"/>
      <c r="AD103" s="1090"/>
      <c r="AE103" s="1090"/>
      <c r="AF103" s="1090"/>
      <c r="AG103" s="1090"/>
      <c r="AI103" s="1079"/>
      <c r="AJ103" s="1079"/>
      <c r="AK103" s="1079">
        <v>94</v>
      </c>
      <c r="AL103" s="1079">
        <v>89.9</v>
      </c>
      <c r="AM103" s="1079">
        <v>90.3</v>
      </c>
      <c r="AN103" s="1079">
        <v>93.9</v>
      </c>
      <c r="AO103" s="1079">
        <v>99</v>
      </c>
      <c r="AP103" s="1079">
        <v>109.9</v>
      </c>
      <c r="AQ103" s="1079"/>
    </row>
    <row r="104" spans="1:45">
      <c r="D104" s="1491"/>
      <c r="E104" s="1491"/>
      <c r="F104" s="1491"/>
      <c r="G104" s="1491"/>
      <c r="H104" s="1491"/>
      <c r="R104" s="1084"/>
      <c r="S104" s="1084"/>
      <c r="T104" s="1084"/>
      <c r="U104" s="1084"/>
      <c r="V104" s="1084"/>
      <c r="W104" s="1084"/>
      <c r="X104" s="1090"/>
      <c r="Y104" s="1090"/>
      <c r="AA104" s="1090"/>
      <c r="AC104" s="1090"/>
      <c r="AD104" s="1090"/>
      <c r="AE104" s="1090"/>
      <c r="AF104" s="1090"/>
      <c r="AG104" s="1090"/>
      <c r="AI104" s="1079"/>
      <c r="AJ104" s="1079"/>
      <c r="AK104" s="1079"/>
      <c r="AL104" s="1079"/>
      <c r="AM104" s="1079"/>
      <c r="AN104" s="1079"/>
      <c r="AO104" s="1079"/>
      <c r="AP104" s="1079"/>
      <c r="AQ104" s="1079"/>
    </row>
    <row r="105" spans="1:45">
      <c r="D105" s="1491"/>
      <c r="E105" s="1491"/>
      <c r="F105" s="1491"/>
      <c r="G105" s="1491"/>
      <c r="H105" s="1491"/>
      <c r="R105" s="1084"/>
      <c r="S105" s="1084"/>
      <c r="T105" s="1084"/>
      <c r="U105" s="1084"/>
      <c r="V105" s="1084"/>
      <c r="W105" s="1084"/>
      <c r="X105" s="1090"/>
      <c r="Y105" s="1090"/>
      <c r="AA105" s="1090"/>
      <c r="AC105" s="1090"/>
      <c r="AD105" s="1090"/>
      <c r="AE105" s="1090"/>
      <c r="AF105" s="1090"/>
      <c r="AG105" s="1090"/>
      <c r="AI105" s="1079"/>
      <c r="AJ105" s="1079"/>
      <c r="AK105" s="1079"/>
      <c r="AL105" s="1079"/>
      <c r="AM105" s="1079"/>
      <c r="AN105" s="1079"/>
      <c r="AO105" s="1079"/>
      <c r="AP105" s="1079"/>
      <c r="AQ105" s="1079"/>
      <c r="AR105" s="1079"/>
      <c r="AS105" s="1079"/>
    </row>
    <row r="106" spans="1:45">
      <c r="C106" s="1102" t="s">
        <v>56</v>
      </c>
      <c r="R106" s="1084"/>
      <c r="S106" s="1084"/>
      <c r="T106" s="1084"/>
      <c r="U106" s="1084"/>
      <c r="V106" s="1084"/>
      <c r="W106" s="1084"/>
      <c r="X106" s="1090"/>
      <c r="Y106" s="1090"/>
      <c r="AA106" s="1090"/>
      <c r="AC106" s="1090"/>
      <c r="AD106" s="1090"/>
      <c r="AE106" s="1090"/>
      <c r="AF106" s="1090"/>
      <c r="AG106" s="1090"/>
      <c r="AI106" s="1079"/>
      <c r="AJ106" s="1079"/>
      <c r="AK106" s="1079"/>
      <c r="AL106" s="1079"/>
      <c r="AM106" s="1079"/>
      <c r="AN106" s="1079"/>
      <c r="AO106" s="1079"/>
      <c r="AP106" s="1079"/>
      <c r="AQ106" s="1079"/>
      <c r="AR106" s="1079"/>
      <c r="AS106" s="1079"/>
    </row>
    <row r="107" spans="1:45">
      <c r="A107" s="369" t="s">
        <v>468</v>
      </c>
      <c r="B107" s="369" t="s">
        <v>234</v>
      </c>
      <c r="C107" s="369" t="s">
        <v>1873</v>
      </c>
      <c r="P107" s="369">
        <v>9.6999999999999993</v>
      </c>
      <c r="Q107" s="369">
        <v>8.9</v>
      </c>
      <c r="R107" s="1084">
        <v>8.3000000000000007</v>
      </c>
      <c r="S107" s="1084">
        <v>6.4</v>
      </c>
      <c r="T107" s="1084">
        <v>7.8</v>
      </c>
      <c r="U107" s="1084">
        <v>0</v>
      </c>
      <c r="V107" s="1084"/>
      <c r="W107" s="1084">
        <v>9.6</v>
      </c>
      <c r="X107" s="1090">
        <v>8.6999999999999993</v>
      </c>
      <c r="Y107" s="1090">
        <v>25.1</v>
      </c>
      <c r="AA107" s="1090">
        <v>76.900000000000006</v>
      </c>
      <c r="AC107" s="1090">
        <v>77.7</v>
      </c>
      <c r="AD107" s="1090">
        <v>87.6</v>
      </c>
      <c r="AE107" s="1090">
        <v>85.4</v>
      </c>
      <c r="AF107" s="1090">
        <v>147.80000000000001</v>
      </c>
      <c r="AG107" s="1090">
        <v>214.3</v>
      </c>
      <c r="AH107" s="1090">
        <v>141.4</v>
      </c>
      <c r="AI107" s="1090">
        <v>211.2</v>
      </c>
      <c r="AJ107" s="1090">
        <v>44.6</v>
      </c>
      <c r="AK107" s="1090">
        <v>21.1</v>
      </c>
      <c r="AL107" s="1090">
        <v>19</v>
      </c>
      <c r="AM107" s="1090">
        <v>9.5</v>
      </c>
      <c r="AN107" s="1079">
        <v>7.1</v>
      </c>
      <c r="AO107" s="1090">
        <v>5.0999999999999996</v>
      </c>
      <c r="AP107" s="1079">
        <v>8</v>
      </c>
      <c r="AQ107" s="1090"/>
      <c r="AR107" s="1079"/>
      <c r="AS107" s="1090"/>
    </row>
    <row r="108" spans="1:45">
      <c r="A108" s="369" t="s">
        <v>469</v>
      </c>
      <c r="B108" s="369" t="s">
        <v>234</v>
      </c>
      <c r="C108" s="369" t="s">
        <v>470</v>
      </c>
      <c r="P108" s="369" t="s">
        <v>237</v>
      </c>
      <c r="Q108" s="369" t="s">
        <v>237</v>
      </c>
      <c r="R108" s="1084" t="s">
        <v>237</v>
      </c>
      <c r="S108" s="1084" t="s">
        <v>237</v>
      </c>
      <c r="T108" s="1084" t="s">
        <v>237</v>
      </c>
      <c r="U108" s="1084">
        <v>91.2</v>
      </c>
      <c r="V108" s="1084">
        <v>82.2</v>
      </c>
      <c r="W108" s="1084"/>
      <c r="X108" s="1090">
        <v>82.6</v>
      </c>
      <c r="Y108" s="1090">
        <v>122.3</v>
      </c>
      <c r="AA108" s="1090">
        <v>125.7</v>
      </c>
      <c r="AC108" s="1090">
        <v>155.19999999999999</v>
      </c>
      <c r="AD108" s="1090">
        <v>171.3</v>
      </c>
      <c r="AE108" s="1090">
        <v>184.3</v>
      </c>
      <c r="AF108" s="1090">
        <v>184.8</v>
      </c>
      <c r="AG108" s="1090">
        <v>178.7</v>
      </c>
      <c r="AH108" s="1090">
        <v>170.1</v>
      </c>
      <c r="AI108" s="1090">
        <v>182.3</v>
      </c>
      <c r="AJ108" s="1090">
        <v>186.9</v>
      </c>
      <c r="AK108" s="1090">
        <v>192.1</v>
      </c>
      <c r="AL108" s="1090">
        <v>186.1</v>
      </c>
      <c r="AM108" s="1090">
        <v>198.4</v>
      </c>
      <c r="AN108" s="1079">
        <v>157.69999999999999</v>
      </c>
      <c r="AO108" s="1090">
        <v>161.30000000000001</v>
      </c>
      <c r="AP108" s="1079">
        <v>183.1</v>
      </c>
      <c r="AQ108" s="1090"/>
      <c r="AR108" s="1079"/>
      <c r="AS108" s="1090"/>
    </row>
    <row r="109" spans="1:45">
      <c r="C109" s="369" t="s">
        <v>471</v>
      </c>
      <c r="P109" s="369">
        <v>0.7</v>
      </c>
      <c r="Q109" s="369">
        <v>0.7</v>
      </c>
      <c r="R109" s="1084">
        <v>0.7</v>
      </c>
      <c r="S109" s="1084">
        <v>0.7</v>
      </c>
      <c r="T109" s="1084">
        <v>0.6</v>
      </c>
      <c r="U109" s="1084">
        <v>2.5</v>
      </c>
      <c r="V109" s="1084">
        <v>2.5</v>
      </c>
      <c r="W109" s="1084"/>
      <c r="X109" s="1090">
        <v>3.9</v>
      </c>
      <c r="Y109" s="1090">
        <v>5.6</v>
      </c>
      <c r="AA109" s="1090">
        <v>4</v>
      </c>
      <c r="AC109" s="1090">
        <v>4.9000000000000004</v>
      </c>
      <c r="AD109" s="1090">
        <v>6.6</v>
      </c>
      <c r="AE109" s="1090">
        <v>6.9</v>
      </c>
      <c r="AF109" s="1090">
        <v>6.2</v>
      </c>
      <c r="AG109" s="1090">
        <v>5.6</v>
      </c>
      <c r="AH109" s="1090">
        <v>5.5</v>
      </c>
      <c r="AI109" s="1090">
        <v>5.5</v>
      </c>
      <c r="AJ109" s="1090">
        <v>5.5</v>
      </c>
      <c r="AK109" s="1090">
        <v>5.7</v>
      </c>
      <c r="AL109" s="1090">
        <v>5</v>
      </c>
      <c r="AM109" s="1090">
        <v>4.9000000000000004</v>
      </c>
      <c r="AN109" s="1079">
        <v>4.8</v>
      </c>
      <c r="AO109" s="1090">
        <v>4.9000000000000004</v>
      </c>
      <c r="AP109" s="1079">
        <v>5.6</v>
      </c>
      <c r="AQ109" s="1090"/>
      <c r="AR109" s="1079"/>
      <c r="AS109" s="1090"/>
    </row>
    <row r="110" spans="1:45">
      <c r="C110" s="369" t="s">
        <v>1874</v>
      </c>
      <c r="P110" s="369">
        <v>1.5</v>
      </c>
      <c r="Q110" s="369">
        <v>1.6</v>
      </c>
      <c r="R110" s="1084">
        <v>1.8</v>
      </c>
      <c r="S110" s="1084">
        <v>1.9</v>
      </c>
      <c r="T110" s="1084">
        <v>2</v>
      </c>
      <c r="U110" s="1084">
        <v>2.5</v>
      </c>
      <c r="V110" s="1084">
        <v>4.5</v>
      </c>
      <c r="W110" s="1084"/>
      <c r="X110" s="1090">
        <v>4.2</v>
      </c>
      <c r="Y110" s="1090">
        <v>6.1</v>
      </c>
      <c r="AA110" s="1090">
        <v>4.9000000000000004</v>
      </c>
      <c r="AC110" s="1090">
        <v>4.5</v>
      </c>
      <c r="AD110" s="1090">
        <v>4.8</v>
      </c>
      <c r="AE110" s="1090">
        <v>4.9000000000000004</v>
      </c>
      <c r="AF110" s="1090">
        <v>4.9000000000000004</v>
      </c>
      <c r="AG110" s="1090">
        <v>4.9000000000000004</v>
      </c>
      <c r="AH110" s="1090">
        <v>4.4000000000000004</v>
      </c>
      <c r="AI110" s="1090">
        <v>4.4000000000000004</v>
      </c>
      <c r="AJ110" s="1090">
        <v>4.4000000000000004</v>
      </c>
      <c r="AK110" s="1090">
        <v>4.4000000000000004</v>
      </c>
      <c r="AL110" s="1090">
        <v>3.9</v>
      </c>
      <c r="AM110" s="1090">
        <v>3.9</v>
      </c>
      <c r="AN110" s="1079">
        <v>3.9</v>
      </c>
      <c r="AO110" s="1090" t="s">
        <v>269</v>
      </c>
      <c r="AP110" s="1079" t="s">
        <v>269</v>
      </c>
      <c r="AQ110" s="1090"/>
      <c r="AR110" s="1079"/>
      <c r="AS110" s="1090"/>
    </row>
    <row r="111" spans="1:45">
      <c r="C111" s="369" t="s">
        <v>472</v>
      </c>
      <c r="P111" s="369">
        <v>1.1000000000000001</v>
      </c>
      <c r="Q111" s="369">
        <v>1.1000000000000001</v>
      </c>
      <c r="R111" s="1084">
        <v>1</v>
      </c>
      <c r="S111" s="1084">
        <v>1</v>
      </c>
      <c r="T111" s="1084">
        <v>0.9</v>
      </c>
      <c r="U111" s="1084">
        <v>1.1000000000000001</v>
      </c>
      <c r="V111" s="1084">
        <v>1.1000000000000001</v>
      </c>
      <c r="W111" s="1084"/>
      <c r="X111" s="1090">
        <v>0.8</v>
      </c>
      <c r="Y111" s="1090">
        <v>1.1000000000000001</v>
      </c>
      <c r="AA111" s="1090">
        <v>1.05</v>
      </c>
      <c r="AC111" s="1090">
        <v>1.4</v>
      </c>
      <c r="AD111" s="1090">
        <v>1.8</v>
      </c>
      <c r="AE111" s="1090">
        <v>2</v>
      </c>
      <c r="AF111" s="1090">
        <v>2.1</v>
      </c>
      <c r="AG111" s="1090">
        <v>2</v>
      </c>
      <c r="AH111" s="1090">
        <v>1.7</v>
      </c>
      <c r="AI111" s="1090">
        <v>1.8</v>
      </c>
      <c r="AJ111" s="1090">
        <v>1.8</v>
      </c>
      <c r="AK111" s="1090">
        <v>1.9</v>
      </c>
      <c r="AL111" s="1090">
        <v>2</v>
      </c>
      <c r="AM111" s="1090">
        <v>2.4</v>
      </c>
      <c r="AN111" s="1079">
        <v>2.2000000000000002</v>
      </c>
      <c r="AO111" s="1090">
        <v>2.7</v>
      </c>
      <c r="AP111" s="1079">
        <v>3.5</v>
      </c>
      <c r="AQ111" s="1090"/>
      <c r="AR111" s="1079"/>
      <c r="AS111" s="1090"/>
    </row>
    <row r="112" spans="1:45">
      <c r="C112" s="369" t="s">
        <v>473</v>
      </c>
      <c r="P112" s="369">
        <v>0.2</v>
      </c>
      <c r="Q112" s="369">
        <v>0.2</v>
      </c>
      <c r="R112" s="1084">
        <v>0.2</v>
      </c>
      <c r="S112" s="1084">
        <v>0.2</v>
      </c>
      <c r="T112" s="1084">
        <v>0.3</v>
      </c>
      <c r="U112" s="1084">
        <v>0.4</v>
      </c>
      <c r="V112" s="1084">
        <v>0.5</v>
      </c>
      <c r="W112" s="1084"/>
      <c r="X112" s="1090">
        <v>0.4</v>
      </c>
      <c r="Y112" s="1090">
        <v>0.6</v>
      </c>
      <c r="AA112" s="1090">
        <v>1.3</v>
      </c>
      <c r="AC112" s="1090">
        <v>2.8</v>
      </c>
      <c r="AD112" s="1090">
        <v>4.5999999999999996</v>
      </c>
      <c r="AE112" s="1090">
        <v>5.8</v>
      </c>
      <c r="AF112" s="1090">
        <v>5.9</v>
      </c>
      <c r="AG112" s="1090">
        <v>6.9</v>
      </c>
      <c r="AH112" s="1090">
        <v>7.1</v>
      </c>
      <c r="AI112" s="1090">
        <v>7.4</v>
      </c>
      <c r="AJ112" s="1090">
        <v>7.9</v>
      </c>
      <c r="AK112" s="1090">
        <v>8.1</v>
      </c>
      <c r="AL112" s="1090">
        <v>8.1999999999999993</v>
      </c>
      <c r="AM112" s="1090">
        <v>7.8</v>
      </c>
      <c r="AN112" s="1079">
        <v>7</v>
      </c>
      <c r="AO112" s="1090">
        <v>6.6</v>
      </c>
      <c r="AP112" s="1079">
        <v>6.4</v>
      </c>
      <c r="AQ112" s="1090"/>
      <c r="AR112" s="1079"/>
      <c r="AS112" s="1090"/>
    </row>
    <row r="113" spans="1:45" ht="16.149999999999999" customHeight="1">
      <c r="A113" s="369" t="s">
        <v>474</v>
      </c>
      <c r="C113" s="369" t="s">
        <v>475</v>
      </c>
      <c r="R113" s="1084"/>
      <c r="S113" s="1084"/>
      <c r="T113" s="1084"/>
      <c r="U113" s="1084"/>
      <c r="V113" s="1084"/>
      <c r="W113" s="1084" t="s">
        <v>269</v>
      </c>
      <c r="X113" s="1090">
        <v>1.8</v>
      </c>
      <c r="Y113" s="1090">
        <v>16.3</v>
      </c>
      <c r="AA113" s="1090">
        <v>25.9</v>
      </c>
      <c r="AC113" s="1090">
        <v>49.5</v>
      </c>
      <c r="AD113" s="1090">
        <v>47.6</v>
      </c>
      <c r="AE113" s="1090">
        <v>52.4</v>
      </c>
      <c r="AF113" s="1090">
        <v>54.1</v>
      </c>
      <c r="AG113" s="1090">
        <v>51.1</v>
      </c>
      <c r="AH113" s="1090">
        <v>47.1</v>
      </c>
      <c r="AI113" s="1090">
        <v>46.8</v>
      </c>
      <c r="AJ113" s="1090">
        <v>45</v>
      </c>
      <c r="AK113" s="1090">
        <v>27.6</v>
      </c>
      <c r="AL113" s="1090">
        <v>38.1</v>
      </c>
      <c r="AM113" s="1090">
        <v>37.700000000000003</v>
      </c>
      <c r="AN113" s="1079">
        <v>43.3</v>
      </c>
      <c r="AO113" s="1090">
        <v>43.5</v>
      </c>
      <c r="AP113" s="1079">
        <v>42.5</v>
      </c>
      <c r="AQ113" s="1090"/>
      <c r="AR113" s="1079"/>
      <c r="AS113" s="1090"/>
    </row>
    <row r="114" spans="1:45" hidden="1">
      <c r="AI114" s="1079"/>
      <c r="AJ114" s="1079"/>
      <c r="AK114" s="1079"/>
      <c r="AL114" s="1079"/>
      <c r="AM114" s="1079"/>
      <c r="AN114" s="1079"/>
      <c r="AO114" s="1079"/>
      <c r="AP114" s="1079"/>
      <c r="AQ114" s="1079"/>
    </row>
    <row r="115" spans="1:45" hidden="1">
      <c r="C115" s="1504"/>
      <c r="D115" s="1491"/>
      <c r="E115" s="1491"/>
      <c r="F115" s="1491"/>
      <c r="G115" s="1491"/>
      <c r="H115" s="1491"/>
      <c r="I115" s="1491"/>
      <c r="J115" s="1491"/>
      <c r="K115" s="1491"/>
      <c r="L115" s="1491"/>
      <c r="M115" s="1491"/>
      <c r="N115" s="1491"/>
      <c r="O115" s="1491"/>
      <c r="P115" s="1491"/>
      <c r="Q115" s="1491"/>
      <c r="R115" s="1505"/>
      <c r="S115" s="1505"/>
      <c r="T115" s="1505"/>
      <c r="U115" s="1505"/>
      <c r="V115" s="1505"/>
      <c r="W115" s="1505"/>
      <c r="X115" s="1506"/>
      <c r="Y115" s="1506"/>
      <c r="AA115" s="1506"/>
      <c r="AC115" s="1506"/>
      <c r="AD115" s="1506"/>
      <c r="AE115" s="1506"/>
      <c r="AF115" s="1506"/>
      <c r="AG115" s="1506"/>
      <c r="AH115" s="1507"/>
      <c r="AI115" s="1507"/>
      <c r="AJ115" s="1507"/>
      <c r="AK115" s="1507"/>
      <c r="AL115" s="1507"/>
      <c r="AM115" s="1090"/>
      <c r="AN115" s="1079"/>
      <c r="AO115" s="1090"/>
      <c r="AP115" s="1079"/>
      <c r="AQ115" s="1090"/>
    </row>
    <row r="116" spans="1:45" hidden="1">
      <c r="C116" s="1504"/>
      <c r="D116" s="1491"/>
      <c r="E116" s="1491"/>
      <c r="F116" s="1491"/>
      <c r="G116" s="1491"/>
      <c r="H116" s="1491"/>
      <c r="I116" s="1491"/>
      <c r="J116" s="1491"/>
      <c r="K116" s="1491"/>
      <c r="L116" s="1491"/>
      <c r="M116" s="1491"/>
      <c r="N116" s="1491"/>
      <c r="O116" s="1491"/>
      <c r="P116" s="1491"/>
      <c r="Q116" s="1491"/>
      <c r="R116" s="1505"/>
      <c r="S116" s="1505"/>
      <c r="T116" s="1505"/>
      <c r="U116" s="1505"/>
      <c r="V116" s="1505"/>
      <c r="W116" s="1505"/>
      <c r="X116" s="1500"/>
      <c r="Y116" s="1500"/>
      <c r="AA116" s="1500"/>
      <c r="AC116" s="1500"/>
      <c r="AD116" s="1500"/>
      <c r="AE116" s="1500"/>
      <c r="AF116" s="1500"/>
      <c r="AG116" s="1500"/>
      <c r="AH116" s="1508"/>
      <c r="AI116" s="1508"/>
      <c r="AJ116" s="1508"/>
      <c r="AK116" s="1508"/>
      <c r="AL116" s="1508"/>
      <c r="AM116" s="1090"/>
      <c r="AN116" s="1079"/>
      <c r="AO116" s="1090"/>
      <c r="AP116" s="1079"/>
      <c r="AQ116" s="1090"/>
    </row>
    <row r="117" spans="1:45" hidden="1">
      <c r="C117" s="1504"/>
      <c r="D117" s="1491"/>
      <c r="E117" s="1491"/>
      <c r="F117" s="1491"/>
      <c r="G117" s="1491"/>
      <c r="H117" s="1491"/>
      <c r="I117" s="1491"/>
      <c r="J117" s="1491"/>
      <c r="K117" s="1491"/>
      <c r="L117" s="1491"/>
      <c r="M117" s="1491"/>
      <c r="N117" s="1491"/>
      <c r="O117" s="1491"/>
      <c r="P117" s="1491"/>
      <c r="Q117" s="1491"/>
      <c r="R117" s="1505"/>
      <c r="S117" s="1505"/>
      <c r="T117" s="1505"/>
      <c r="U117" s="1505"/>
      <c r="V117" s="1505"/>
      <c r="W117" s="1505"/>
      <c r="X117" s="1500"/>
      <c r="Y117" s="1500"/>
      <c r="AA117" s="1500"/>
      <c r="AC117" s="1500"/>
      <c r="AD117" s="1500"/>
      <c r="AE117" s="1500"/>
      <c r="AF117" s="1500"/>
      <c r="AG117" s="1500"/>
      <c r="AH117" s="1508"/>
      <c r="AI117" s="1508"/>
      <c r="AJ117" s="1508"/>
      <c r="AK117" s="1508"/>
      <c r="AL117" s="1508"/>
      <c r="AM117" s="1090"/>
      <c r="AN117" s="1079"/>
      <c r="AO117" s="1090"/>
      <c r="AP117" s="1079"/>
      <c r="AQ117" s="1090"/>
    </row>
    <row r="118" spans="1:45">
      <c r="R118" s="1084"/>
      <c r="S118" s="1084"/>
      <c r="T118" s="1084"/>
      <c r="U118" s="1084"/>
      <c r="V118" s="1084"/>
      <c r="W118" s="1084"/>
      <c r="X118" s="1090"/>
      <c r="Y118" s="1090"/>
      <c r="AA118" s="1090"/>
      <c r="AC118" s="1090"/>
      <c r="AD118" s="1090"/>
      <c r="AE118" s="1090"/>
      <c r="AF118" s="1090"/>
      <c r="AG118" s="1090"/>
      <c r="AH118" s="1090"/>
      <c r="AI118" s="1090"/>
      <c r="AJ118" s="1090"/>
      <c r="AK118" s="1090"/>
      <c r="AL118" s="1090"/>
      <c r="AM118" s="1090"/>
      <c r="AN118" s="1079"/>
      <c r="AO118" s="1090"/>
      <c r="AP118" s="1079"/>
      <c r="AQ118" s="1090"/>
    </row>
    <row r="119" spans="1:45" s="1102" customFormat="1">
      <c r="B119" s="217" t="s">
        <v>78</v>
      </c>
      <c r="P119" s="1103">
        <v>100.1</v>
      </c>
      <c r="Q119" s="1103">
        <v>113.4</v>
      </c>
      <c r="R119" s="1103">
        <v>115</v>
      </c>
      <c r="S119" s="1103">
        <v>109.5</v>
      </c>
      <c r="T119" s="1103">
        <v>117.5</v>
      </c>
      <c r="U119" s="1103">
        <v>142.5</v>
      </c>
      <c r="V119" s="1103">
        <v>150.00000000000003</v>
      </c>
      <c r="W119" s="1103"/>
      <c r="X119" s="1502">
        <v>205.5</v>
      </c>
      <c r="Y119" s="1502">
        <v>226.59999999999997</v>
      </c>
      <c r="AA119" s="1502">
        <v>330.29999999999995</v>
      </c>
      <c r="AC119" s="1502">
        <v>430.8</v>
      </c>
      <c r="AD119" s="1502">
        <v>529.6</v>
      </c>
      <c r="AE119" s="1502">
        <v>591.79999999999995</v>
      </c>
      <c r="AF119" s="1502">
        <v>739</v>
      </c>
      <c r="AG119" s="1502">
        <v>828.4</v>
      </c>
      <c r="AH119" s="1502">
        <v>874.2</v>
      </c>
      <c r="AI119" s="1502">
        <v>1023.9</v>
      </c>
      <c r="AJ119" s="1502">
        <v>720.4</v>
      </c>
      <c r="AK119" s="1502">
        <v>506.9</v>
      </c>
      <c r="AL119" s="1502">
        <v>484.09999999999997</v>
      </c>
      <c r="AM119" s="1502">
        <v>496.9</v>
      </c>
      <c r="AN119" s="1509">
        <v>526.29999999999995</v>
      </c>
      <c r="AO119" s="1502">
        <v>550.1</v>
      </c>
      <c r="AP119" s="1509">
        <f>SUM(AP121:AP123)</f>
        <v>565.4</v>
      </c>
      <c r="AQ119" s="1502"/>
    </row>
    <row r="120" spans="1:45">
      <c r="R120" s="1084"/>
      <c r="S120" s="1084"/>
      <c r="T120" s="1084"/>
      <c r="U120" s="1084"/>
      <c r="V120" s="1084"/>
      <c r="W120" s="1084"/>
      <c r="X120" s="1090"/>
      <c r="Y120" s="1090"/>
      <c r="AA120" s="1090"/>
      <c r="AC120" s="1090"/>
      <c r="AD120" s="1090"/>
      <c r="AE120" s="1090"/>
      <c r="AF120" s="1090"/>
      <c r="AG120" s="1090"/>
      <c r="AI120" s="1079"/>
      <c r="AJ120" s="1079"/>
      <c r="AK120" s="1079"/>
      <c r="AL120" s="1079"/>
      <c r="AM120" s="1079"/>
      <c r="AN120" s="1079"/>
      <c r="AO120" s="1079"/>
      <c r="AP120" s="1079"/>
      <c r="AQ120" s="1079"/>
    </row>
    <row r="121" spans="1:45">
      <c r="A121" s="369" t="s">
        <v>476</v>
      </c>
      <c r="C121" s="369" t="s">
        <v>477</v>
      </c>
      <c r="P121" s="369">
        <v>63.4</v>
      </c>
      <c r="Q121" s="369">
        <v>69.2</v>
      </c>
      <c r="R121" s="369">
        <v>62.2</v>
      </c>
      <c r="S121" s="369">
        <v>53.3</v>
      </c>
      <c r="T121" s="369">
        <v>57.3</v>
      </c>
      <c r="U121" s="369">
        <v>75.099999999999994</v>
      </c>
      <c r="V121" s="369">
        <v>86.9</v>
      </c>
      <c r="X121" s="1079">
        <v>168</v>
      </c>
      <c r="Y121" s="1079">
        <v>161.69999999999999</v>
      </c>
      <c r="AA121" s="1079">
        <v>218.2</v>
      </c>
      <c r="AC121" s="1079">
        <v>260.5</v>
      </c>
      <c r="AD121" s="1079">
        <v>300.3</v>
      </c>
      <c r="AE121" s="1079">
        <v>321</v>
      </c>
      <c r="AF121" s="1079">
        <v>589.6</v>
      </c>
      <c r="AG121" s="1079">
        <v>697.9</v>
      </c>
      <c r="AH121" s="1079">
        <v>737.2</v>
      </c>
      <c r="AI121" s="1079">
        <v>883.9</v>
      </c>
      <c r="AJ121" s="1079">
        <v>575.79999999999995</v>
      </c>
      <c r="AK121" s="1079">
        <v>354.9</v>
      </c>
      <c r="AL121" s="1079">
        <v>325.2</v>
      </c>
      <c r="AM121" s="1079">
        <v>329</v>
      </c>
      <c r="AN121" s="1079">
        <v>350</v>
      </c>
      <c r="AO121" s="1079">
        <v>355.7</v>
      </c>
      <c r="AP121" s="1079">
        <v>355.2</v>
      </c>
      <c r="AQ121" s="1079"/>
    </row>
    <row r="122" spans="1:45">
      <c r="C122" s="369" t="s">
        <v>478</v>
      </c>
      <c r="P122" s="369">
        <v>9.3000000000000007</v>
      </c>
      <c r="Q122" s="369">
        <v>14.2</v>
      </c>
      <c r="R122" s="369">
        <v>17.3</v>
      </c>
      <c r="S122" s="369">
        <v>20.5</v>
      </c>
      <c r="T122" s="369">
        <v>22.6</v>
      </c>
      <c r="U122" s="369">
        <v>31.6</v>
      </c>
      <c r="V122" s="369">
        <v>38.4</v>
      </c>
      <c r="X122" s="1079">
        <v>36</v>
      </c>
      <c r="Y122" s="1079">
        <v>63.2</v>
      </c>
      <c r="AA122" s="1079">
        <v>109.6</v>
      </c>
      <c r="AC122" s="1079">
        <v>167.2</v>
      </c>
      <c r="AD122" s="1079">
        <v>225.7</v>
      </c>
      <c r="AE122" s="1079">
        <v>266.8</v>
      </c>
      <c r="AF122" s="1079">
        <v>145.5</v>
      </c>
      <c r="AG122" s="1079">
        <v>126.6</v>
      </c>
      <c r="AH122" s="1079">
        <v>131.1</v>
      </c>
      <c r="AI122" s="1499">
        <v>134</v>
      </c>
      <c r="AJ122" s="1499">
        <v>138.6</v>
      </c>
      <c r="AK122" s="1499">
        <v>145.9</v>
      </c>
      <c r="AL122" s="1499">
        <v>155.1</v>
      </c>
      <c r="AM122" s="1499">
        <v>164.2</v>
      </c>
      <c r="AN122" s="1079">
        <v>172.5</v>
      </c>
      <c r="AO122" s="1499">
        <v>190.1</v>
      </c>
      <c r="AP122" s="1079">
        <v>206.2</v>
      </c>
      <c r="AQ122" s="1499"/>
    </row>
    <row r="123" spans="1:45">
      <c r="A123" s="369" t="s">
        <v>430</v>
      </c>
      <c r="C123" s="369" t="s">
        <v>479</v>
      </c>
      <c r="P123" s="369">
        <v>2.1</v>
      </c>
      <c r="Q123" s="369">
        <v>2.2000000000000002</v>
      </c>
      <c r="R123" s="369">
        <v>2.4</v>
      </c>
      <c r="S123" s="369">
        <v>2.5</v>
      </c>
      <c r="T123" s="369">
        <v>2.7</v>
      </c>
      <c r="U123" s="369">
        <v>3.5</v>
      </c>
      <c r="V123" s="369">
        <v>3.8</v>
      </c>
      <c r="X123" s="1079">
        <v>1.5</v>
      </c>
      <c r="Y123" s="1079">
        <v>1.7</v>
      </c>
      <c r="AA123" s="1079">
        <v>2.5</v>
      </c>
      <c r="AC123" s="1079">
        <v>3.1</v>
      </c>
      <c r="AD123" s="1079">
        <v>3.6</v>
      </c>
      <c r="AE123" s="1079">
        <v>4</v>
      </c>
      <c r="AF123" s="1079">
        <v>3.9</v>
      </c>
      <c r="AG123" s="1079">
        <v>3.9</v>
      </c>
      <c r="AH123" s="1079">
        <v>5.9</v>
      </c>
      <c r="AI123" s="1499">
        <v>6</v>
      </c>
      <c r="AJ123" s="1499">
        <v>6</v>
      </c>
      <c r="AK123" s="1499">
        <v>6.1</v>
      </c>
      <c r="AL123" s="1499">
        <v>3.8</v>
      </c>
      <c r="AM123" s="1499">
        <v>3.7</v>
      </c>
      <c r="AN123" s="1079">
        <v>3.8</v>
      </c>
      <c r="AO123" s="1499">
        <v>4.3</v>
      </c>
      <c r="AP123" s="1079">
        <v>4</v>
      </c>
      <c r="AQ123" s="1499"/>
    </row>
    <row r="124" spans="1:45">
      <c r="A124" s="369" t="s">
        <v>474</v>
      </c>
      <c r="C124" s="369" t="s">
        <v>480</v>
      </c>
      <c r="P124" s="369">
        <v>25.3</v>
      </c>
      <c r="Q124" s="369">
        <v>27.8</v>
      </c>
      <c r="R124" s="369">
        <v>33.1</v>
      </c>
      <c r="S124" s="369">
        <v>33.200000000000003</v>
      </c>
      <c r="T124" s="369">
        <v>34.9</v>
      </c>
      <c r="U124" s="369">
        <v>32.299999999999997</v>
      </c>
      <c r="V124" s="369">
        <v>20.9</v>
      </c>
      <c r="AI124" s="1079"/>
      <c r="AJ124" s="1079"/>
      <c r="AK124" s="1079"/>
      <c r="AL124" s="1079"/>
      <c r="AM124" s="1079"/>
      <c r="AN124" s="1079"/>
      <c r="AO124" s="1090"/>
      <c r="AP124" s="1079"/>
      <c r="AQ124" s="1079"/>
    </row>
    <row r="125" spans="1:45" hidden="1">
      <c r="AI125" s="1079"/>
      <c r="AJ125" s="1079"/>
      <c r="AK125" s="1079"/>
      <c r="AL125" s="1079"/>
      <c r="AM125" s="1079"/>
      <c r="AN125" s="1079"/>
      <c r="AO125" s="1079"/>
      <c r="AP125" s="1079"/>
      <c r="AQ125" s="1079"/>
    </row>
    <row r="126" spans="1:45">
      <c r="AI126" s="1079"/>
      <c r="AJ126" s="1079"/>
      <c r="AK126" s="1079"/>
      <c r="AL126" s="1079"/>
      <c r="AM126" s="1079"/>
      <c r="AN126" s="1079"/>
      <c r="AO126" s="1079"/>
      <c r="AP126" s="1079"/>
      <c r="AQ126" s="1079"/>
    </row>
    <row r="127" spans="1:45" ht="13.5">
      <c r="B127" s="220" t="s">
        <v>446</v>
      </c>
      <c r="AI127" s="1079"/>
      <c r="AJ127" s="1079"/>
      <c r="AK127" s="1079"/>
      <c r="AL127" s="1079"/>
      <c r="AM127" s="1079"/>
      <c r="AN127" s="1079"/>
      <c r="AO127" s="1079"/>
      <c r="AP127" s="1079"/>
      <c r="AQ127" s="1079"/>
    </row>
    <row r="128" spans="1:45">
      <c r="B128" s="217" t="s">
        <v>447</v>
      </c>
      <c r="P128" s="1103">
        <v>487.8</v>
      </c>
      <c r="Q128" s="1103">
        <v>642.6</v>
      </c>
      <c r="R128" s="1103">
        <v>766.9</v>
      </c>
      <c r="S128" s="1103">
        <v>991.3</v>
      </c>
      <c r="T128" s="1103">
        <v>1264.9000000000001</v>
      </c>
      <c r="U128" s="1103">
        <v>1945</v>
      </c>
      <c r="V128" s="1103">
        <v>2544.5</v>
      </c>
      <c r="W128" s="1084"/>
      <c r="X128" s="1502">
        <v>2009.5</v>
      </c>
      <c r="Y128" s="1502">
        <v>2708.9</v>
      </c>
      <c r="AA128" s="1502">
        <v>2240</v>
      </c>
      <c r="AC128" s="1502">
        <v>2299.1999999999998</v>
      </c>
      <c r="AD128" s="1502">
        <v>2271.1999999999998</v>
      </c>
      <c r="AE128" s="1502">
        <v>1857.8</v>
      </c>
      <c r="AF128" s="1502">
        <v>1899.2</v>
      </c>
      <c r="AG128" s="1502">
        <v>1754.6</v>
      </c>
      <c r="AH128" s="1502">
        <v>1767.6</v>
      </c>
      <c r="AI128" s="1502">
        <v>1699.3000000000002</v>
      </c>
      <c r="AJ128" s="1502">
        <v>1760</v>
      </c>
      <c r="AK128" s="1502">
        <v>896.8</v>
      </c>
      <c r="AL128" s="1502">
        <v>943.6</v>
      </c>
      <c r="AM128" s="1502">
        <v>962.09999999999991</v>
      </c>
      <c r="AN128" s="1509">
        <v>987.2</v>
      </c>
      <c r="AO128" s="1502">
        <v>1092.2</v>
      </c>
      <c r="AP128" s="1502">
        <f>SUM(AP130:AP135)</f>
        <v>1345</v>
      </c>
      <c r="AQ128" s="1502"/>
    </row>
    <row r="129" spans="2:43">
      <c r="B129" s="217"/>
      <c r="R129" s="1084"/>
      <c r="S129" s="1084"/>
      <c r="T129" s="1084"/>
      <c r="U129" s="1084"/>
      <c r="V129" s="1084"/>
      <c r="W129" s="1084"/>
      <c r="X129" s="1090"/>
      <c r="Y129" s="1090"/>
      <c r="AA129" s="1090"/>
      <c r="AC129" s="1090"/>
      <c r="AD129" s="1090"/>
      <c r="AE129" s="1090"/>
      <c r="AF129" s="1090"/>
      <c r="AG129" s="1090"/>
      <c r="AI129" s="1079"/>
      <c r="AJ129" s="1079"/>
      <c r="AK129" s="1079"/>
      <c r="AL129" s="1079"/>
      <c r="AM129" s="1079"/>
      <c r="AN129" s="1079"/>
      <c r="AO129" s="1079"/>
      <c r="AP129" s="1079"/>
      <c r="AQ129" s="1079"/>
    </row>
    <row r="130" spans="2:43">
      <c r="C130" s="369" t="s">
        <v>481</v>
      </c>
      <c r="P130" s="369">
        <v>58</v>
      </c>
      <c r="Q130" s="369">
        <v>87</v>
      </c>
      <c r="R130" s="1084">
        <v>113</v>
      </c>
      <c r="S130" s="1084">
        <v>154</v>
      </c>
      <c r="T130" s="1084">
        <v>202</v>
      </c>
      <c r="U130" s="1084">
        <v>328.9</v>
      </c>
      <c r="V130" s="1084">
        <v>456</v>
      </c>
      <c r="W130" s="1084"/>
      <c r="X130" s="1090">
        <v>388.7</v>
      </c>
      <c r="Y130" s="1090">
        <v>563.29999999999995</v>
      </c>
      <c r="AA130" s="1090">
        <v>540</v>
      </c>
      <c r="AC130" s="1090">
        <v>543.29999999999995</v>
      </c>
      <c r="AD130" s="1090">
        <v>543.29999999999995</v>
      </c>
      <c r="AE130" s="1090">
        <v>655</v>
      </c>
      <c r="AF130" s="1090">
        <v>729</v>
      </c>
      <c r="AG130" s="1090">
        <v>598.5</v>
      </c>
      <c r="AH130" s="1499">
        <v>584</v>
      </c>
      <c r="AI130" s="1499">
        <v>560</v>
      </c>
      <c r="AJ130" s="1499">
        <v>552</v>
      </c>
      <c r="AK130" s="1499">
        <v>548.79999999999995</v>
      </c>
      <c r="AL130" s="1090">
        <v>580.6</v>
      </c>
      <c r="AM130" s="1499">
        <v>582.4</v>
      </c>
      <c r="AN130" s="1079">
        <v>598.1</v>
      </c>
      <c r="AO130" s="1499">
        <v>677.7</v>
      </c>
      <c r="AP130" s="1079" t="s">
        <v>1869</v>
      </c>
      <c r="AQ130" s="1499"/>
    </row>
    <row r="131" spans="2:43">
      <c r="C131" s="369" t="s">
        <v>1875</v>
      </c>
      <c r="P131" s="369">
        <v>142</v>
      </c>
      <c r="Q131" s="369">
        <v>160</v>
      </c>
      <c r="R131" s="1084">
        <v>198</v>
      </c>
      <c r="S131" s="1084">
        <v>266</v>
      </c>
      <c r="T131" s="1084">
        <v>343</v>
      </c>
      <c r="U131" s="1084">
        <v>533.4</v>
      </c>
      <c r="V131" s="1084">
        <v>645</v>
      </c>
      <c r="W131" s="1084"/>
      <c r="X131" s="1090">
        <v>497.7</v>
      </c>
      <c r="Y131" s="1090">
        <v>623.1</v>
      </c>
      <c r="AA131" s="1090">
        <v>120</v>
      </c>
      <c r="AC131" s="1090">
        <v>120</v>
      </c>
      <c r="AD131" s="1090">
        <v>120</v>
      </c>
      <c r="AE131" s="1090">
        <v>165</v>
      </c>
      <c r="AF131" s="1090">
        <v>153</v>
      </c>
      <c r="AG131" s="1090">
        <v>141</v>
      </c>
      <c r="AH131" s="1499">
        <v>142</v>
      </c>
      <c r="AI131" s="1499">
        <v>137.4</v>
      </c>
      <c r="AJ131" s="1090">
        <v>132</v>
      </c>
      <c r="AK131" s="1499">
        <v>138</v>
      </c>
      <c r="AL131" s="1090">
        <v>147</v>
      </c>
      <c r="AM131" s="1499">
        <v>158.4</v>
      </c>
      <c r="AN131" s="1079">
        <v>159.80000000000001</v>
      </c>
      <c r="AO131" s="1499">
        <v>173.2</v>
      </c>
      <c r="AP131" s="1079">
        <v>234</v>
      </c>
      <c r="AQ131" s="1499"/>
    </row>
    <row r="132" spans="2:43">
      <c r="C132" s="369" t="s">
        <v>482</v>
      </c>
      <c r="P132" s="369">
        <v>245.2</v>
      </c>
      <c r="Q132" s="369">
        <v>344</v>
      </c>
      <c r="R132" s="1084">
        <v>399</v>
      </c>
      <c r="S132" s="1084">
        <v>500</v>
      </c>
      <c r="T132" s="1084">
        <v>648</v>
      </c>
      <c r="U132" s="1084">
        <v>966.5</v>
      </c>
      <c r="V132" s="1084">
        <v>1274</v>
      </c>
      <c r="W132" s="1084"/>
      <c r="X132" s="1090">
        <v>938.4</v>
      </c>
      <c r="Y132" s="1090">
        <v>1271.5999999999999</v>
      </c>
      <c r="AA132" s="1090">
        <v>1200</v>
      </c>
      <c r="AC132" s="1090">
        <v>1200</v>
      </c>
      <c r="AD132" s="1090">
        <v>1200</v>
      </c>
      <c r="AE132" s="1090">
        <v>685</v>
      </c>
      <c r="AF132" s="1090">
        <v>780</v>
      </c>
      <c r="AG132" s="1090">
        <v>835</v>
      </c>
      <c r="AH132" s="1499">
        <v>805</v>
      </c>
      <c r="AI132" s="1499">
        <v>765</v>
      </c>
      <c r="AJ132" s="1499">
        <v>865</v>
      </c>
      <c r="AK132" s="1090" t="s">
        <v>269</v>
      </c>
      <c r="AL132" s="1090" t="s">
        <v>269</v>
      </c>
      <c r="AM132" s="1499" t="s">
        <v>269</v>
      </c>
      <c r="AN132" s="1079" t="s">
        <v>269</v>
      </c>
      <c r="AO132" s="1499" t="s">
        <v>269</v>
      </c>
      <c r="AP132" s="1079" t="s">
        <v>269</v>
      </c>
      <c r="AQ132" s="1499"/>
    </row>
    <row r="133" spans="2:43">
      <c r="C133" s="369" t="s">
        <v>483</v>
      </c>
      <c r="P133" s="369">
        <v>42.6</v>
      </c>
      <c r="Q133" s="369">
        <v>51.6</v>
      </c>
      <c r="R133" s="1084">
        <v>56.9</v>
      </c>
      <c r="S133" s="1084">
        <v>71.3</v>
      </c>
      <c r="T133" s="1084">
        <v>71.900000000000006</v>
      </c>
      <c r="U133" s="1084">
        <v>116.2</v>
      </c>
      <c r="V133" s="1084">
        <v>169.5</v>
      </c>
      <c r="W133" s="1084"/>
      <c r="X133" s="1090">
        <v>184.7</v>
      </c>
      <c r="Y133" s="1090">
        <v>250.9</v>
      </c>
      <c r="AA133" s="1090">
        <v>380</v>
      </c>
      <c r="AC133" s="1090">
        <v>435.9</v>
      </c>
      <c r="AD133" s="1090">
        <v>407.9</v>
      </c>
      <c r="AE133" s="1090">
        <v>352.8</v>
      </c>
      <c r="AF133" s="1090">
        <v>237.2</v>
      </c>
      <c r="AG133" s="1090">
        <v>180.1</v>
      </c>
      <c r="AH133" s="1499">
        <v>164.3</v>
      </c>
      <c r="AI133" s="1499">
        <v>168</v>
      </c>
      <c r="AJ133" s="1090" t="s">
        <v>269</v>
      </c>
      <c r="AK133" s="1090" t="s">
        <v>269</v>
      </c>
      <c r="AL133" s="1090" t="s">
        <v>269</v>
      </c>
      <c r="AM133" s="1090" t="s">
        <v>269</v>
      </c>
      <c r="AN133" s="1079" t="s">
        <v>269</v>
      </c>
      <c r="AO133" s="1090" t="s">
        <v>269</v>
      </c>
      <c r="AP133" s="1079" t="s">
        <v>269</v>
      </c>
      <c r="AQ133" s="1090"/>
    </row>
    <row r="134" spans="2:43">
      <c r="C134" s="369" t="s">
        <v>1410</v>
      </c>
      <c r="R134" s="1084"/>
      <c r="S134" s="1084"/>
      <c r="T134" s="1084"/>
      <c r="U134" s="1084"/>
      <c r="V134" s="1084"/>
      <c r="W134" s="1084"/>
      <c r="X134" s="1499"/>
      <c r="Y134" s="1499"/>
      <c r="Z134" s="1499"/>
      <c r="AA134" s="1499"/>
      <c r="AB134" s="1499"/>
      <c r="AC134" s="1499"/>
      <c r="AD134" s="1499"/>
      <c r="AE134" s="1499"/>
      <c r="AF134" s="1499"/>
      <c r="AG134" s="1499"/>
      <c r="AH134" s="1510"/>
      <c r="AI134" s="1510"/>
      <c r="AJ134" s="1499">
        <v>211</v>
      </c>
      <c r="AK134" s="1499">
        <v>210</v>
      </c>
      <c r="AL134" s="1499">
        <v>216</v>
      </c>
      <c r="AM134" s="1090">
        <v>221.3</v>
      </c>
      <c r="AN134" s="1079">
        <v>229.3</v>
      </c>
      <c r="AO134" s="1090">
        <v>241.3</v>
      </c>
      <c r="AP134" s="1079">
        <v>1111</v>
      </c>
      <c r="AQ134" s="1090"/>
    </row>
    <row r="135" spans="2:43">
      <c r="B135" s="1081"/>
      <c r="C135" s="1455" t="s">
        <v>1876</v>
      </c>
      <c r="D135" s="1081"/>
      <c r="E135" s="1081"/>
      <c r="F135" s="1081"/>
      <c r="G135" s="1081"/>
      <c r="H135" s="1081"/>
      <c r="I135" s="1081"/>
      <c r="J135" s="1081"/>
      <c r="K135" s="1081"/>
      <c r="L135" s="1081"/>
      <c r="M135" s="1081"/>
      <c r="N135" s="1081"/>
      <c r="O135" s="1081"/>
      <c r="P135" s="1081"/>
      <c r="Q135" s="1081"/>
      <c r="R135" s="1081"/>
      <c r="S135" s="1081"/>
      <c r="T135" s="1081"/>
      <c r="U135" s="1081"/>
      <c r="V135" s="1081"/>
      <c r="W135" s="1081"/>
      <c r="X135" s="1115"/>
      <c r="Y135" s="1115"/>
      <c r="Z135" s="1115"/>
      <c r="AA135" s="1115"/>
      <c r="AB135" s="1115"/>
      <c r="AC135" s="1115"/>
      <c r="AD135" s="1115"/>
      <c r="AE135" s="1115"/>
      <c r="AF135" s="1115"/>
      <c r="AG135" s="1115"/>
      <c r="AH135" s="1511">
        <v>72.3</v>
      </c>
      <c r="AI135" s="1512">
        <v>68.900000000000006</v>
      </c>
      <c r="AJ135" s="1512" t="s">
        <v>269</v>
      </c>
      <c r="AK135" s="1512" t="s">
        <v>269</v>
      </c>
      <c r="AL135" s="1512" t="s">
        <v>269</v>
      </c>
      <c r="AM135" s="1512" t="s">
        <v>269</v>
      </c>
      <c r="AN135" s="1512" t="s">
        <v>269</v>
      </c>
      <c r="AO135" s="1512"/>
      <c r="AP135" s="1512" t="s">
        <v>1869</v>
      </c>
      <c r="AQ135" s="1512"/>
    </row>
    <row r="136" spans="2:43">
      <c r="C136" s="1134"/>
      <c r="AH136" s="1513"/>
      <c r="AI136" s="1514"/>
      <c r="AJ136" s="1514"/>
      <c r="AK136" s="1514"/>
      <c r="AL136" s="1514"/>
      <c r="AM136" s="1514"/>
      <c r="AO136" s="1514"/>
      <c r="AQ136" s="1514"/>
    </row>
    <row r="137" spans="2:43" hidden="1">
      <c r="AG137" s="1090"/>
      <c r="AH137" s="1513"/>
      <c r="AI137" s="1515"/>
      <c r="AJ137" s="1515"/>
      <c r="AK137" s="1515"/>
      <c r="AL137" s="1516"/>
      <c r="AM137" s="1516"/>
      <c r="AO137" s="1516"/>
      <c r="AQ137" s="1516"/>
    </row>
    <row r="138" spans="2:43" hidden="1">
      <c r="AG138" s="1090"/>
      <c r="AH138" s="1514"/>
      <c r="AI138" s="1516"/>
      <c r="AJ138" s="1516"/>
      <c r="AK138" s="1516"/>
      <c r="AL138" s="1516"/>
      <c r="AM138" s="1079"/>
      <c r="AO138" s="1079"/>
      <c r="AQ138" s="1079"/>
    </row>
    <row r="139" spans="2:43">
      <c r="B139" s="369" t="s">
        <v>1877</v>
      </c>
    </row>
    <row r="140" spans="2:43">
      <c r="B140" s="369" t="s">
        <v>1878</v>
      </c>
      <c r="AG140" s="1090"/>
    </row>
    <row r="141" spans="2:43">
      <c r="B141" s="369" t="s">
        <v>1879</v>
      </c>
      <c r="AG141" s="1090"/>
    </row>
    <row r="142" spans="2:43" ht="54" customHeight="1">
      <c r="B142" s="1929" t="s">
        <v>1880</v>
      </c>
      <c r="C142" s="1977"/>
      <c r="D142" s="1977"/>
      <c r="E142" s="1977"/>
      <c r="F142" s="1977"/>
      <c r="G142" s="1977"/>
      <c r="H142" s="1977"/>
      <c r="I142" s="1977"/>
      <c r="J142" s="1977"/>
      <c r="K142" s="1977"/>
      <c r="L142" s="1977"/>
      <c r="M142" s="1977"/>
      <c r="N142" s="1977"/>
      <c r="O142" s="1977"/>
      <c r="P142" s="1977"/>
      <c r="Q142" s="1977"/>
      <c r="R142" s="1977"/>
      <c r="S142" s="1977"/>
      <c r="T142" s="1977"/>
      <c r="U142" s="1977"/>
      <c r="V142" s="1977"/>
      <c r="W142" s="1977"/>
      <c r="X142" s="1977"/>
      <c r="Y142" s="1977"/>
      <c r="Z142" s="1977"/>
      <c r="AA142" s="1977"/>
      <c r="AB142" s="1977"/>
      <c r="AG142" s="1090"/>
      <c r="AN142" s="1517"/>
    </row>
    <row r="143" spans="2:43" ht="27.6" customHeight="1">
      <c r="B143" s="1518" t="s">
        <v>1881</v>
      </c>
      <c r="AC143" s="1116"/>
      <c r="AD143" s="1116"/>
      <c r="AE143" s="1116"/>
      <c r="AF143" s="1116"/>
      <c r="AG143" s="1116"/>
    </row>
    <row r="144" spans="2:43">
      <c r="B144" s="369" t="s">
        <v>484</v>
      </c>
    </row>
    <row r="146" spans="2:39" hidden="1"/>
    <row r="147" spans="2:39" hidden="1"/>
    <row r="148" spans="2:39" hidden="1">
      <c r="AH148" s="1116"/>
      <c r="AI148" s="1116"/>
      <c r="AJ148" s="1116"/>
      <c r="AK148" s="1116"/>
      <c r="AL148" s="1116"/>
      <c r="AM148" s="1116"/>
    </row>
    <row r="149" spans="2:39" hidden="1"/>
    <row r="150" spans="2:39">
      <c r="B150" s="369" t="s">
        <v>485</v>
      </c>
    </row>
    <row r="151" spans="2:39">
      <c r="B151" s="369" t="s">
        <v>486</v>
      </c>
    </row>
    <row r="152" spans="2:39">
      <c r="B152" s="165" t="s">
        <v>487</v>
      </c>
    </row>
    <row r="153" spans="2:39" hidden="1"/>
    <row r="155" spans="2:39">
      <c r="B155" s="1117"/>
    </row>
    <row r="156" spans="2:39">
      <c r="B156" s="1117"/>
    </row>
  </sheetData>
  <mergeCells count="6">
    <mergeCell ref="B142:AB142"/>
    <mergeCell ref="B15:AQ15"/>
    <mergeCell ref="B55:Z55"/>
    <mergeCell ref="B56:Z56"/>
    <mergeCell ref="B57:Z57"/>
    <mergeCell ref="B87:AF87"/>
  </mergeCells>
  <pageMargins left="0.70866141732283472" right="0.70866141732283472" top="0.74803149606299213" bottom="0.74803149606299213" header="0.31496062992125984" footer="0.31496062992125984"/>
  <pageSetup paperSize="9" scale="4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V100"/>
  <sheetViews>
    <sheetView topLeftCell="B14" zoomScale="85" zoomScaleNormal="85" workbookViewId="0">
      <selection activeCell="B15" sqref="B15:AP100"/>
    </sheetView>
  </sheetViews>
  <sheetFormatPr defaultColWidth="8.88671875" defaultRowHeight="12.75"/>
  <cols>
    <col min="1" max="1" width="0" style="165" hidden="1" customWidth="1"/>
    <col min="2" max="2" width="8.88671875" style="165"/>
    <col min="3" max="3" width="53.109375" style="165" customWidth="1"/>
    <col min="4" max="15" width="2.33203125" style="165" hidden="1" customWidth="1"/>
    <col min="16" max="16" width="4.33203125" style="165" hidden="1" customWidth="1"/>
    <col min="17" max="17" width="1.44140625" style="165" hidden="1" customWidth="1"/>
    <col min="18" max="18" width="4.33203125" style="165" hidden="1" customWidth="1"/>
    <col min="19" max="19" width="1.44140625" style="165" hidden="1" customWidth="1"/>
    <col min="20" max="20" width="4.33203125" style="165" hidden="1" customWidth="1"/>
    <col min="21" max="21" width="1.44140625" style="165" hidden="1" customWidth="1"/>
    <col min="22" max="22" width="4.33203125" style="165" hidden="1" customWidth="1"/>
    <col min="23" max="23" width="1.44140625" style="165" hidden="1" customWidth="1"/>
    <col min="24" max="24" width="7.77734375" style="75" bestFit="1" customWidth="1"/>
    <col min="25" max="25" width="3" style="75" hidden="1" customWidth="1"/>
    <col min="26" max="26" width="7.77734375" style="75" bestFit="1" customWidth="1"/>
    <col min="27" max="27" width="2.77734375" style="75" hidden="1" customWidth="1"/>
    <col min="28" max="28" width="8.5546875" style="75" bestFit="1" customWidth="1"/>
    <col min="29" max="29" width="2.77734375" style="75" hidden="1" customWidth="1"/>
    <col min="30" max="30" width="8.5546875" style="75" bestFit="1" customWidth="1"/>
    <col min="31" max="31" width="2.109375" style="165" hidden="1" customWidth="1"/>
    <col min="32" max="35" width="8.88671875" style="75" customWidth="1"/>
    <col min="36" max="39" width="8.88671875" style="165" customWidth="1"/>
    <col min="40" max="16384" width="8.88671875" style="165"/>
  </cols>
  <sheetData>
    <row r="1" spans="1:42" hidden="1">
      <c r="B1" s="165" t="s">
        <v>448</v>
      </c>
    </row>
    <row r="2" spans="1:42" hidden="1"/>
    <row r="3" spans="1:42" hidden="1"/>
    <row r="4" spans="1:42" hidden="1">
      <c r="B4" s="165" t="s">
        <v>449</v>
      </c>
      <c r="P4" s="165">
        <v>1993</v>
      </c>
      <c r="R4" s="165">
        <v>1995</v>
      </c>
      <c r="T4" s="165">
        <v>1997</v>
      </c>
      <c r="V4" s="165">
        <v>1999</v>
      </c>
      <c r="X4" s="75">
        <v>2001</v>
      </c>
      <c r="Z4" s="75">
        <v>2003</v>
      </c>
      <c r="AB4" s="75">
        <v>2005</v>
      </c>
      <c r="AD4" s="75">
        <v>2007</v>
      </c>
      <c r="AF4" s="75">
        <v>2009</v>
      </c>
      <c r="AG4" s="75">
        <v>2010</v>
      </c>
      <c r="AH4" s="75">
        <v>2011</v>
      </c>
      <c r="AI4" s="75">
        <v>2012</v>
      </c>
      <c r="AJ4" s="75">
        <v>2013</v>
      </c>
      <c r="AK4" s="75">
        <v>2014</v>
      </c>
      <c r="AL4" s="75">
        <v>2015</v>
      </c>
      <c r="AM4" s="75">
        <v>2016</v>
      </c>
      <c r="AN4" s="75">
        <v>2017</v>
      </c>
      <c r="AO4" s="75">
        <v>2018</v>
      </c>
      <c r="AP4" s="75">
        <v>2019</v>
      </c>
    </row>
    <row r="5" spans="1:42" hidden="1">
      <c r="AJ5" s="75"/>
      <c r="AK5" s="75"/>
      <c r="AL5" s="75"/>
      <c r="AM5" s="75"/>
    </row>
    <row r="6" spans="1:42" hidden="1">
      <c r="A6" s="165" t="s">
        <v>2</v>
      </c>
      <c r="B6" s="165" t="s">
        <v>3</v>
      </c>
      <c r="X6" s="75">
        <f>X89</f>
        <v>0</v>
      </c>
      <c r="Z6" s="75">
        <f t="shared" ref="Z6:AF6" si="0">Z89</f>
        <v>0</v>
      </c>
      <c r="AB6" s="75">
        <f t="shared" si="0"/>
        <v>0</v>
      </c>
      <c r="AD6" s="75">
        <f t="shared" si="0"/>
        <v>0</v>
      </c>
      <c r="AE6" s="75"/>
      <c r="AF6" s="75">
        <f t="shared" si="0"/>
        <v>0</v>
      </c>
      <c r="AG6" s="75">
        <f t="shared" ref="AG6:AM6" si="1">AG89</f>
        <v>0</v>
      </c>
      <c r="AH6" s="75">
        <f t="shared" si="1"/>
        <v>0</v>
      </c>
      <c r="AI6" s="75">
        <f t="shared" si="1"/>
        <v>0</v>
      </c>
      <c r="AJ6" s="75">
        <f t="shared" si="1"/>
        <v>0</v>
      </c>
      <c r="AK6" s="75">
        <f t="shared" si="1"/>
        <v>0</v>
      </c>
      <c r="AL6" s="75">
        <f t="shared" si="1"/>
        <v>0</v>
      </c>
      <c r="AM6" s="75">
        <f t="shared" si="1"/>
        <v>0</v>
      </c>
    </row>
    <row r="7" spans="1:42" hidden="1">
      <c r="A7" s="165" t="s">
        <v>4</v>
      </c>
      <c r="B7" s="165" t="s">
        <v>5</v>
      </c>
      <c r="X7" s="75">
        <f>X94</f>
        <v>0</v>
      </c>
      <c r="Z7" s="75">
        <f t="shared" ref="Z7:AF7" si="2">Z94</f>
        <v>0</v>
      </c>
      <c r="AB7" s="75">
        <f t="shared" si="2"/>
        <v>0</v>
      </c>
      <c r="AD7" s="75">
        <f t="shared" si="2"/>
        <v>0</v>
      </c>
      <c r="AE7" s="75"/>
      <c r="AF7" s="75">
        <f t="shared" si="2"/>
        <v>0</v>
      </c>
      <c r="AG7" s="75">
        <f t="shared" ref="AG7:AM7" si="3">AG94</f>
        <v>0</v>
      </c>
      <c r="AH7" s="75">
        <f t="shared" si="3"/>
        <v>0</v>
      </c>
      <c r="AI7" s="75">
        <f t="shared" si="3"/>
        <v>0</v>
      </c>
      <c r="AJ7" s="75">
        <f t="shared" si="3"/>
        <v>0</v>
      </c>
      <c r="AK7" s="75">
        <f t="shared" si="3"/>
        <v>0</v>
      </c>
      <c r="AL7" s="75">
        <f t="shared" si="3"/>
        <v>0</v>
      </c>
      <c r="AM7" s="75">
        <f t="shared" si="3"/>
        <v>0</v>
      </c>
    </row>
    <row r="8" spans="1:42" hidden="1">
      <c r="A8" s="165" t="s">
        <v>6</v>
      </c>
      <c r="AJ8" s="75"/>
      <c r="AK8" s="75"/>
      <c r="AL8" s="75"/>
      <c r="AM8" s="75"/>
    </row>
    <row r="9" spans="1:42" hidden="1">
      <c r="AJ9" s="75"/>
      <c r="AK9" s="75"/>
      <c r="AL9" s="75"/>
      <c r="AM9" s="75"/>
    </row>
    <row r="10" spans="1:42" hidden="1">
      <c r="B10" s="165" t="s">
        <v>110</v>
      </c>
      <c r="X10" s="166">
        <f>X97</f>
        <v>6887.6002251671998</v>
      </c>
      <c r="Y10" s="166"/>
      <c r="Z10" s="166">
        <f>Z97</f>
        <v>8619.2687838240017</v>
      </c>
      <c r="AA10" s="166"/>
      <c r="AB10" s="166">
        <f>AB97</f>
        <v>10595.546866581601</v>
      </c>
      <c r="AC10" s="166"/>
      <c r="AD10" s="274">
        <f>AD97</f>
        <v>13214.565600471602</v>
      </c>
      <c r="AE10" s="600"/>
      <c r="AF10" s="274">
        <f t="shared" ref="AF10:AL10" si="4">AF97</f>
        <v>14219.871557100001</v>
      </c>
      <c r="AG10" s="274">
        <f t="shared" si="4"/>
        <v>15570.6072069048</v>
      </c>
      <c r="AH10" s="274">
        <f t="shared" si="4"/>
        <v>16641.8465683383</v>
      </c>
      <c r="AI10" s="274">
        <f t="shared" si="4"/>
        <v>15497.342785433599</v>
      </c>
      <c r="AJ10" s="274">
        <f t="shared" si="4"/>
        <v>16574.9802491962</v>
      </c>
      <c r="AK10" s="274">
        <f t="shared" si="4"/>
        <v>19213.965479185998</v>
      </c>
      <c r="AL10" s="274">
        <f t="shared" si="4"/>
        <v>23057.143276900999</v>
      </c>
      <c r="AM10" s="274">
        <f>AM97</f>
        <v>24828.009903501999</v>
      </c>
    </row>
    <row r="11" spans="1:42" hidden="1">
      <c r="AJ11" s="75"/>
      <c r="AK11" s="75"/>
      <c r="AL11" s="75"/>
      <c r="AM11" s="75"/>
    </row>
    <row r="12" spans="1:42" hidden="1">
      <c r="B12" s="167" t="s">
        <v>450</v>
      </c>
      <c r="X12" s="75">
        <f>X91</f>
        <v>0</v>
      </c>
      <c r="Z12" s="75">
        <f t="shared" ref="Z12:AH12" si="5">Z91</f>
        <v>0</v>
      </c>
      <c r="AB12" s="75">
        <f t="shared" si="5"/>
        <v>0</v>
      </c>
      <c r="AD12" s="75">
        <f t="shared" si="5"/>
        <v>0</v>
      </c>
      <c r="AE12" s="75"/>
      <c r="AF12" s="75">
        <f t="shared" si="5"/>
        <v>0</v>
      </c>
      <c r="AG12" s="75">
        <f t="shared" si="5"/>
        <v>0</v>
      </c>
      <c r="AH12" s="75">
        <f t="shared" si="5"/>
        <v>0</v>
      </c>
      <c r="AI12" s="75">
        <f>AI91</f>
        <v>0</v>
      </c>
      <c r="AJ12" s="75">
        <f>AJ91</f>
        <v>0</v>
      </c>
      <c r="AK12" s="75">
        <f>AK91</f>
        <v>0</v>
      </c>
      <c r="AL12" s="75">
        <f>AL91</f>
        <v>0</v>
      </c>
      <c r="AM12" s="75">
        <f>AM91</f>
        <v>0</v>
      </c>
      <c r="AN12" s="254">
        <f t="shared" ref="AN12:AP12" si="6">AN91</f>
        <v>0</v>
      </c>
      <c r="AO12" s="254">
        <f t="shared" si="6"/>
        <v>0</v>
      </c>
      <c r="AP12" s="254">
        <f t="shared" si="6"/>
        <v>0</v>
      </c>
    </row>
    <row r="13" spans="1:42" hidden="1"/>
    <row r="15" spans="1:42" ht="37.5" customHeight="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81"/>
      <c r="AF15" s="1981"/>
      <c r="AG15" s="1981"/>
      <c r="AH15" s="1981"/>
      <c r="AI15" s="1981"/>
      <c r="AJ15" s="1982"/>
      <c r="AK15" s="1982"/>
      <c r="AL15" s="1982"/>
      <c r="AM15" s="1982"/>
      <c r="AN15" s="1953"/>
      <c r="AO15" s="1953"/>
      <c r="AP15" s="1953"/>
    </row>
    <row r="16" spans="1:42">
      <c r="O16" s="168"/>
      <c r="P16" s="168"/>
      <c r="Q16" s="168"/>
      <c r="R16" s="168"/>
      <c r="S16" s="168"/>
      <c r="T16" s="168"/>
      <c r="U16" s="168"/>
      <c r="V16" s="168"/>
      <c r="W16" s="168"/>
      <c r="X16" s="169"/>
      <c r="Y16" s="166"/>
      <c r="Z16" s="166"/>
      <c r="AA16" s="166"/>
      <c r="AB16" s="166"/>
      <c r="AC16" s="166"/>
      <c r="AD16" s="166"/>
      <c r="AF16" s="166"/>
    </row>
    <row r="17" spans="2:42">
      <c r="B17" s="170" t="s">
        <v>448</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F17" s="171"/>
    </row>
    <row r="18" spans="2:42">
      <c r="O18" s="168"/>
      <c r="P18" s="168"/>
      <c r="Q18" s="168"/>
      <c r="R18" s="168"/>
      <c r="S18" s="168"/>
      <c r="T18" s="168"/>
      <c r="U18" s="168"/>
      <c r="V18" s="168"/>
      <c r="W18" s="168"/>
      <c r="X18" s="169"/>
      <c r="Y18" s="166"/>
      <c r="Z18" s="166"/>
      <c r="AA18" s="166"/>
      <c r="AB18" s="166"/>
      <c r="AC18" s="166"/>
      <c r="AD18" s="166"/>
      <c r="AF18" s="166"/>
    </row>
    <row r="19" spans="2:42">
      <c r="B19" s="170" t="s">
        <v>451</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F19" s="171"/>
    </row>
    <row r="20" spans="2:42">
      <c r="B20" s="172"/>
      <c r="C20" s="172"/>
      <c r="D20" s="172"/>
      <c r="E20" s="172"/>
      <c r="F20" s="172"/>
      <c r="G20" s="172"/>
      <c r="H20" s="172"/>
      <c r="I20" s="172"/>
      <c r="J20" s="172"/>
      <c r="K20" s="172"/>
      <c r="L20" s="172"/>
      <c r="M20" s="172"/>
      <c r="N20" s="172"/>
      <c r="O20" s="173"/>
      <c r="P20" s="173"/>
      <c r="Q20" s="173"/>
      <c r="R20" s="173"/>
      <c r="S20" s="173"/>
      <c r="T20" s="173"/>
      <c r="U20" s="173"/>
      <c r="V20" s="173"/>
      <c r="W20" s="173"/>
      <c r="X20" s="169"/>
      <c r="Y20" s="169"/>
      <c r="Z20" s="169"/>
      <c r="AA20" s="169"/>
      <c r="AB20" s="169"/>
      <c r="AC20" s="169"/>
      <c r="AD20" s="169"/>
      <c r="AF20" s="169"/>
    </row>
    <row r="21" spans="2:42">
      <c r="O21" s="168"/>
      <c r="P21" s="168"/>
      <c r="Q21" s="168"/>
      <c r="R21" s="168"/>
      <c r="S21" s="168"/>
      <c r="T21" s="168"/>
      <c r="U21" s="168"/>
      <c r="V21" s="168"/>
      <c r="W21" s="168"/>
      <c r="X21" s="174">
        <v>2001</v>
      </c>
      <c r="Y21" s="174"/>
      <c r="Z21" s="174">
        <v>2003</v>
      </c>
      <c r="AA21" s="174"/>
      <c r="AB21" s="174">
        <v>2005</v>
      </c>
      <c r="AC21" s="174"/>
      <c r="AD21" s="174">
        <v>2007</v>
      </c>
      <c r="AE21" s="174"/>
      <c r="AF21" s="174">
        <v>2009</v>
      </c>
      <c r="AG21" s="174">
        <v>2010</v>
      </c>
      <c r="AH21" s="174">
        <v>2011</v>
      </c>
      <c r="AI21" s="174">
        <v>2012</v>
      </c>
      <c r="AJ21" s="174">
        <v>2013</v>
      </c>
      <c r="AK21" s="174">
        <v>2014</v>
      </c>
      <c r="AL21" s="174">
        <v>2015</v>
      </c>
      <c r="AM21" s="174">
        <v>2016</v>
      </c>
      <c r="AN21" s="174">
        <v>2017</v>
      </c>
      <c r="AO21" s="174">
        <v>2018</v>
      </c>
      <c r="AP21" s="174">
        <v>2019</v>
      </c>
    </row>
    <row r="22" spans="2:42">
      <c r="O22" s="168"/>
      <c r="P22" s="168"/>
      <c r="Q22" s="168"/>
      <c r="R22" s="168"/>
      <c r="S22" s="168"/>
      <c r="T22" s="168"/>
      <c r="U22" s="168"/>
      <c r="V22" s="168"/>
      <c r="W22" s="168"/>
      <c r="X22" s="175"/>
      <c r="Y22" s="175"/>
      <c r="Z22" s="175"/>
      <c r="AA22" s="175"/>
      <c r="AB22" s="175"/>
      <c r="AC22" s="175"/>
      <c r="AD22" s="175"/>
      <c r="AE22" s="175"/>
      <c r="AF22" s="175"/>
      <c r="AG22" s="165"/>
      <c r="AH22" s="165"/>
      <c r="AI22" s="165"/>
    </row>
    <row r="23" spans="2:42">
      <c r="B23" s="176" t="s">
        <v>452</v>
      </c>
      <c r="C23" s="177"/>
      <c r="O23" s="168"/>
      <c r="P23" s="168"/>
      <c r="Q23" s="168"/>
      <c r="R23" s="168"/>
      <c r="S23" s="168"/>
      <c r="T23" s="168"/>
      <c r="U23" s="168"/>
      <c r="V23" s="168"/>
      <c r="W23" s="168"/>
      <c r="X23" s="178">
        <v>5604.7871207242597</v>
      </c>
      <c r="Y23" s="178"/>
      <c r="Z23" s="178">
        <v>7443.9079037539232</v>
      </c>
      <c r="AA23" s="178"/>
      <c r="AB23" s="178">
        <v>8486.3002135090919</v>
      </c>
      <c r="AC23" s="178"/>
      <c r="AD23" s="178">
        <v>9956.6363431395239</v>
      </c>
      <c r="AE23" s="178"/>
      <c r="AF23" s="178">
        <v>15895.905476270667</v>
      </c>
      <c r="AG23" s="178">
        <v>15462.804737807443</v>
      </c>
      <c r="AH23" s="178">
        <v>18171.073451400371</v>
      </c>
      <c r="AI23" s="178">
        <v>18459.369094115082</v>
      </c>
      <c r="AJ23" s="178">
        <v>19484.157104455429</v>
      </c>
      <c r="AK23" s="178">
        <v>20647.111755664413</v>
      </c>
      <c r="AL23" s="178">
        <v>20337.838276443475</v>
      </c>
      <c r="AM23" s="178">
        <v>22590.865916659033</v>
      </c>
      <c r="AN23" s="175"/>
    </row>
    <row r="24" spans="2:42">
      <c r="B24" s="179"/>
      <c r="C24" s="180" t="s">
        <v>453</v>
      </c>
      <c r="O24" s="168"/>
      <c r="P24" s="168"/>
      <c r="Q24" s="168"/>
      <c r="R24" s="168"/>
      <c r="S24" s="168"/>
      <c r="T24" s="168"/>
      <c r="U24" s="168"/>
      <c r="V24" s="168"/>
      <c r="W24" s="168"/>
      <c r="X24" s="181"/>
      <c r="Y24" s="181"/>
      <c r="Z24" s="181"/>
      <c r="AA24" s="181"/>
      <c r="AB24" s="181"/>
      <c r="AC24" s="181"/>
      <c r="AD24" s="181"/>
      <c r="AE24" s="181"/>
      <c r="AF24" s="181"/>
      <c r="AG24" s="181"/>
      <c r="AH24" s="181"/>
      <c r="AI24" s="181"/>
      <c r="AJ24" s="181"/>
      <c r="AK24" s="181"/>
      <c r="AL24" s="181"/>
      <c r="AM24" s="181"/>
      <c r="AN24" s="175"/>
    </row>
    <row r="25" spans="2:42">
      <c r="B25" s="179"/>
      <c r="C25" s="180" t="s">
        <v>454</v>
      </c>
      <c r="O25" s="168"/>
      <c r="P25" s="168"/>
      <c r="Q25" s="168"/>
      <c r="R25" s="168"/>
      <c r="S25" s="168"/>
      <c r="T25" s="168"/>
      <c r="U25" s="168"/>
      <c r="V25" s="168"/>
      <c r="W25" s="168"/>
      <c r="X25" s="181">
        <v>5604.7871207242597</v>
      </c>
      <c r="Y25" s="181"/>
      <c r="Z25" s="181">
        <v>7443.9079037539232</v>
      </c>
      <c r="AA25" s="181"/>
      <c r="AB25" s="181">
        <v>8486.3002135090919</v>
      </c>
      <c r="AC25" s="181"/>
      <c r="AD25" s="181">
        <v>9956.6363431395239</v>
      </c>
      <c r="AE25" s="181"/>
      <c r="AF25" s="181">
        <v>15895.905476270667</v>
      </c>
      <c r="AG25" s="181">
        <v>15462.804737807443</v>
      </c>
      <c r="AH25" s="181">
        <v>18171.073451400371</v>
      </c>
      <c r="AI25" s="181">
        <v>18459.369094115082</v>
      </c>
      <c r="AJ25" s="181">
        <v>19484.157104455429</v>
      </c>
      <c r="AK25" s="181">
        <v>20647.111755664413</v>
      </c>
      <c r="AL25" s="181">
        <v>20337.838276443475</v>
      </c>
      <c r="AM25" s="181">
        <v>22590.865916659033</v>
      </c>
      <c r="AN25" s="175"/>
    </row>
    <row r="26" spans="2:42">
      <c r="B26" s="179"/>
      <c r="C26" s="180"/>
      <c r="O26" s="168"/>
      <c r="P26" s="168"/>
      <c r="Q26" s="168"/>
      <c r="R26" s="168"/>
      <c r="S26" s="168"/>
      <c r="T26" s="168"/>
      <c r="U26" s="168"/>
      <c r="V26" s="168"/>
      <c r="W26" s="168"/>
      <c r="X26" s="181"/>
      <c r="Y26" s="181"/>
      <c r="Z26" s="181"/>
      <c r="AA26" s="181"/>
      <c r="AB26" s="181"/>
      <c r="AC26" s="181"/>
      <c r="AD26" s="181"/>
      <c r="AE26" s="181"/>
      <c r="AF26" s="181"/>
      <c r="AG26" s="181"/>
      <c r="AH26" s="181"/>
      <c r="AI26" s="181"/>
      <c r="AJ26" s="181"/>
      <c r="AK26" s="181"/>
      <c r="AL26" s="181"/>
      <c r="AM26" s="181"/>
      <c r="AN26" s="175"/>
    </row>
    <row r="27" spans="2:42">
      <c r="B27" s="179" t="s">
        <v>455</v>
      </c>
      <c r="C27" s="180"/>
      <c r="O27" s="168"/>
      <c r="P27" s="168"/>
      <c r="Q27" s="168"/>
      <c r="R27" s="168"/>
      <c r="S27" s="168"/>
      <c r="T27" s="168"/>
      <c r="U27" s="168"/>
      <c r="V27" s="168"/>
      <c r="W27" s="168"/>
      <c r="X27" s="178">
        <v>4457.3150847738407</v>
      </c>
      <c r="Y27" s="178"/>
      <c r="Z27" s="178">
        <v>5941.617417373619</v>
      </c>
      <c r="AA27" s="178"/>
      <c r="AB27" s="178">
        <v>7406.653921862493</v>
      </c>
      <c r="AC27" s="178"/>
      <c r="AD27" s="178">
        <v>9727.2423650298351</v>
      </c>
      <c r="AE27" s="178"/>
      <c r="AF27" s="178">
        <v>11821.666500980495</v>
      </c>
      <c r="AG27" s="178">
        <v>12153.949625627845</v>
      </c>
      <c r="AH27" s="178">
        <v>13631.716090058246</v>
      </c>
      <c r="AI27" s="178">
        <v>15634.066931393743</v>
      </c>
      <c r="AJ27" s="178">
        <v>17500.988374998768</v>
      </c>
      <c r="AK27" s="178">
        <v>19309.786260769895</v>
      </c>
      <c r="AL27" s="178">
        <v>21875.806241623835</v>
      </c>
      <c r="AM27" s="178">
        <v>24917.119427843703</v>
      </c>
      <c r="AN27" s="175"/>
    </row>
    <row r="28" spans="2:42">
      <c r="B28" s="179"/>
      <c r="C28" s="180" t="s">
        <v>453</v>
      </c>
      <c r="O28" s="168"/>
      <c r="P28" s="168"/>
      <c r="Q28" s="168"/>
      <c r="R28" s="168"/>
      <c r="S28" s="168"/>
      <c r="T28" s="168"/>
      <c r="U28" s="168"/>
      <c r="V28" s="168"/>
      <c r="W28" s="168"/>
      <c r="X28" s="181"/>
      <c r="Y28" s="181"/>
      <c r="Z28" s="181"/>
      <c r="AA28" s="181"/>
      <c r="AB28" s="181"/>
      <c r="AC28" s="181"/>
      <c r="AD28" s="181"/>
      <c r="AE28" s="181"/>
      <c r="AF28" s="181"/>
      <c r="AG28" s="181"/>
      <c r="AH28" s="181"/>
      <c r="AI28" s="181"/>
      <c r="AJ28" s="181"/>
      <c r="AK28" s="181"/>
      <c r="AL28" s="181"/>
      <c r="AM28" s="181"/>
      <c r="AN28" s="175"/>
    </row>
    <row r="29" spans="2:42">
      <c r="B29" s="182"/>
      <c r="C29" s="183" t="s">
        <v>454</v>
      </c>
      <c r="O29" s="168"/>
      <c r="P29" s="168"/>
      <c r="Q29" s="168"/>
      <c r="R29" s="168"/>
      <c r="S29" s="168"/>
      <c r="T29" s="168"/>
      <c r="U29" s="168"/>
      <c r="V29" s="168"/>
      <c r="W29" s="168"/>
      <c r="X29" s="181">
        <v>4457.3150847738407</v>
      </c>
      <c r="Y29" s="181"/>
      <c r="Z29" s="181">
        <v>5941.617417373619</v>
      </c>
      <c r="AA29" s="181"/>
      <c r="AB29" s="181">
        <v>7406.653921862493</v>
      </c>
      <c r="AC29" s="181"/>
      <c r="AD29" s="181">
        <v>9727.2423650298351</v>
      </c>
      <c r="AE29" s="181"/>
      <c r="AF29" s="181">
        <v>11821.666500980495</v>
      </c>
      <c r="AG29" s="181">
        <v>12153.949625627845</v>
      </c>
      <c r="AH29" s="181">
        <v>13631.716090058246</v>
      </c>
      <c r="AI29" s="181">
        <v>15634.066931393743</v>
      </c>
      <c r="AJ29" s="181">
        <v>17500.988374998768</v>
      </c>
      <c r="AK29" s="181">
        <v>19309.786260769895</v>
      </c>
      <c r="AL29" s="181">
        <v>21875.806241623835</v>
      </c>
      <c r="AM29" s="181">
        <v>24917.119427843703</v>
      </c>
      <c r="AN29" s="175"/>
    </row>
    <row r="30" spans="2:42">
      <c r="B30" s="184"/>
      <c r="C30" s="184"/>
      <c r="D30" s="172"/>
      <c r="E30" s="172"/>
      <c r="F30" s="172"/>
      <c r="G30" s="172"/>
      <c r="H30" s="172"/>
      <c r="I30" s="172"/>
      <c r="J30" s="172"/>
      <c r="K30" s="172"/>
      <c r="L30" s="172"/>
      <c r="M30" s="172"/>
      <c r="N30" s="172"/>
      <c r="O30" s="173"/>
      <c r="P30" s="173"/>
      <c r="Q30" s="173"/>
      <c r="R30" s="173"/>
      <c r="S30" s="173"/>
      <c r="T30" s="173"/>
      <c r="U30" s="173"/>
      <c r="V30" s="173"/>
      <c r="W30" s="173"/>
      <c r="X30" s="185"/>
      <c r="Y30" s="185"/>
      <c r="Z30" s="185"/>
      <c r="AA30" s="185"/>
      <c r="AB30" s="185"/>
      <c r="AC30" s="185"/>
      <c r="AD30" s="185"/>
      <c r="AE30" s="185"/>
      <c r="AF30" s="185"/>
      <c r="AG30" s="186"/>
      <c r="AH30" s="186"/>
      <c r="AI30" s="186"/>
      <c r="AJ30" s="186"/>
      <c r="AK30" s="186"/>
      <c r="AL30" s="186"/>
      <c r="AM30" s="186"/>
      <c r="AN30" s="186"/>
      <c r="AO30" s="186"/>
      <c r="AP30" s="186"/>
    </row>
    <row r="31" spans="2:42" ht="13.5" customHeight="1">
      <c r="B31" s="1978"/>
      <c r="C31" s="1979"/>
      <c r="D31" s="1979"/>
      <c r="E31" s="1979"/>
      <c r="F31" s="1979"/>
      <c r="G31" s="1979"/>
      <c r="H31" s="1979"/>
      <c r="I31" s="1979"/>
      <c r="J31" s="1979"/>
      <c r="K31" s="1979"/>
      <c r="L31" s="1979"/>
      <c r="M31" s="1979"/>
      <c r="N31" s="1979"/>
      <c r="O31" s="1979"/>
      <c r="P31" s="1979"/>
      <c r="Q31" s="1979"/>
      <c r="R31" s="1979"/>
      <c r="S31" s="1979"/>
      <c r="T31" s="1979"/>
      <c r="U31" s="1979"/>
      <c r="V31" s="1979"/>
      <c r="W31" s="1979"/>
      <c r="X31" s="1979"/>
      <c r="Y31" s="1979"/>
      <c r="Z31" s="1979"/>
      <c r="AA31" s="1979"/>
      <c r="AB31" s="1979"/>
      <c r="AC31" s="1979"/>
      <c r="AD31" s="1979"/>
      <c r="AE31" s="1979"/>
      <c r="AF31" s="1979"/>
      <c r="AG31" s="1980"/>
      <c r="AH31" s="1980"/>
    </row>
    <row r="32" spans="2:42">
      <c r="B32" s="187" t="s">
        <v>456</v>
      </c>
      <c r="C32" s="188"/>
      <c r="O32" s="168"/>
      <c r="P32" s="168"/>
      <c r="Q32" s="168"/>
      <c r="R32" s="168"/>
      <c r="S32" s="168"/>
      <c r="T32" s="168"/>
      <c r="U32" s="168"/>
      <c r="V32" s="168"/>
      <c r="W32" s="168"/>
      <c r="X32" s="189"/>
      <c r="Y32" s="169"/>
      <c r="Z32" s="189"/>
      <c r="AA32" s="169"/>
      <c r="AB32" s="169"/>
      <c r="AC32" s="169"/>
      <c r="AD32" s="189"/>
      <c r="AF32" s="189"/>
    </row>
    <row r="33" spans="2:35">
      <c r="B33" s="187"/>
      <c r="C33" s="188"/>
      <c r="O33" s="168"/>
      <c r="P33" s="168"/>
      <c r="Q33" s="168"/>
      <c r="R33" s="168"/>
      <c r="S33" s="168"/>
      <c r="T33" s="168"/>
      <c r="U33" s="168"/>
      <c r="V33" s="168"/>
      <c r="W33" s="168"/>
      <c r="X33" s="189"/>
      <c r="Y33" s="169"/>
      <c r="Z33" s="189"/>
      <c r="AA33" s="169"/>
      <c r="AB33" s="169"/>
      <c r="AC33" s="169"/>
      <c r="AD33" s="189"/>
      <c r="AF33" s="189"/>
      <c r="AG33" s="165"/>
      <c r="AH33" s="165"/>
      <c r="AI33" s="165"/>
    </row>
    <row r="34" spans="2:35" hidden="1"/>
    <row r="35" spans="2:35" hidden="1">
      <c r="AG35" s="165"/>
      <c r="AH35" s="165"/>
      <c r="AI35" s="165"/>
    </row>
    <row r="36" spans="2:35" hidden="1">
      <c r="AG36" s="165"/>
      <c r="AH36" s="165"/>
      <c r="AI36" s="165"/>
    </row>
    <row r="37" spans="2:35" hidden="1">
      <c r="AG37" s="165"/>
      <c r="AH37" s="165"/>
      <c r="AI37" s="165"/>
    </row>
    <row r="38" spans="2:35" hidden="1">
      <c r="AG38" s="165"/>
      <c r="AH38" s="165"/>
      <c r="AI38" s="165"/>
    </row>
    <row r="39" spans="2:35" hidden="1">
      <c r="AG39" s="165"/>
      <c r="AH39" s="165"/>
      <c r="AI39" s="165"/>
    </row>
    <row r="40" spans="2:35" hidden="1">
      <c r="AG40" s="165"/>
      <c r="AH40" s="165"/>
      <c r="AI40" s="165"/>
    </row>
    <row r="41" spans="2:35" hidden="1">
      <c r="AG41" s="165"/>
      <c r="AH41" s="165"/>
      <c r="AI41" s="165"/>
    </row>
    <row r="42" spans="2:35" hidden="1">
      <c r="AG42" s="165"/>
      <c r="AH42" s="165"/>
      <c r="AI42" s="165"/>
    </row>
    <row r="43" spans="2:35" hidden="1">
      <c r="AG43" s="165"/>
      <c r="AH43" s="165"/>
      <c r="AI43" s="165"/>
    </row>
    <row r="44" spans="2:35" hidden="1">
      <c r="AG44" s="165"/>
      <c r="AH44" s="165"/>
      <c r="AI44" s="165"/>
    </row>
    <row r="45" spans="2:35" hidden="1">
      <c r="AG45" s="165"/>
      <c r="AH45" s="165"/>
      <c r="AI45" s="165"/>
    </row>
    <row r="46" spans="2:35" hidden="1">
      <c r="AG46" s="165"/>
      <c r="AH46" s="165"/>
      <c r="AI46" s="165"/>
    </row>
    <row r="47" spans="2:35" hidden="1">
      <c r="AG47" s="165"/>
      <c r="AH47" s="165"/>
      <c r="AI47" s="165"/>
    </row>
    <row r="48" spans="2:35" hidden="1">
      <c r="AG48" s="165"/>
      <c r="AH48" s="165"/>
      <c r="AI48" s="165"/>
    </row>
    <row r="49" spans="2:43" hidden="1"/>
    <row r="50" spans="2:43" hidden="1"/>
    <row r="51" spans="2:43" hidden="1"/>
    <row r="52" spans="2:43" hidden="1"/>
    <row r="53" spans="2:43" hidden="1"/>
    <row r="55" spans="2:43">
      <c r="B55" s="170" t="s">
        <v>26</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F55" s="171"/>
    </row>
    <row r="56" spans="2:43">
      <c r="B56" s="190" t="s">
        <v>457</v>
      </c>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F56" s="191"/>
    </row>
    <row r="57" spans="2:43">
      <c r="B57" s="192"/>
      <c r="C57" s="192"/>
      <c r="D57" s="192"/>
      <c r="E57" s="192"/>
      <c r="F57" s="192"/>
      <c r="G57" s="192"/>
      <c r="H57" s="192"/>
      <c r="I57" s="192"/>
      <c r="J57" s="192"/>
      <c r="K57" s="192"/>
      <c r="L57" s="192"/>
      <c r="M57" s="192"/>
      <c r="N57" s="192"/>
      <c r="O57" s="193"/>
      <c r="P57" s="194"/>
      <c r="Q57" s="194"/>
      <c r="R57" s="194"/>
      <c r="S57" s="194"/>
      <c r="T57" s="194"/>
      <c r="U57" s="194"/>
      <c r="V57" s="194"/>
      <c r="W57" s="194"/>
      <c r="X57" s="195"/>
      <c r="Y57" s="196"/>
      <c r="Z57" s="196"/>
      <c r="AA57" s="196"/>
      <c r="AB57" s="196"/>
      <c r="AC57" s="196"/>
      <c r="AD57" s="196"/>
      <c r="AF57" s="196"/>
      <c r="AK57" s="75"/>
    </row>
    <row r="58" spans="2:43">
      <c r="E58" s="167"/>
      <c r="F58" s="167"/>
      <c r="G58" s="167"/>
      <c r="H58" s="167"/>
      <c r="I58" s="167"/>
      <c r="J58" s="167"/>
      <c r="K58" s="167"/>
      <c r="L58" s="167"/>
      <c r="M58" s="167"/>
      <c r="N58" s="167"/>
      <c r="O58" s="197"/>
      <c r="P58" s="198"/>
      <c r="Q58" s="199"/>
      <c r="R58" s="198"/>
      <c r="S58" s="198"/>
      <c r="T58" s="198"/>
      <c r="U58" s="198"/>
      <c r="V58" s="198"/>
      <c r="W58" s="198"/>
      <c r="X58" s="200">
        <v>2001</v>
      </c>
      <c r="Y58" s="201"/>
      <c r="Z58" s="202">
        <v>2003</v>
      </c>
      <c r="AA58" s="201"/>
      <c r="AB58" s="202">
        <v>2005</v>
      </c>
      <c r="AC58" s="201"/>
      <c r="AD58" s="202">
        <v>2007</v>
      </c>
      <c r="AF58" s="202">
        <v>2009</v>
      </c>
      <c r="AG58" s="202">
        <v>2010</v>
      </c>
      <c r="AH58" s="202">
        <v>2011</v>
      </c>
      <c r="AI58" s="202">
        <v>2012</v>
      </c>
      <c r="AJ58" s="202">
        <v>2013</v>
      </c>
      <c r="AK58" s="202">
        <v>2014</v>
      </c>
      <c r="AL58" s="202">
        <v>2015</v>
      </c>
      <c r="AM58" s="202">
        <v>2016</v>
      </c>
      <c r="AN58" s="202">
        <v>2017</v>
      </c>
      <c r="AO58" s="202">
        <v>2018</v>
      </c>
      <c r="AP58" s="202">
        <v>2019</v>
      </c>
      <c r="AQ58" s="202">
        <v>2020</v>
      </c>
    </row>
    <row r="59" spans="2:43">
      <c r="E59" s="167"/>
      <c r="F59" s="167"/>
      <c r="G59" s="167"/>
      <c r="H59" s="167"/>
      <c r="I59" s="167"/>
      <c r="J59" s="167"/>
      <c r="K59" s="167"/>
      <c r="L59" s="167"/>
      <c r="M59" s="167"/>
      <c r="N59" s="167"/>
      <c r="O59" s="197"/>
      <c r="P59" s="198"/>
      <c r="Q59" s="199"/>
      <c r="R59" s="198"/>
      <c r="S59" s="198"/>
      <c r="T59" s="198"/>
      <c r="U59" s="198"/>
      <c r="V59" s="198"/>
      <c r="W59" s="198"/>
      <c r="Y59" s="203"/>
      <c r="AA59" s="203"/>
      <c r="AB59" s="203"/>
      <c r="AC59" s="203"/>
      <c r="AK59" s="75"/>
    </row>
    <row r="60" spans="2:43">
      <c r="B60" s="204" t="s">
        <v>28</v>
      </c>
      <c r="C60" s="165" t="s">
        <v>29</v>
      </c>
      <c r="E60" s="167"/>
      <c r="F60" s="167"/>
      <c r="G60" s="167"/>
      <c r="H60" s="167"/>
      <c r="I60" s="167"/>
      <c r="J60" s="167"/>
      <c r="K60" s="167"/>
      <c r="L60" s="167"/>
      <c r="M60" s="167"/>
      <c r="N60" s="167"/>
      <c r="O60" s="197"/>
      <c r="P60" s="198"/>
      <c r="Q60" s="199"/>
      <c r="R60" s="198"/>
      <c r="S60" s="198"/>
      <c r="T60" s="198"/>
      <c r="U60" s="198"/>
      <c r="V60" s="198"/>
      <c r="W60" s="198"/>
      <c r="X60" s="166">
        <v>441254.96500000003</v>
      </c>
      <c r="Y60" s="75">
        <v>461857.96399999998</v>
      </c>
      <c r="Z60" s="166">
        <v>494549.25300000003</v>
      </c>
      <c r="AA60" s="75">
        <v>548003.24399999995</v>
      </c>
      <c r="AB60" s="166">
        <v>619951.152</v>
      </c>
      <c r="AC60" s="75">
        <v>690644.848</v>
      </c>
      <c r="AD60" s="166">
        <v>771299.51199999999</v>
      </c>
      <c r="AE60" s="165">
        <v>823492.973</v>
      </c>
      <c r="AF60" s="166">
        <v>834797.848</v>
      </c>
      <c r="AG60" s="166">
        <v>864416.40800000005</v>
      </c>
      <c r="AH60" s="166">
        <v>915313.69900000002</v>
      </c>
      <c r="AI60" s="166">
        <v>986447.2</v>
      </c>
      <c r="AJ60" s="166">
        <v>1033819.628</v>
      </c>
      <c r="AK60" s="166">
        <v>1090745.3049999999</v>
      </c>
      <c r="AL60" s="166">
        <v>1148116.57</v>
      </c>
      <c r="AM60" s="166">
        <v>1237722.3559999999</v>
      </c>
      <c r="AN60" s="166">
        <v>1323509.7450000001</v>
      </c>
      <c r="AO60" s="168">
        <v>1429948.334</v>
      </c>
      <c r="AP60" s="168">
        <v>1519550.89</v>
      </c>
      <c r="AQ60" s="168">
        <v>1509028.2930000001</v>
      </c>
    </row>
    <row r="61" spans="2:43">
      <c r="B61" s="75"/>
      <c r="E61" s="167"/>
      <c r="F61" s="167"/>
      <c r="G61" s="167"/>
      <c r="H61" s="167"/>
      <c r="I61" s="167"/>
      <c r="J61" s="167"/>
      <c r="K61" s="167"/>
      <c r="L61" s="167"/>
      <c r="M61" s="167"/>
      <c r="N61" s="167"/>
      <c r="O61" s="197"/>
      <c r="P61" s="198"/>
      <c r="Q61" s="199"/>
      <c r="R61" s="198"/>
      <c r="S61" s="198"/>
      <c r="T61" s="198"/>
      <c r="U61" s="198"/>
      <c r="V61" s="198"/>
      <c r="W61" s="198"/>
      <c r="X61" s="166"/>
      <c r="Z61" s="166"/>
      <c r="AB61" s="166"/>
      <c r="AD61" s="166"/>
      <c r="AF61" s="166"/>
      <c r="AG61" s="166"/>
      <c r="AH61" s="166"/>
      <c r="AI61" s="166"/>
      <c r="AJ61" s="166"/>
      <c r="AK61" s="166"/>
      <c r="AL61" s="166"/>
      <c r="AM61" s="166"/>
      <c r="AN61" s="166"/>
      <c r="AO61" s="168"/>
      <c r="AP61" s="168"/>
      <c r="AQ61" s="168"/>
    </row>
    <row r="62" spans="2:43">
      <c r="B62" s="204" t="s">
        <v>30</v>
      </c>
      <c r="C62" s="165" t="s">
        <v>31</v>
      </c>
      <c r="E62" s="167"/>
      <c r="F62" s="167"/>
      <c r="G62" s="167"/>
      <c r="H62" s="167"/>
      <c r="I62" s="167"/>
      <c r="J62" s="167"/>
      <c r="K62" s="167"/>
      <c r="L62" s="167"/>
      <c r="M62" s="167"/>
      <c r="N62" s="167"/>
      <c r="O62" s="197"/>
      <c r="P62" s="198"/>
      <c r="Q62" s="199"/>
      <c r="R62" s="198"/>
      <c r="S62" s="198"/>
      <c r="T62" s="198"/>
      <c r="U62" s="198"/>
      <c r="V62" s="198"/>
      <c r="W62" s="198"/>
      <c r="X62" s="166">
        <v>514381.53300000005</v>
      </c>
      <c r="Y62" s="75">
        <v>545455.19099999988</v>
      </c>
      <c r="Z62" s="166">
        <v>581231.897</v>
      </c>
      <c r="AA62" s="75">
        <v>640674.03500000003</v>
      </c>
      <c r="AB62" s="166">
        <v>721820.98900000006</v>
      </c>
      <c r="AC62" s="75">
        <v>812866.34100000001</v>
      </c>
      <c r="AD62" s="166">
        <v>911714.48899999983</v>
      </c>
      <c r="AE62" s="165">
        <v>997568.68800000008</v>
      </c>
      <c r="AF62" s="166">
        <v>1027080.9620000001</v>
      </c>
      <c r="AG62" s="166">
        <v>1059327.1510000001</v>
      </c>
      <c r="AH62" s="166">
        <v>1121895.25</v>
      </c>
      <c r="AI62" s="166">
        <v>1197206.993</v>
      </c>
      <c r="AJ62" s="166">
        <v>1252575.4610000001</v>
      </c>
      <c r="AK62" s="166">
        <v>1313378.2860000001</v>
      </c>
      <c r="AL62" s="166">
        <v>1377415.736</v>
      </c>
      <c r="AM62" s="166">
        <v>1477840.7220000001</v>
      </c>
      <c r="AN62" s="166">
        <v>1576120.3630000001</v>
      </c>
      <c r="AO62" s="168">
        <v>1713973.4939999999</v>
      </c>
      <c r="AP62" s="168">
        <v>1831291.6850000001</v>
      </c>
      <c r="AQ62" s="168">
        <v>1855918.8819999998</v>
      </c>
    </row>
    <row r="63" spans="2:43">
      <c r="B63" s="75"/>
      <c r="E63" s="167"/>
      <c r="F63" s="167"/>
      <c r="G63" s="167"/>
      <c r="H63" s="167"/>
      <c r="I63" s="167"/>
      <c r="J63" s="167"/>
      <c r="K63" s="167"/>
      <c r="L63" s="167"/>
      <c r="M63" s="167"/>
      <c r="N63" s="167"/>
      <c r="O63" s="197"/>
      <c r="P63" s="198"/>
      <c r="Q63" s="199"/>
      <c r="R63" s="198"/>
      <c r="S63" s="198"/>
      <c r="T63" s="198"/>
      <c r="U63" s="198"/>
      <c r="V63" s="198"/>
      <c r="W63" s="198"/>
      <c r="AJ63" s="75"/>
      <c r="AK63" s="75"/>
      <c r="AL63" s="75"/>
      <c r="AM63" s="75"/>
      <c r="AN63" s="166"/>
      <c r="AO63" s="168"/>
      <c r="AP63" s="168"/>
      <c r="AQ63" s="168"/>
    </row>
    <row r="64" spans="2:43">
      <c r="B64" s="204" t="s">
        <v>32</v>
      </c>
      <c r="C64" s="165" t="s">
        <v>33</v>
      </c>
      <c r="E64" s="167"/>
      <c r="F64" s="167"/>
      <c r="G64" s="167"/>
      <c r="H64" s="167"/>
      <c r="I64" s="167"/>
      <c r="J64" s="167"/>
      <c r="K64" s="167"/>
      <c r="L64" s="167"/>
      <c r="M64" s="167"/>
      <c r="N64" s="167"/>
      <c r="O64" s="197"/>
      <c r="P64" s="198"/>
      <c r="Q64" s="199"/>
      <c r="R64" s="198"/>
      <c r="S64" s="198"/>
      <c r="T64" s="198"/>
      <c r="U64" s="198"/>
      <c r="V64" s="198"/>
      <c r="W64" s="198"/>
      <c r="X64" s="166">
        <v>93859.122000000003</v>
      </c>
      <c r="Y64" s="75">
        <v>101269.092</v>
      </c>
      <c r="Z64" s="166">
        <v>109914.45</v>
      </c>
      <c r="AA64" s="75">
        <v>128128.155</v>
      </c>
      <c r="AB64" s="166">
        <v>152236.345</v>
      </c>
      <c r="AC64" s="75">
        <v>175492.367</v>
      </c>
      <c r="AD64" s="166">
        <v>183484.538</v>
      </c>
      <c r="AE64" s="165">
        <v>174754.696</v>
      </c>
      <c r="AF64" s="166">
        <v>160175.53700000001</v>
      </c>
      <c r="AG64" s="166">
        <v>169103.80300000001</v>
      </c>
      <c r="AH64" s="166">
        <v>181296.08599999998</v>
      </c>
      <c r="AI64" s="166">
        <v>196744.511</v>
      </c>
      <c r="AJ64" s="166">
        <v>204998.56999999998</v>
      </c>
      <c r="AK64" s="166">
        <v>218391.818</v>
      </c>
      <c r="AL64" s="166">
        <v>240583.26</v>
      </c>
      <c r="AM64" s="166">
        <v>267145.152</v>
      </c>
      <c r="AN64" s="166">
        <v>301668.125</v>
      </c>
      <c r="AO64" s="168">
        <v>314147.99100000004</v>
      </c>
      <c r="AP64" s="168">
        <v>310117.61099999998</v>
      </c>
      <c r="AQ64" s="168">
        <v>297845.08100000001</v>
      </c>
    </row>
    <row r="65" spans="2:43">
      <c r="B65" s="75"/>
      <c r="E65" s="167"/>
      <c r="F65" s="167"/>
      <c r="G65" s="167"/>
      <c r="H65" s="167"/>
      <c r="I65" s="167"/>
      <c r="J65" s="167"/>
      <c r="K65" s="167"/>
      <c r="L65" s="167"/>
      <c r="M65" s="167"/>
      <c r="N65" s="167"/>
      <c r="O65" s="197"/>
      <c r="P65" s="198"/>
      <c r="Q65" s="199"/>
      <c r="R65" s="198"/>
      <c r="S65" s="198"/>
      <c r="T65" s="198"/>
      <c r="U65" s="198"/>
      <c r="V65" s="198"/>
      <c r="W65" s="198"/>
      <c r="AJ65" s="75"/>
      <c r="AK65" s="75"/>
      <c r="AL65" s="75"/>
      <c r="AM65" s="75"/>
      <c r="AN65" s="166"/>
      <c r="AO65" s="168"/>
      <c r="AP65" s="168"/>
      <c r="AQ65" s="168"/>
    </row>
    <row r="66" spans="2:43">
      <c r="B66" s="75"/>
      <c r="C66" s="165" t="s">
        <v>34</v>
      </c>
      <c r="E66" s="167"/>
      <c r="F66" s="167"/>
      <c r="G66" s="167"/>
      <c r="H66" s="167"/>
      <c r="I66" s="167"/>
      <c r="J66" s="167"/>
      <c r="K66" s="167"/>
      <c r="L66" s="167"/>
      <c r="M66" s="167"/>
      <c r="N66" s="167"/>
      <c r="O66" s="197"/>
      <c r="P66" s="198"/>
      <c r="Q66" s="199"/>
      <c r="R66" s="198"/>
      <c r="S66" s="198"/>
      <c r="T66" s="198"/>
      <c r="U66" s="198"/>
      <c r="V66" s="198"/>
      <c r="W66" s="198"/>
      <c r="X66" s="166">
        <v>72414.98</v>
      </c>
      <c r="Y66" s="75">
        <v>76746.826000000001</v>
      </c>
      <c r="Z66" s="166">
        <v>81880.881999999998</v>
      </c>
      <c r="AA66" s="75">
        <v>96954.437000000005</v>
      </c>
      <c r="AB66" s="166">
        <v>113897.137</v>
      </c>
      <c r="AC66" s="75">
        <v>131839.394</v>
      </c>
      <c r="AD66" s="166">
        <v>137593.09</v>
      </c>
      <c r="AE66" s="165">
        <v>134390.81700000001</v>
      </c>
      <c r="AF66" s="166">
        <v>120240.626</v>
      </c>
      <c r="AG66" s="166">
        <v>122392.826</v>
      </c>
      <c r="AH66" s="166">
        <v>131057.18999999999</v>
      </c>
      <c r="AI66" s="166">
        <v>142814.34400000001</v>
      </c>
      <c r="AJ66" s="166">
        <v>149827.54499999998</v>
      </c>
      <c r="AK66" s="166">
        <v>160870.829</v>
      </c>
      <c r="AL66" s="166">
        <v>183673.9</v>
      </c>
      <c r="AM66" s="166">
        <v>205434.96799999999</v>
      </c>
      <c r="AN66" s="166">
        <v>233950.70600000001</v>
      </c>
      <c r="AO66" s="168">
        <v>244624.30900000001</v>
      </c>
      <c r="AP66" s="168">
        <v>243284.59599999999</v>
      </c>
      <c r="AQ66" s="168">
        <v>233315.08100000001</v>
      </c>
    </row>
    <row r="67" spans="2:43">
      <c r="B67" s="75"/>
      <c r="C67" s="165" t="s">
        <v>35</v>
      </c>
      <c r="E67" s="167"/>
      <c r="F67" s="167"/>
      <c r="G67" s="167"/>
      <c r="H67" s="167"/>
      <c r="I67" s="167"/>
      <c r="J67" s="167"/>
      <c r="K67" s="167"/>
      <c r="L67" s="167"/>
      <c r="M67" s="167"/>
      <c r="N67" s="167"/>
      <c r="O67" s="197"/>
      <c r="P67" s="198"/>
      <c r="Q67" s="199"/>
      <c r="R67" s="198"/>
      <c r="S67" s="198"/>
      <c r="T67" s="198"/>
      <c r="U67" s="198"/>
      <c r="V67" s="198"/>
      <c r="W67" s="198"/>
      <c r="X67" s="166">
        <v>21444.142</v>
      </c>
      <c r="Y67" s="75">
        <v>24522.266</v>
      </c>
      <c r="Z67" s="166">
        <v>28033.567999999999</v>
      </c>
      <c r="AA67" s="75">
        <v>31173.718000000001</v>
      </c>
      <c r="AB67" s="166">
        <v>38339.207999999999</v>
      </c>
      <c r="AC67" s="75">
        <v>43652.973000000005</v>
      </c>
      <c r="AD67" s="166">
        <v>45891.447999999997</v>
      </c>
      <c r="AE67" s="165">
        <v>40363.879000000001</v>
      </c>
      <c r="AF67" s="166">
        <v>39934.911</v>
      </c>
      <c r="AG67" s="166">
        <v>46710.976999999999</v>
      </c>
      <c r="AH67" s="166">
        <v>50238.895999999993</v>
      </c>
      <c r="AI67" s="166">
        <v>53930.166999999994</v>
      </c>
      <c r="AJ67" s="166">
        <v>55171.025000000001</v>
      </c>
      <c r="AK67" s="166">
        <v>57520.989000000001</v>
      </c>
      <c r="AL67" s="166">
        <v>56909.36</v>
      </c>
      <c r="AM67" s="166">
        <v>61710.184000000001</v>
      </c>
      <c r="AN67" s="166">
        <v>67717.419000000009</v>
      </c>
      <c r="AO67" s="168">
        <v>69523.682000000001</v>
      </c>
      <c r="AP67" s="168">
        <v>66833.014999999999</v>
      </c>
      <c r="AQ67" s="168">
        <v>64530</v>
      </c>
    </row>
    <row r="68" spans="2:43">
      <c r="B68" s="75"/>
      <c r="E68" s="167"/>
      <c r="F68" s="167"/>
      <c r="G68" s="167"/>
      <c r="H68" s="167"/>
      <c r="I68" s="167"/>
      <c r="J68" s="167"/>
      <c r="K68" s="167"/>
      <c r="L68" s="167"/>
      <c r="M68" s="167"/>
      <c r="N68" s="167"/>
      <c r="O68" s="197"/>
      <c r="P68" s="198"/>
      <c r="Q68" s="199"/>
      <c r="R68" s="198"/>
      <c r="S68" s="198"/>
      <c r="T68" s="198"/>
      <c r="U68" s="198"/>
      <c r="V68" s="198"/>
      <c r="W68" s="198"/>
      <c r="X68" s="166"/>
      <c r="Z68" s="166"/>
      <c r="AB68" s="166"/>
      <c r="AD68" s="166"/>
      <c r="AF68" s="166"/>
      <c r="AG68" s="166"/>
      <c r="AH68" s="166"/>
      <c r="AI68" s="166"/>
      <c r="AJ68" s="166"/>
      <c r="AK68" s="166"/>
      <c r="AL68" s="166"/>
      <c r="AM68" s="166"/>
      <c r="AN68" s="166"/>
      <c r="AO68" s="168"/>
      <c r="AP68" s="168"/>
      <c r="AQ68" s="168"/>
    </row>
    <row r="69" spans="2:43">
      <c r="B69" s="204" t="s">
        <v>36</v>
      </c>
      <c r="C69" s="165" t="s">
        <v>37</v>
      </c>
      <c r="E69" s="167"/>
      <c r="F69" s="167"/>
      <c r="G69" s="167"/>
      <c r="H69" s="167"/>
      <c r="I69" s="167"/>
      <c r="J69" s="167"/>
      <c r="K69" s="167"/>
      <c r="L69" s="167"/>
      <c r="M69" s="167"/>
      <c r="N69" s="167"/>
      <c r="O69" s="197"/>
      <c r="P69" s="198"/>
      <c r="Q69" s="199"/>
      <c r="R69" s="198"/>
      <c r="S69" s="198"/>
      <c r="T69" s="198"/>
      <c r="U69" s="198"/>
      <c r="V69" s="198"/>
      <c r="W69" s="198"/>
      <c r="X69" s="166">
        <v>98596.017999999996</v>
      </c>
      <c r="Y69" s="75">
        <v>105452.81300000001</v>
      </c>
      <c r="Z69" s="166">
        <v>114571.621</v>
      </c>
      <c r="AA69" s="75">
        <v>133292.027</v>
      </c>
      <c r="AB69" s="166">
        <v>157940.94500000001</v>
      </c>
      <c r="AC69" s="75">
        <v>182722.24399999998</v>
      </c>
      <c r="AD69" s="166">
        <v>191956.62899999999</v>
      </c>
      <c r="AE69" s="165">
        <v>184053.30299999999</v>
      </c>
      <c r="AF69" s="166">
        <v>168932.43899999998</v>
      </c>
      <c r="AG69" s="166">
        <v>178995.484</v>
      </c>
      <c r="AH69" s="166">
        <v>192601.60800000001</v>
      </c>
      <c r="AI69" s="166">
        <v>208703.88399999999</v>
      </c>
      <c r="AJ69" s="166">
        <v>215271.29299999998</v>
      </c>
      <c r="AK69" s="166">
        <v>228715.32199999999</v>
      </c>
      <c r="AL69" s="166">
        <v>250094.62600000002</v>
      </c>
      <c r="AM69" s="166">
        <v>277088.09700000001</v>
      </c>
      <c r="AN69" s="166">
        <v>311199.90600000002</v>
      </c>
      <c r="AO69" s="168">
        <v>324762.57199999999</v>
      </c>
      <c r="AP69" s="168">
        <v>320533.071</v>
      </c>
      <c r="AQ69" s="168">
        <v>306092.27100000001</v>
      </c>
    </row>
    <row r="70" spans="2:43">
      <c r="B70" s="75"/>
      <c r="E70" s="167"/>
      <c r="F70" s="167"/>
      <c r="G70" s="167"/>
      <c r="H70" s="167"/>
      <c r="I70" s="167"/>
      <c r="J70" s="167"/>
      <c r="K70" s="167"/>
      <c r="L70" s="167"/>
      <c r="M70" s="167"/>
      <c r="N70" s="167"/>
      <c r="O70" s="197"/>
      <c r="P70" s="198"/>
      <c r="Q70" s="199"/>
      <c r="R70" s="198"/>
      <c r="S70" s="198"/>
      <c r="T70" s="198"/>
      <c r="U70" s="198"/>
      <c r="V70" s="198"/>
      <c r="W70" s="198"/>
      <c r="X70" s="166"/>
      <c r="Z70" s="166"/>
      <c r="AB70" s="166"/>
      <c r="AD70" s="166"/>
      <c r="AF70" s="166"/>
      <c r="AG70" s="166"/>
      <c r="AH70" s="166"/>
      <c r="AI70" s="166"/>
      <c r="AJ70" s="166"/>
      <c r="AK70" s="166"/>
      <c r="AL70" s="166"/>
      <c r="AM70" s="166"/>
      <c r="AN70" s="166"/>
      <c r="AO70" s="168"/>
      <c r="AP70" s="168"/>
      <c r="AQ70" s="168"/>
    </row>
    <row r="71" spans="2:43">
      <c r="B71" s="204" t="s">
        <v>38</v>
      </c>
      <c r="C71" s="165" t="s">
        <v>39</v>
      </c>
      <c r="E71" s="167"/>
      <c r="F71" s="167"/>
      <c r="G71" s="167"/>
      <c r="H71" s="167"/>
      <c r="I71" s="167"/>
      <c r="J71" s="167"/>
      <c r="K71" s="167"/>
      <c r="L71" s="167"/>
      <c r="M71" s="167"/>
      <c r="N71" s="167"/>
      <c r="O71" s="197"/>
      <c r="P71" s="198"/>
      <c r="Q71" s="199"/>
      <c r="R71" s="198"/>
      <c r="S71" s="198"/>
      <c r="T71" s="198"/>
      <c r="U71" s="198"/>
      <c r="V71" s="198"/>
      <c r="W71" s="198"/>
      <c r="X71" s="166">
        <v>110247.47899999999</v>
      </c>
      <c r="Y71" s="75">
        <v>117548.693</v>
      </c>
      <c r="Z71" s="166">
        <v>127105.849</v>
      </c>
      <c r="AA71" s="75">
        <v>148814.068</v>
      </c>
      <c r="AB71" s="166">
        <v>175198.315</v>
      </c>
      <c r="AC71" s="75">
        <v>205182.02500000002</v>
      </c>
      <c r="AD71" s="166">
        <v>214988.16099999999</v>
      </c>
      <c r="AE71" s="165">
        <v>200881.96400000001</v>
      </c>
      <c r="AF71" s="166">
        <v>180199.22</v>
      </c>
      <c r="AG71" s="166">
        <v>190130.53199999998</v>
      </c>
      <c r="AH71" s="166">
        <v>202440.826</v>
      </c>
      <c r="AI71" s="166">
        <v>218629.60200000001</v>
      </c>
      <c r="AJ71" s="166">
        <v>226618.73800000001</v>
      </c>
      <c r="AK71" s="166">
        <v>239914.514</v>
      </c>
      <c r="AL71" s="166">
        <v>262827.50900000002</v>
      </c>
      <c r="AM71" s="166">
        <v>293439.30200000003</v>
      </c>
      <c r="AN71" s="166">
        <v>328968.03100000002</v>
      </c>
      <c r="AO71" s="168">
        <v>344534.12300000002</v>
      </c>
      <c r="AP71" s="168">
        <v>343009.011</v>
      </c>
      <c r="AQ71" s="168">
        <v>328754.22600000002</v>
      </c>
    </row>
    <row r="72" spans="2:43">
      <c r="B72" s="204"/>
      <c r="E72" s="167"/>
      <c r="F72" s="167"/>
      <c r="G72" s="167"/>
      <c r="H72" s="167"/>
      <c r="I72" s="167"/>
      <c r="J72" s="167"/>
      <c r="K72" s="167"/>
      <c r="L72" s="167"/>
      <c r="M72" s="167"/>
      <c r="N72" s="167"/>
      <c r="O72" s="197"/>
      <c r="P72" s="198"/>
      <c r="Q72" s="199"/>
      <c r="R72" s="198"/>
      <c r="S72" s="198"/>
      <c r="T72" s="198"/>
      <c r="U72" s="198"/>
      <c r="V72" s="198"/>
      <c r="W72" s="198"/>
      <c r="X72" s="166"/>
      <c r="Z72" s="166"/>
      <c r="AB72" s="166"/>
      <c r="AD72" s="166"/>
      <c r="AF72" s="166"/>
      <c r="AG72" s="166"/>
      <c r="AH72" s="166"/>
      <c r="AI72" s="166"/>
      <c r="AJ72" s="166"/>
      <c r="AK72" s="166"/>
      <c r="AL72" s="166"/>
      <c r="AM72" s="166"/>
      <c r="AN72" s="166"/>
    </row>
    <row r="73" spans="2:43">
      <c r="B73" s="165" t="s">
        <v>40</v>
      </c>
      <c r="E73" s="167"/>
      <c r="F73" s="167"/>
      <c r="G73" s="167"/>
      <c r="H73" s="167"/>
      <c r="I73" s="167"/>
      <c r="J73" s="167"/>
      <c r="K73" s="167"/>
      <c r="L73" s="167"/>
      <c r="M73" s="167"/>
      <c r="N73" s="167"/>
      <c r="O73" s="197"/>
      <c r="P73" s="198"/>
      <c r="Q73" s="199"/>
      <c r="R73" s="198"/>
      <c r="S73" s="198"/>
      <c r="T73" s="198"/>
      <c r="U73" s="198"/>
      <c r="V73" s="198"/>
      <c r="W73" s="198"/>
      <c r="X73" s="166"/>
      <c r="Z73" s="166"/>
      <c r="AB73" s="166"/>
      <c r="AD73" s="166"/>
      <c r="AF73" s="166"/>
      <c r="AG73" s="166"/>
      <c r="AH73" s="166"/>
      <c r="AI73" s="166"/>
      <c r="AJ73" s="166"/>
      <c r="AK73" s="166"/>
      <c r="AL73" s="166"/>
      <c r="AM73" s="166"/>
      <c r="AN73" s="166"/>
    </row>
    <row r="74" spans="2:43">
      <c r="B74" s="75"/>
      <c r="E74" s="167"/>
      <c r="F74" s="167"/>
      <c r="G74" s="167"/>
      <c r="H74" s="167"/>
      <c r="I74" s="167"/>
      <c r="J74" s="167"/>
      <c r="K74" s="167"/>
      <c r="L74" s="167"/>
      <c r="M74" s="167"/>
      <c r="N74" s="167"/>
      <c r="O74" s="197"/>
      <c r="P74" s="198"/>
      <c r="Q74" s="199"/>
      <c r="R74" s="198"/>
      <c r="S74" s="198"/>
      <c r="T74" s="198"/>
      <c r="U74" s="198"/>
      <c r="V74" s="198"/>
      <c r="W74" s="198"/>
      <c r="X74" s="166"/>
      <c r="Z74" s="166"/>
      <c r="AB74" s="166"/>
      <c r="AD74" s="166"/>
      <c r="AF74" s="166"/>
      <c r="AG74" s="166"/>
      <c r="AH74" s="166"/>
      <c r="AI74" s="166"/>
      <c r="AJ74" s="166"/>
      <c r="AK74" s="166"/>
      <c r="AL74" s="166"/>
      <c r="AM74" s="166"/>
      <c r="AN74" s="166"/>
    </row>
    <row r="75" spans="2:43">
      <c r="B75" s="205" t="s">
        <v>41</v>
      </c>
      <c r="C75" s="206" t="s">
        <v>42</v>
      </c>
      <c r="D75" s="206"/>
      <c r="E75" s="167"/>
      <c r="F75" s="167"/>
      <c r="G75" s="167"/>
      <c r="H75" s="167"/>
      <c r="I75" s="167"/>
      <c r="J75" s="167"/>
      <c r="K75" s="167"/>
      <c r="L75" s="167"/>
      <c r="M75" s="167"/>
      <c r="N75" s="167"/>
      <c r="O75" s="197"/>
      <c r="P75" s="198"/>
      <c r="Q75" s="199"/>
      <c r="R75" s="198"/>
      <c r="S75" s="198"/>
      <c r="T75" s="198"/>
      <c r="U75" s="198"/>
      <c r="V75" s="198"/>
      <c r="W75" s="198"/>
      <c r="X75" s="207">
        <v>0.18246985161498788</v>
      </c>
      <c r="Y75" s="171">
        <v>0.18565978227164773</v>
      </c>
      <c r="Z75" s="207">
        <v>0.1891060187290444</v>
      </c>
      <c r="AA75" s="171">
        <v>0.19998961718496988</v>
      </c>
      <c r="AB75" s="207">
        <v>0.21090595496662676</v>
      </c>
      <c r="AC75" s="171">
        <v>0.21589326331818184</v>
      </c>
      <c r="AD75" s="207">
        <v>0.2012521904760472</v>
      </c>
      <c r="AE75" s="165">
        <v>0.17518061473076227</v>
      </c>
      <c r="AF75" s="207">
        <v>0.15595220136112309</v>
      </c>
      <c r="AG75" s="207">
        <v>0.15963321891671217</v>
      </c>
      <c r="AH75" s="207">
        <v>0.16159805115495407</v>
      </c>
      <c r="AI75" s="207">
        <v>0.16433625275357877</v>
      </c>
      <c r="AJ75" s="207">
        <v>0.16366165263714993</v>
      </c>
      <c r="AK75" s="207">
        <v>0.16628249479068971</v>
      </c>
      <c r="AL75" s="207">
        <v>0.17466277879084721</v>
      </c>
      <c r="AM75" s="207">
        <v>0.18076721531835011</v>
      </c>
      <c r="AN75" s="207">
        <v>0.19139916727286135</v>
      </c>
      <c r="AO75" s="556">
        <v>0.18328637642280834</v>
      </c>
      <c r="AP75" s="556">
        <v>0.16934364609425939</v>
      </c>
      <c r="AQ75" s="556">
        <v>0.16048388961861967</v>
      </c>
    </row>
    <row r="76" spans="2:43">
      <c r="B76" s="75"/>
      <c r="E76" s="167"/>
      <c r="F76" s="167"/>
      <c r="G76" s="167"/>
      <c r="H76" s="167"/>
      <c r="I76" s="167"/>
      <c r="J76" s="167"/>
      <c r="K76" s="167"/>
      <c r="L76" s="167"/>
      <c r="M76" s="167"/>
      <c r="N76" s="167"/>
      <c r="O76" s="197"/>
      <c r="P76" s="198"/>
      <c r="Q76" s="199"/>
      <c r="R76" s="198"/>
      <c r="S76" s="198"/>
      <c r="T76" s="198"/>
      <c r="U76" s="198"/>
      <c r="V76" s="198"/>
      <c r="W76" s="198"/>
      <c r="X76" s="166"/>
      <c r="Z76" s="166"/>
      <c r="AB76" s="166"/>
      <c r="AD76" s="166"/>
      <c r="AF76" s="166"/>
      <c r="AG76" s="166"/>
      <c r="AH76" s="166"/>
      <c r="AI76" s="166"/>
      <c r="AJ76" s="166"/>
      <c r="AK76" s="166"/>
      <c r="AL76" s="166"/>
      <c r="AM76" s="166"/>
      <c r="AN76" s="166"/>
      <c r="AO76" s="555"/>
      <c r="AP76" s="555"/>
      <c r="AQ76" s="555"/>
    </row>
    <row r="77" spans="2:43">
      <c r="B77" s="204" t="s">
        <v>43</v>
      </c>
      <c r="C77" s="165" t="s">
        <v>44</v>
      </c>
      <c r="E77" s="167"/>
      <c r="F77" s="167"/>
      <c r="G77" s="167"/>
      <c r="H77" s="167"/>
      <c r="I77" s="167"/>
      <c r="J77" s="167"/>
      <c r="K77" s="167"/>
      <c r="L77" s="167"/>
      <c r="M77" s="167"/>
      <c r="N77" s="167"/>
      <c r="O77" s="197"/>
      <c r="P77" s="198"/>
      <c r="Q77" s="199"/>
      <c r="R77" s="198"/>
      <c r="S77" s="198"/>
      <c r="T77" s="198"/>
      <c r="U77" s="198"/>
      <c r="V77" s="198"/>
      <c r="W77" s="198"/>
      <c r="X77" s="208">
        <v>0.21433016530941437</v>
      </c>
      <c r="Y77" s="75">
        <v>0.21550568211569193</v>
      </c>
      <c r="Z77" s="208">
        <v>0.2186835403494726</v>
      </c>
      <c r="AA77" s="75">
        <v>0.23227735146157436</v>
      </c>
      <c r="AB77" s="208">
        <v>0.24271712470250709</v>
      </c>
      <c r="AC77" s="75">
        <v>0.2524179125778318</v>
      </c>
      <c r="AD77" s="208">
        <v>0.23580645431642366</v>
      </c>
      <c r="AE77" s="165">
        <v>0.20137156109294399</v>
      </c>
      <c r="AF77" s="208">
        <v>0.17544792150475086</v>
      </c>
      <c r="AG77" s="208">
        <v>0.17948235521058589</v>
      </c>
      <c r="AH77" s="208">
        <v>0.18044539006649685</v>
      </c>
      <c r="AI77" s="208">
        <v>0.18261637567965661</v>
      </c>
      <c r="AJ77" s="208">
        <v>0.18092222389466081</v>
      </c>
      <c r="AK77" s="208">
        <v>0.18266977348215424</v>
      </c>
      <c r="AL77" s="208">
        <v>0.19081204180463932</v>
      </c>
      <c r="AM77" s="208">
        <v>0.19855949131167602</v>
      </c>
      <c r="AN77" s="208">
        <v>0.20872011980978383</v>
      </c>
      <c r="AO77" s="555">
        <v>0.2010148489495836</v>
      </c>
      <c r="AP77" s="555">
        <v>0.18730441131228093</v>
      </c>
      <c r="AQ77" s="555">
        <v>0.17713825167063529</v>
      </c>
    </row>
    <row r="78" spans="2:43">
      <c r="B78" s="75"/>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F78" s="166"/>
      <c r="AG78" s="166"/>
      <c r="AH78" s="166"/>
      <c r="AI78" s="166"/>
      <c r="AJ78" s="166"/>
      <c r="AK78" s="166"/>
      <c r="AL78" s="166"/>
      <c r="AM78" s="166"/>
      <c r="AN78" s="166"/>
      <c r="AO78" s="555"/>
      <c r="AP78" s="555"/>
      <c r="AQ78" s="555"/>
    </row>
    <row r="79" spans="2:43">
      <c r="B79" s="204" t="s">
        <v>45</v>
      </c>
      <c r="C79" s="165" t="s">
        <v>46</v>
      </c>
      <c r="E79" s="167"/>
      <c r="F79" s="167"/>
      <c r="G79" s="167"/>
      <c r="H79" s="167"/>
      <c r="I79" s="167"/>
      <c r="J79" s="167"/>
      <c r="K79" s="167"/>
      <c r="L79" s="167"/>
      <c r="M79" s="167"/>
      <c r="N79" s="167"/>
      <c r="O79" s="197"/>
      <c r="P79" s="198"/>
      <c r="Q79" s="199"/>
      <c r="R79" s="198"/>
      <c r="S79" s="198"/>
      <c r="T79" s="198"/>
      <c r="U79" s="198"/>
      <c r="V79" s="198"/>
      <c r="W79" s="198"/>
      <c r="X79" s="208">
        <v>0.24984983228460667</v>
      </c>
      <c r="Y79" s="75">
        <v>0.25451264709598037</v>
      </c>
      <c r="Z79" s="208">
        <v>0.25701352944920935</v>
      </c>
      <c r="AA79" s="75">
        <v>0.27155691071055049</v>
      </c>
      <c r="AB79" s="208">
        <v>0.28260019266808301</v>
      </c>
      <c r="AC79" s="75">
        <v>0.29708760674053419</v>
      </c>
      <c r="AD79" s="208">
        <v>0.2787349890090427</v>
      </c>
      <c r="AE79" s="165">
        <v>0.24393889272446773</v>
      </c>
      <c r="AF79" s="208">
        <v>0.21585970834941587</v>
      </c>
      <c r="AG79" s="208">
        <v>0.21995247919912225</v>
      </c>
      <c r="AH79" s="208">
        <v>0.22117097801679464</v>
      </c>
      <c r="AI79" s="208">
        <v>0.22163335452723676</v>
      </c>
      <c r="AJ79" s="208">
        <v>0.21920529641946401</v>
      </c>
      <c r="AK79" s="208">
        <v>0.21995466118462917</v>
      </c>
      <c r="AL79" s="208">
        <v>0.2289205781604563</v>
      </c>
      <c r="AM79" s="208">
        <v>0.23708006935280729</v>
      </c>
      <c r="AN79" s="208">
        <v>0.24855731681824525</v>
      </c>
      <c r="AO79" s="555">
        <v>0.24094165838581971</v>
      </c>
      <c r="AP79" s="555">
        <v>0.22573051896932522</v>
      </c>
      <c r="AQ79" s="555">
        <v>0.21785822540571809</v>
      </c>
    </row>
    <row r="80" spans="2:43">
      <c r="B80" s="172"/>
      <c r="C80" s="172"/>
      <c r="D80" s="172"/>
      <c r="E80" s="192"/>
      <c r="F80" s="192"/>
      <c r="G80" s="192"/>
      <c r="H80" s="192"/>
      <c r="I80" s="192"/>
      <c r="J80" s="192"/>
      <c r="K80" s="192"/>
      <c r="L80" s="192"/>
      <c r="M80" s="192"/>
      <c r="N80" s="192"/>
      <c r="O80" s="193"/>
      <c r="P80" s="194"/>
      <c r="Q80" s="194"/>
      <c r="R80" s="194"/>
      <c r="S80" s="194"/>
      <c r="T80" s="194"/>
      <c r="U80" s="194"/>
      <c r="V80" s="194"/>
      <c r="W80" s="194"/>
      <c r="X80" s="200"/>
      <c r="Y80" s="200"/>
      <c r="Z80" s="200"/>
      <c r="AA80" s="200"/>
      <c r="AB80" s="200"/>
      <c r="AC80" s="200"/>
      <c r="AD80" s="200"/>
      <c r="AF80" s="200"/>
      <c r="AG80" s="200"/>
      <c r="AH80" s="200"/>
      <c r="AI80" s="200"/>
      <c r="AJ80" s="200"/>
      <c r="AK80" s="200"/>
      <c r="AL80" s="200"/>
      <c r="AM80" s="200"/>
      <c r="AN80" s="200"/>
      <c r="AO80" s="200"/>
      <c r="AP80" s="200"/>
      <c r="AQ80" s="200"/>
    </row>
    <row r="81" spans="1:256">
      <c r="E81" s="167"/>
      <c r="F81" s="167"/>
      <c r="G81" s="167"/>
      <c r="H81" s="167"/>
      <c r="I81" s="167"/>
      <c r="J81" s="167"/>
      <c r="K81" s="167"/>
      <c r="L81" s="167"/>
      <c r="M81" s="167"/>
      <c r="N81" s="167"/>
      <c r="O81" s="197"/>
      <c r="P81" s="198"/>
      <c r="Q81" s="199"/>
      <c r="R81" s="198"/>
      <c r="S81" s="198"/>
      <c r="T81" s="198"/>
      <c r="U81" s="198"/>
      <c r="V81" s="198"/>
      <c r="W81" s="198"/>
      <c r="AJ81" s="75"/>
      <c r="AK81" s="75"/>
      <c r="AL81" s="75"/>
      <c r="AM81" s="75"/>
      <c r="AN81" s="75"/>
    </row>
    <row r="82" spans="1:256" ht="15">
      <c r="B82" s="1922" t="s">
        <v>47</v>
      </c>
      <c r="C82" s="1923"/>
      <c r="D82" s="1923"/>
      <c r="E82" s="1923"/>
      <c r="F82" s="1923"/>
      <c r="G82" s="1923"/>
      <c r="H82" s="1923"/>
      <c r="I82" s="1923"/>
      <c r="J82" s="1923"/>
      <c r="K82" s="1923"/>
      <c r="L82" s="1923"/>
      <c r="M82" s="1923"/>
      <c r="N82" s="1923"/>
      <c r="O82" s="1923"/>
      <c r="P82" s="1923"/>
      <c r="Q82" s="1923"/>
      <c r="R82" s="1923"/>
      <c r="S82" s="1923"/>
      <c r="T82" s="1923"/>
      <c r="U82" s="1923"/>
      <c r="V82" s="1923"/>
      <c r="W82" s="1923"/>
      <c r="X82" s="1923"/>
      <c r="Y82" s="1923"/>
      <c r="Z82" s="1923"/>
      <c r="AA82" s="1923"/>
      <c r="AB82" s="1923"/>
      <c r="AC82" s="1923"/>
      <c r="AD82" s="1923"/>
      <c r="AJ82" s="75"/>
      <c r="AK82" s="75"/>
      <c r="AL82" s="75"/>
    </row>
    <row r="85" spans="1:256">
      <c r="B85" s="170" t="s">
        <v>458</v>
      </c>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F85" s="171"/>
    </row>
    <row r="86" spans="1:256">
      <c r="B86" s="192"/>
      <c r="C86" s="192"/>
      <c r="D86" s="192"/>
      <c r="E86" s="192"/>
      <c r="F86" s="192"/>
      <c r="G86" s="192"/>
      <c r="H86" s="192"/>
      <c r="I86" s="192"/>
      <c r="J86" s="192"/>
      <c r="K86" s="192"/>
      <c r="L86" s="192"/>
      <c r="M86" s="192"/>
      <c r="N86" s="192"/>
      <c r="O86" s="193"/>
      <c r="P86" s="194"/>
      <c r="Q86" s="194"/>
      <c r="R86" s="194"/>
      <c r="S86" s="194"/>
      <c r="T86" s="194"/>
      <c r="U86" s="194"/>
      <c r="V86" s="194"/>
      <c r="W86" s="194"/>
      <c r="X86" s="195"/>
      <c r="Y86" s="195"/>
      <c r="Z86" s="195"/>
      <c r="AA86" s="195"/>
      <c r="AB86" s="195"/>
      <c r="AC86" s="195"/>
      <c r="AD86" s="196"/>
      <c r="AF86" s="196"/>
    </row>
    <row r="87" spans="1:256">
      <c r="B87" s="209"/>
      <c r="C87" s="209"/>
      <c r="D87" s="209"/>
      <c r="E87" s="209"/>
      <c r="F87" s="209"/>
      <c r="G87" s="209"/>
      <c r="H87" s="209"/>
      <c r="I87" s="209"/>
      <c r="J87" s="209"/>
      <c r="K87" s="209"/>
      <c r="L87" s="209"/>
      <c r="M87" s="209"/>
      <c r="N87" s="209"/>
      <c r="O87" s="210"/>
      <c r="P87" s="198"/>
      <c r="Q87" s="198"/>
      <c r="R87" s="198"/>
      <c r="S87" s="198"/>
      <c r="T87" s="198"/>
      <c r="U87" s="198"/>
      <c r="V87" s="198"/>
      <c r="W87" s="198"/>
      <c r="X87" s="211">
        <v>2001</v>
      </c>
      <c r="Y87" s="212"/>
      <c r="Z87" s="211">
        <v>2003</v>
      </c>
      <c r="AA87" s="212"/>
      <c r="AB87" s="211">
        <v>2005</v>
      </c>
      <c r="AC87" s="212"/>
      <c r="AD87" s="211">
        <v>2007</v>
      </c>
      <c r="AE87" s="202"/>
      <c r="AF87" s="211">
        <v>2009</v>
      </c>
      <c r="AG87" s="202">
        <v>2010</v>
      </c>
      <c r="AH87" s="202">
        <v>2011</v>
      </c>
      <c r="AI87" s="202">
        <v>2012</v>
      </c>
      <c r="AJ87" s="202">
        <v>2013</v>
      </c>
      <c r="AK87" s="202">
        <v>2014</v>
      </c>
      <c r="AL87" s="202">
        <v>2015</v>
      </c>
      <c r="AM87" s="202">
        <v>2016</v>
      </c>
      <c r="AN87" s="202">
        <v>2017</v>
      </c>
      <c r="AO87" s="202">
        <v>2018</v>
      </c>
      <c r="AP87" s="202"/>
    </row>
    <row r="88" spans="1:256">
      <c r="A88" s="187"/>
      <c r="B88" s="187"/>
      <c r="C88" s="187"/>
      <c r="D88" s="187"/>
      <c r="F88" s="187"/>
      <c r="G88" s="187"/>
      <c r="H88" s="187"/>
      <c r="I88" s="187"/>
      <c r="J88" s="187"/>
      <c r="K88" s="187"/>
      <c r="L88" s="187"/>
      <c r="M88" s="187"/>
      <c r="N88" s="187"/>
      <c r="O88" s="187"/>
      <c r="P88" s="187"/>
      <c r="Q88" s="187"/>
      <c r="R88" s="187"/>
      <c r="S88" s="187"/>
      <c r="T88" s="187"/>
      <c r="U88" s="187"/>
      <c r="V88" s="187"/>
      <c r="W88" s="213"/>
      <c r="X88" s="214"/>
      <c r="Y88" s="214"/>
      <c r="Z88" s="214"/>
      <c r="AA88" s="214"/>
      <c r="AB88" s="214"/>
      <c r="AC88" s="214"/>
      <c r="AD88" s="214"/>
      <c r="AE88" s="214"/>
      <c r="AF88" s="214"/>
      <c r="AG88" s="216"/>
      <c r="AH88" s="216"/>
      <c r="AI88" s="216"/>
      <c r="AJ88" s="216"/>
      <c r="AK88" s="216"/>
      <c r="AL88" s="216"/>
      <c r="AM88" s="216"/>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7"/>
      <c r="FL88" s="187"/>
      <c r="FM88" s="187"/>
      <c r="FN88" s="187"/>
      <c r="FO88" s="187"/>
      <c r="FP88" s="187"/>
      <c r="FQ88" s="187"/>
      <c r="FR88" s="187"/>
      <c r="FS88" s="187"/>
      <c r="FT88" s="187"/>
      <c r="FU88" s="187"/>
      <c r="FV88" s="187"/>
      <c r="FW88" s="187"/>
      <c r="FX88" s="187"/>
      <c r="FY88" s="187"/>
      <c r="FZ88" s="187"/>
      <c r="GA88" s="187"/>
      <c r="GB88" s="187"/>
      <c r="GC88" s="187"/>
      <c r="GD88" s="187"/>
      <c r="GE88" s="187"/>
      <c r="GF88" s="187"/>
      <c r="GG88" s="187"/>
      <c r="GH88" s="187"/>
      <c r="GI88" s="187"/>
      <c r="GJ88" s="187"/>
      <c r="GK88" s="187"/>
      <c r="GL88" s="187"/>
      <c r="GM88" s="187"/>
      <c r="GN88" s="187"/>
      <c r="GO88" s="187"/>
      <c r="GP88" s="187"/>
      <c r="GQ88" s="187"/>
      <c r="GR88" s="187"/>
      <c r="GS88" s="187"/>
      <c r="GT88" s="187"/>
      <c r="GU88" s="187"/>
      <c r="GV88" s="187"/>
      <c r="GW88" s="187"/>
      <c r="GX88" s="187"/>
      <c r="GY88" s="187"/>
      <c r="GZ88" s="187"/>
      <c r="HA88" s="187"/>
      <c r="HB88" s="187"/>
      <c r="HC88" s="187"/>
      <c r="HD88" s="187"/>
      <c r="HE88" s="187"/>
      <c r="HF88" s="187"/>
      <c r="HG88" s="187"/>
      <c r="HH88" s="187"/>
      <c r="HI88" s="187"/>
      <c r="HJ88" s="187"/>
      <c r="HK88" s="187"/>
      <c r="HL88" s="187"/>
      <c r="HM88" s="187"/>
      <c r="HN88" s="187"/>
      <c r="HO88" s="187"/>
      <c r="HP88" s="187"/>
      <c r="HQ88" s="187"/>
      <c r="HR88" s="187"/>
      <c r="HS88" s="187"/>
      <c r="HT88" s="187"/>
      <c r="HU88" s="187"/>
      <c r="HV88" s="187"/>
      <c r="HW88" s="187"/>
      <c r="HX88" s="187"/>
      <c r="HY88" s="187"/>
      <c r="HZ88" s="187"/>
      <c r="IA88" s="187"/>
      <c r="IB88" s="187"/>
      <c r="IC88" s="187"/>
      <c r="ID88" s="187"/>
      <c r="IE88" s="187"/>
      <c r="IF88" s="187"/>
      <c r="IG88" s="187"/>
      <c r="IH88" s="187"/>
      <c r="II88" s="187"/>
      <c r="IJ88" s="187"/>
      <c r="IK88" s="187"/>
      <c r="IL88" s="187"/>
      <c r="IM88" s="187"/>
      <c r="IN88" s="187"/>
      <c r="IO88" s="187"/>
      <c r="IP88" s="187"/>
      <c r="IQ88" s="187"/>
      <c r="IR88" s="187"/>
      <c r="IS88" s="187"/>
      <c r="IT88" s="187"/>
      <c r="IU88" s="187"/>
      <c r="IV88" s="187"/>
    </row>
    <row r="89" spans="1:256">
      <c r="A89" s="187"/>
      <c r="B89" s="217" t="s">
        <v>49</v>
      </c>
      <c r="C89" s="187"/>
      <c r="D89" s="187"/>
      <c r="F89" s="187"/>
      <c r="G89" s="187"/>
      <c r="H89" s="187"/>
      <c r="I89" s="187"/>
      <c r="J89" s="187"/>
      <c r="K89" s="187"/>
      <c r="L89" s="187"/>
      <c r="M89" s="187"/>
      <c r="N89" s="187"/>
      <c r="O89" s="187"/>
      <c r="P89" s="187"/>
      <c r="Q89" s="187"/>
      <c r="R89" s="187"/>
      <c r="S89" s="187"/>
      <c r="T89" s="187"/>
      <c r="U89" s="187"/>
      <c r="V89" s="187"/>
      <c r="W89" s="218"/>
      <c r="X89" s="219">
        <v>0</v>
      </c>
      <c r="Y89" s="219"/>
      <c r="Z89" s="219">
        <v>0</v>
      </c>
      <c r="AA89" s="219"/>
      <c r="AB89" s="219">
        <v>0</v>
      </c>
      <c r="AC89" s="219"/>
      <c r="AD89" s="219">
        <v>0</v>
      </c>
      <c r="AE89" s="558"/>
      <c r="AF89" s="219">
        <v>0</v>
      </c>
      <c r="AG89" s="219">
        <v>0</v>
      </c>
      <c r="AH89" s="219">
        <v>0</v>
      </c>
      <c r="AI89" s="219">
        <v>0</v>
      </c>
      <c r="AJ89" s="219">
        <v>0</v>
      </c>
      <c r="AK89" s="219">
        <v>0</v>
      </c>
      <c r="AL89" s="219">
        <v>0</v>
      </c>
      <c r="AM89" s="219">
        <v>0</v>
      </c>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87"/>
      <c r="DW89" s="187"/>
      <c r="DX89" s="187"/>
      <c r="DY89" s="187"/>
      <c r="DZ89" s="187"/>
      <c r="EA89" s="187"/>
      <c r="EB89" s="187"/>
      <c r="EC89" s="187"/>
      <c r="ED89" s="187"/>
      <c r="EE89" s="187"/>
      <c r="EF89" s="187"/>
      <c r="EG89" s="187"/>
      <c r="EH89" s="187"/>
      <c r="EI89" s="187"/>
      <c r="EJ89" s="187"/>
      <c r="EK89" s="187"/>
      <c r="EL89" s="187"/>
      <c r="EM89" s="187"/>
      <c r="EN89" s="187"/>
      <c r="EO89" s="187"/>
      <c r="EP89" s="187"/>
      <c r="EQ89" s="187"/>
      <c r="ER89" s="187"/>
      <c r="ES89" s="187"/>
      <c r="ET89" s="187"/>
      <c r="EU89" s="187"/>
      <c r="EV89" s="187"/>
      <c r="EW89" s="187"/>
      <c r="EX89" s="187"/>
      <c r="EY89" s="187"/>
      <c r="EZ89" s="187"/>
      <c r="FA89" s="187"/>
      <c r="FB89" s="187"/>
      <c r="FC89" s="187"/>
      <c r="FD89" s="187"/>
      <c r="FE89" s="187"/>
      <c r="FF89" s="187"/>
      <c r="FG89" s="187"/>
      <c r="FH89" s="187"/>
      <c r="FI89" s="187"/>
      <c r="FJ89" s="187"/>
      <c r="FK89" s="187"/>
      <c r="FL89" s="187"/>
      <c r="FM89" s="187"/>
      <c r="FN89" s="187"/>
      <c r="FO89" s="187"/>
      <c r="FP89" s="187"/>
      <c r="FQ89" s="187"/>
      <c r="FR89" s="187"/>
      <c r="FS89" s="187"/>
      <c r="FT89" s="187"/>
      <c r="FU89" s="187"/>
      <c r="FV89" s="187"/>
      <c r="FW89" s="187"/>
      <c r="FX89" s="187"/>
      <c r="FY89" s="187"/>
      <c r="FZ89" s="187"/>
      <c r="GA89" s="187"/>
      <c r="GB89" s="187"/>
      <c r="GC89" s="187"/>
      <c r="GD89" s="187"/>
      <c r="GE89" s="187"/>
      <c r="GF89" s="187"/>
      <c r="GG89" s="187"/>
      <c r="GH89" s="187"/>
      <c r="GI89" s="187"/>
      <c r="GJ89" s="187"/>
      <c r="GK89" s="187"/>
      <c r="GL89" s="187"/>
      <c r="GM89" s="187"/>
      <c r="GN89" s="187"/>
      <c r="GO89" s="187"/>
      <c r="GP89" s="187"/>
      <c r="GQ89" s="187"/>
      <c r="GR89" s="187"/>
      <c r="GS89" s="187"/>
      <c r="GT89" s="187"/>
      <c r="GU89" s="187"/>
      <c r="GV89" s="187"/>
      <c r="GW89" s="187"/>
      <c r="GX89" s="187"/>
      <c r="GY89" s="187"/>
      <c r="GZ89" s="187"/>
      <c r="HA89" s="187"/>
      <c r="HB89" s="187"/>
      <c r="HC89" s="187"/>
      <c r="HD89" s="187"/>
      <c r="HE89" s="187"/>
      <c r="HF89" s="187"/>
      <c r="HG89" s="187"/>
      <c r="HH89" s="187"/>
      <c r="HI89" s="187"/>
      <c r="HJ89" s="187"/>
      <c r="HK89" s="187"/>
      <c r="HL89" s="187"/>
      <c r="HM89" s="187"/>
      <c r="HN89" s="187"/>
      <c r="HO89" s="187"/>
      <c r="HP89" s="187"/>
      <c r="HQ89" s="187"/>
      <c r="HR89" s="187"/>
      <c r="HS89" s="187"/>
      <c r="HT89" s="187"/>
      <c r="HU89" s="187"/>
      <c r="HV89" s="187"/>
      <c r="HW89" s="187"/>
      <c r="HX89" s="187"/>
      <c r="HY89" s="187"/>
      <c r="HZ89" s="187"/>
      <c r="IA89" s="187"/>
      <c r="IB89" s="187"/>
      <c r="IC89" s="187"/>
      <c r="ID89" s="187"/>
      <c r="IE89" s="187"/>
      <c r="IF89" s="187"/>
      <c r="IG89" s="187"/>
      <c r="IH89" s="187"/>
      <c r="II89" s="187"/>
      <c r="IJ89" s="187"/>
      <c r="IK89" s="187"/>
      <c r="IL89" s="187"/>
      <c r="IM89" s="187"/>
      <c r="IN89" s="187"/>
      <c r="IO89" s="187"/>
      <c r="IP89" s="187"/>
      <c r="IQ89" s="187"/>
      <c r="IR89" s="187"/>
      <c r="IS89" s="187"/>
      <c r="IT89" s="187"/>
      <c r="IU89" s="187"/>
      <c r="IV89" s="187"/>
    </row>
    <row r="90" spans="1:256">
      <c r="A90" s="187"/>
      <c r="B90" s="217"/>
      <c r="C90" s="187"/>
      <c r="D90" s="187"/>
      <c r="F90" s="187"/>
      <c r="G90" s="187"/>
      <c r="H90" s="187"/>
      <c r="I90" s="187"/>
      <c r="J90" s="187"/>
      <c r="K90" s="187"/>
      <c r="L90" s="187"/>
      <c r="M90" s="187"/>
      <c r="N90" s="187"/>
      <c r="O90" s="187"/>
      <c r="P90" s="187"/>
      <c r="Q90" s="187"/>
      <c r="R90" s="187"/>
      <c r="S90" s="187"/>
      <c r="T90" s="187"/>
      <c r="U90" s="187"/>
      <c r="V90" s="187"/>
      <c r="W90" s="218"/>
      <c r="X90" s="219"/>
      <c r="Y90" s="219"/>
      <c r="Z90" s="219"/>
      <c r="AA90" s="219"/>
      <c r="AB90" s="219"/>
      <c r="AC90" s="219"/>
      <c r="AD90" s="219"/>
      <c r="AE90" s="558"/>
      <c r="AF90" s="219"/>
      <c r="AG90" s="219"/>
      <c r="AH90" s="219"/>
      <c r="AI90" s="219"/>
      <c r="AJ90" s="219"/>
      <c r="AK90" s="219"/>
      <c r="AL90" s="219"/>
      <c r="AM90" s="219"/>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87"/>
      <c r="DW90" s="187"/>
      <c r="DX90" s="187"/>
      <c r="DY90" s="187"/>
      <c r="DZ90" s="187"/>
      <c r="EA90" s="187"/>
      <c r="EB90" s="187"/>
      <c r="EC90" s="187"/>
      <c r="ED90" s="187"/>
      <c r="EE90" s="187"/>
      <c r="EF90" s="187"/>
      <c r="EG90" s="187"/>
      <c r="EH90" s="187"/>
      <c r="EI90" s="187"/>
      <c r="EJ90" s="187"/>
      <c r="EK90" s="187"/>
      <c r="EL90" s="187"/>
      <c r="EM90" s="187"/>
      <c r="EN90" s="187"/>
      <c r="EO90" s="187"/>
      <c r="EP90" s="187"/>
      <c r="EQ90" s="187"/>
      <c r="ER90" s="187"/>
      <c r="ES90" s="187"/>
      <c r="ET90" s="187"/>
      <c r="EU90" s="187"/>
      <c r="EV90" s="187"/>
      <c r="EW90" s="187"/>
      <c r="EX90" s="187"/>
      <c r="EY90" s="187"/>
      <c r="EZ90" s="187"/>
      <c r="FA90" s="187"/>
      <c r="FB90" s="187"/>
      <c r="FC90" s="187"/>
      <c r="FD90" s="187"/>
      <c r="FE90" s="187"/>
      <c r="FF90" s="187"/>
      <c r="FG90" s="187"/>
      <c r="FH90" s="187"/>
      <c r="FI90" s="187"/>
      <c r="FJ90" s="187"/>
      <c r="FK90" s="187"/>
      <c r="FL90" s="187"/>
      <c r="FM90" s="187"/>
      <c r="FN90" s="187"/>
      <c r="FO90" s="187"/>
      <c r="FP90" s="187"/>
      <c r="FQ90" s="187"/>
      <c r="FR90" s="187"/>
      <c r="FS90" s="187"/>
      <c r="FT90" s="187"/>
      <c r="FU90" s="187"/>
      <c r="FV90" s="187"/>
      <c r="FW90" s="187"/>
      <c r="FX90" s="187"/>
      <c r="FY90" s="187"/>
      <c r="FZ90" s="187"/>
      <c r="GA90" s="187"/>
      <c r="GB90" s="187"/>
      <c r="GC90" s="187"/>
      <c r="GD90" s="187"/>
      <c r="GE90" s="187"/>
      <c r="GF90" s="187"/>
      <c r="GG90" s="187"/>
      <c r="GH90" s="187"/>
      <c r="GI90" s="187"/>
      <c r="GJ90" s="187"/>
      <c r="GK90" s="187"/>
      <c r="GL90" s="187"/>
      <c r="GM90" s="187"/>
      <c r="GN90" s="187"/>
      <c r="GO90" s="187"/>
      <c r="GP90" s="187"/>
      <c r="GQ90" s="187"/>
      <c r="GR90" s="187"/>
      <c r="GS90" s="187"/>
      <c r="GT90" s="187"/>
      <c r="GU90" s="187"/>
      <c r="GV90" s="187"/>
      <c r="GW90" s="187"/>
      <c r="GX90" s="187"/>
      <c r="GY90" s="187"/>
      <c r="GZ90" s="187"/>
      <c r="HA90" s="187"/>
      <c r="HB90" s="187"/>
      <c r="HC90" s="187"/>
      <c r="HD90" s="187"/>
      <c r="HE90" s="187"/>
      <c r="HF90" s="187"/>
      <c r="HG90" s="187"/>
      <c r="HH90" s="187"/>
      <c r="HI90" s="187"/>
      <c r="HJ90" s="187"/>
      <c r="HK90" s="187"/>
      <c r="HL90" s="187"/>
      <c r="HM90" s="187"/>
      <c r="HN90" s="187"/>
      <c r="HO90" s="187"/>
      <c r="HP90" s="187"/>
      <c r="HQ90" s="187"/>
      <c r="HR90" s="187"/>
      <c r="HS90" s="187"/>
      <c r="HT90" s="187"/>
      <c r="HU90" s="187"/>
      <c r="HV90" s="187"/>
      <c r="HW90" s="187"/>
      <c r="HX90" s="187"/>
      <c r="HY90" s="187"/>
      <c r="HZ90" s="187"/>
      <c r="IA90" s="187"/>
      <c r="IB90" s="187"/>
      <c r="IC90" s="187"/>
      <c r="ID90" s="187"/>
      <c r="IE90" s="187"/>
      <c r="IF90" s="187"/>
      <c r="IG90" s="187"/>
      <c r="IH90" s="187"/>
      <c r="II90" s="187"/>
      <c r="IJ90" s="187"/>
      <c r="IK90" s="187"/>
      <c r="IL90" s="187"/>
      <c r="IM90" s="187"/>
      <c r="IN90" s="187"/>
      <c r="IO90" s="187"/>
      <c r="IP90" s="187"/>
      <c r="IQ90" s="187"/>
      <c r="IR90" s="187"/>
      <c r="IS90" s="187"/>
      <c r="IT90" s="187"/>
      <c r="IU90" s="187"/>
      <c r="IV90" s="187"/>
    </row>
    <row r="91" spans="1:256">
      <c r="A91" s="187"/>
      <c r="B91" s="217" t="s">
        <v>459</v>
      </c>
      <c r="C91" s="187"/>
      <c r="D91" s="187"/>
      <c r="F91" s="187"/>
      <c r="G91" s="187"/>
      <c r="H91" s="187"/>
      <c r="I91" s="187"/>
      <c r="J91" s="187"/>
      <c r="K91" s="187"/>
      <c r="L91" s="187"/>
      <c r="M91" s="187"/>
      <c r="N91" s="187"/>
      <c r="O91" s="187"/>
      <c r="P91" s="187"/>
      <c r="Q91" s="187"/>
      <c r="R91" s="187"/>
      <c r="S91" s="187"/>
      <c r="T91" s="187"/>
      <c r="U91" s="187"/>
      <c r="V91" s="187"/>
      <c r="W91" s="218"/>
      <c r="X91" s="219"/>
      <c r="Y91" s="219"/>
      <c r="Z91" s="219"/>
      <c r="AA91" s="219"/>
      <c r="AB91" s="219"/>
      <c r="AC91" s="219"/>
      <c r="AD91" s="219"/>
      <c r="AE91" s="558"/>
      <c r="AF91" s="219"/>
      <c r="AG91" s="219"/>
      <c r="AH91" s="219"/>
      <c r="AI91" s="219"/>
      <c r="AJ91" s="219"/>
      <c r="AK91" s="219"/>
      <c r="AL91" s="219"/>
      <c r="AM91" s="219"/>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87"/>
      <c r="DW91" s="187"/>
      <c r="DX91" s="187"/>
      <c r="DY91" s="187"/>
      <c r="DZ91" s="187"/>
      <c r="EA91" s="187"/>
      <c r="EB91" s="187"/>
      <c r="EC91" s="187"/>
      <c r="ED91" s="187"/>
      <c r="EE91" s="187"/>
      <c r="EF91" s="187"/>
      <c r="EG91" s="187"/>
      <c r="EH91" s="187"/>
      <c r="EI91" s="187"/>
      <c r="EJ91" s="187"/>
      <c r="EK91" s="187"/>
      <c r="EL91" s="187"/>
      <c r="EM91" s="187"/>
      <c r="EN91" s="187"/>
      <c r="EO91" s="187"/>
      <c r="EP91" s="187"/>
      <c r="EQ91" s="187"/>
      <c r="ER91" s="187"/>
      <c r="ES91" s="187"/>
      <c r="ET91" s="187"/>
      <c r="EU91" s="187"/>
      <c r="EV91" s="187"/>
      <c r="EW91" s="187"/>
      <c r="EX91" s="187"/>
      <c r="EY91" s="187"/>
      <c r="EZ91" s="187"/>
      <c r="FA91" s="187"/>
      <c r="FB91" s="187"/>
      <c r="FC91" s="187"/>
      <c r="FD91" s="187"/>
      <c r="FE91" s="187"/>
      <c r="FF91" s="187"/>
      <c r="FG91" s="187"/>
      <c r="FH91" s="187"/>
      <c r="FI91" s="187"/>
      <c r="FJ91" s="187"/>
      <c r="FK91" s="187"/>
      <c r="FL91" s="187"/>
      <c r="FM91" s="187"/>
      <c r="FN91" s="187"/>
      <c r="FO91" s="187"/>
      <c r="FP91" s="187"/>
      <c r="FQ91" s="187"/>
      <c r="FR91" s="187"/>
      <c r="FS91" s="187"/>
      <c r="FT91" s="187"/>
      <c r="FU91" s="187"/>
      <c r="FV91" s="187"/>
      <c r="FW91" s="187"/>
      <c r="FX91" s="187"/>
      <c r="FY91" s="187"/>
      <c r="FZ91" s="187"/>
      <c r="GA91" s="187"/>
      <c r="GB91" s="187"/>
      <c r="GC91" s="187"/>
      <c r="GD91" s="187"/>
      <c r="GE91" s="187"/>
      <c r="GF91" s="187"/>
      <c r="GG91" s="187"/>
      <c r="GH91" s="187"/>
      <c r="GI91" s="187"/>
      <c r="GJ91" s="187"/>
      <c r="GK91" s="187"/>
      <c r="GL91" s="187"/>
      <c r="GM91" s="187"/>
      <c r="GN91" s="187"/>
      <c r="GO91" s="187"/>
      <c r="GP91" s="187"/>
      <c r="GQ91" s="187"/>
      <c r="GR91" s="187"/>
      <c r="GS91" s="187"/>
      <c r="GT91" s="187"/>
      <c r="GU91" s="187"/>
      <c r="GV91" s="187"/>
      <c r="GW91" s="187"/>
      <c r="GX91" s="187"/>
      <c r="GY91" s="187"/>
      <c r="GZ91" s="187"/>
      <c r="HA91" s="187"/>
      <c r="HB91" s="187"/>
      <c r="HC91" s="187"/>
      <c r="HD91" s="187"/>
      <c r="HE91" s="187"/>
      <c r="HF91" s="187"/>
      <c r="HG91" s="187"/>
      <c r="HH91" s="187"/>
      <c r="HI91" s="187"/>
      <c r="HJ91" s="187"/>
      <c r="HK91" s="187"/>
      <c r="HL91" s="187"/>
      <c r="HM91" s="187"/>
      <c r="HN91" s="187"/>
      <c r="HO91" s="187"/>
      <c r="HP91" s="187"/>
      <c r="HQ91" s="187"/>
      <c r="HR91" s="187"/>
      <c r="HS91" s="187"/>
      <c r="HT91" s="187"/>
      <c r="HU91" s="187"/>
      <c r="HV91" s="187"/>
      <c r="HW91" s="187"/>
      <c r="HX91" s="187"/>
      <c r="HY91" s="187"/>
      <c r="HZ91" s="187"/>
      <c r="IA91" s="187"/>
      <c r="IB91" s="187"/>
      <c r="IC91" s="187"/>
      <c r="ID91" s="187"/>
      <c r="IE91" s="187"/>
      <c r="IF91" s="187"/>
      <c r="IG91" s="187"/>
      <c r="IH91" s="187"/>
      <c r="II91" s="187"/>
      <c r="IJ91" s="187"/>
      <c r="IK91" s="187"/>
      <c r="IL91" s="187"/>
      <c r="IM91" s="187"/>
      <c r="IN91" s="187"/>
      <c r="IO91" s="187"/>
      <c r="IP91" s="187"/>
      <c r="IQ91" s="187"/>
      <c r="IR91" s="187"/>
      <c r="IS91" s="187"/>
      <c r="IT91" s="187"/>
      <c r="IU91" s="187"/>
      <c r="IV91" s="187"/>
    </row>
    <row r="92" spans="1:256">
      <c r="A92" s="187"/>
      <c r="B92" s="217" t="s">
        <v>56</v>
      </c>
      <c r="C92" s="187"/>
      <c r="D92" s="187"/>
      <c r="F92" s="187"/>
      <c r="G92" s="187"/>
      <c r="H92" s="187"/>
      <c r="I92" s="187"/>
      <c r="J92" s="187"/>
      <c r="K92" s="187"/>
      <c r="L92" s="187"/>
      <c r="M92" s="187"/>
      <c r="N92" s="187"/>
      <c r="O92" s="187"/>
      <c r="P92" s="187"/>
      <c r="Q92" s="187"/>
      <c r="R92" s="187"/>
      <c r="S92" s="187"/>
      <c r="T92" s="187"/>
      <c r="U92" s="187"/>
      <c r="V92" s="187"/>
      <c r="W92" s="218"/>
      <c r="X92" s="219"/>
      <c r="Y92" s="219"/>
      <c r="Z92" s="219"/>
      <c r="AA92" s="219"/>
      <c r="AB92" s="219"/>
      <c r="AC92" s="219"/>
      <c r="AD92" s="219"/>
      <c r="AE92" s="558"/>
      <c r="AF92" s="219"/>
      <c r="AG92" s="219"/>
      <c r="AH92" s="219"/>
      <c r="AI92" s="219"/>
      <c r="AJ92" s="219"/>
      <c r="AK92" s="219"/>
      <c r="AL92" s="219"/>
      <c r="AM92" s="219"/>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c r="CC92" s="187"/>
      <c r="CD92" s="187"/>
      <c r="CE92" s="187"/>
      <c r="CF92" s="187"/>
      <c r="CG92" s="187"/>
      <c r="CH92" s="187"/>
      <c r="CI92" s="187"/>
      <c r="CJ92" s="187"/>
      <c r="CK92" s="187"/>
      <c r="CL92" s="187"/>
      <c r="CM92" s="187"/>
      <c r="CN92" s="187"/>
      <c r="CO92" s="187"/>
      <c r="CP92" s="187"/>
      <c r="CQ92" s="187"/>
      <c r="CR92" s="187"/>
      <c r="CS92" s="187"/>
      <c r="CT92" s="187"/>
      <c r="CU92" s="187"/>
      <c r="CV92" s="187"/>
      <c r="CW92" s="187"/>
      <c r="CX92" s="187"/>
      <c r="CY92" s="187"/>
      <c r="CZ92" s="187"/>
      <c r="DA92" s="187"/>
      <c r="DB92" s="187"/>
      <c r="DC92" s="187"/>
      <c r="DD92" s="187"/>
      <c r="DE92" s="187"/>
      <c r="DF92" s="187"/>
      <c r="DG92" s="187"/>
      <c r="DH92" s="187"/>
      <c r="DI92" s="187"/>
      <c r="DJ92" s="187"/>
      <c r="DK92" s="187"/>
      <c r="DL92" s="187"/>
      <c r="DM92" s="187"/>
      <c r="DN92" s="187"/>
      <c r="DO92" s="187"/>
      <c r="DP92" s="187"/>
      <c r="DQ92" s="187"/>
      <c r="DR92" s="187"/>
      <c r="DS92" s="187"/>
      <c r="DT92" s="187"/>
      <c r="DU92" s="187"/>
      <c r="DV92" s="187"/>
      <c r="DW92" s="187"/>
      <c r="DX92" s="187"/>
      <c r="DY92" s="187"/>
      <c r="DZ92" s="187"/>
      <c r="EA92" s="187"/>
      <c r="EB92" s="187"/>
      <c r="EC92" s="187"/>
      <c r="ED92" s="187"/>
      <c r="EE92" s="187"/>
      <c r="EF92" s="187"/>
      <c r="EG92" s="187"/>
      <c r="EH92" s="187"/>
      <c r="EI92" s="187"/>
      <c r="EJ92" s="187"/>
      <c r="EK92" s="187"/>
      <c r="EL92" s="187"/>
      <c r="EM92" s="187"/>
      <c r="EN92" s="187"/>
      <c r="EO92" s="187"/>
      <c r="EP92" s="187"/>
      <c r="EQ92" s="187"/>
      <c r="ER92" s="187"/>
      <c r="ES92" s="187"/>
      <c r="ET92" s="187"/>
      <c r="EU92" s="187"/>
      <c r="EV92" s="187"/>
      <c r="EW92" s="187"/>
      <c r="EX92" s="187"/>
      <c r="EY92" s="187"/>
      <c r="EZ92" s="187"/>
      <c r="FA92" s="187"/>
      <c r="FB92" s="187"/>
      <c r="FC92" s="187"/>
      <c r="FD92" s="187"/>
      <c r="FE92" s="187"/>
      <c r="FF92" s="187"/>
      <c r="FG92" s="187"/>
      <c r="FH92" s="187"/>
      <c r="FI92" s="187"/>
      <c r="FJ92" s="187"/>
      <c r="FK92" s="187"/>
      <c r="FL92" s="187"/>
      <c r="FM92" s="187"/>
      <c r="FN92" s="187"/>
      <c r="FO92" s="187"/>
      <c r="FP92" s="187"/>
      <c r="FQ92" s="187"/>
      <c r="FR92" s="187"/>
      <c r="FS92" s="187"/>
      <c r="FT92" s="187"/>
      <c r="FU92" s="187"/>
      <c r="FV92" s="187"/>
      <c r="FW92" s="187"/>
      <c r="FX92" s="187"/>
      <c r="FY92" s="187"/>
      <c r="FZ92" s="187"/>
      <c r="GA92" s="187"/>
      <c r="GB92" s="187"/>
      <c r="GC92" s="187"/>
      <c r="GD92" s="187"/>
      <c r="GE92" s="187"/>
      <c r="GF92" s="187"/>
      <c r="GG92" s="187"/>
      <c r="GH92" s="187"/>
      <c r="GI92" s="187"/>
      <c r="GJ92" s="187"/>
      <c r="GK92" s="187"/>
      <c r="GL92" s="187"/>
      <c r="GM92" s="187"/>
      <c r="GN92" s="187"/>
      <c r="GO92" s="187"/>
      <c r="GP92" s="187"/>
      <c r="GQ92" s="187"/>
      <c r="GR92" s="187"/>
      <c r="GS92" s="187"/>
      <c r="GT92" s="187"/>
      <c r="GU92" s="187"/>
      <c r="GV92" s="187"/>
      <c r="GW92" s="187"/>
      <c r="GX92" s="187"/>
      <c r="GY92" s="187"/>
      <c r="GZ92" s="187"/>
      <c r="HA92" s="187"/>
      <c r="HB92" s="187"/>
      <c r="HC92" s="187"/>
      <c r="HD92" s="187"/>
      <c r="HE92" s="187"/>
      <c r="HF92" s="187"/>
      <c r="HG92" s="187"/>
      <c r="HH92" s="187"/>
      <c r="HI92" s="187"/>
      <c r="HJ92" s="187"/>
      <c r="HK92" s="187"/>
      <c r="HL92" s="187"/>
      <c r="HM92" s="187"/>
      <c r="HN92" s="187"/>
      <c r="HO92" s="187"/>
      <c r="HP92" s="187"/>
      <c r="HQ92" s="187"/>
      <c r="HR92" s="187"/>
      <c r="HS92" s="187"/>
      <c r="HT92" s="187"/>
      <c r="HU92" s="187"/>
      <c r="HV92" s="187"/>
      <c r="HW92" s="187"/>
      <c r="HX92" s="187"/>
      <c r="HY92" s="187"/>
      <c r="HZ92" s="187"/>
      <c r="IA92" s="187"/>
      <c r="IB92" s="187"/>
      <c r="IC92" s="187"/>
      <c r="ID92" s="187"/>
      <c r="IE92" s="187"/>
      <c r="IF92" s="187"/>
      <c r="IG92" s="187"/>
      <c r="IH92" s="187"/>
      <c r="II92" s="187"/>
      <c r="IJ92" s="187"/>
      <c r="IK92" s="187"/>
      <c r="IL92" s="187"/>
      <c r="IM92" s="187"/>
      <c r="IN92" s="187"/>
      <c r="IO92" s="187"/>
      <c r="IP92" s="187"/>
      <c r="IQ92" s="187"/>
      <c r="IR92" s="187"/>
      <c r="IS92" s="187"/>
      <c r="IT92" s="187"/>
      <c r="IU92" s="187"/>
      <c r="IV92" s="187"/>
    </row>
    <row r="93" spans="1:256">
      <c r="A93" s="187"/>
      <c r="B93" s="187"/>
      <c r="C93" s="187"/>
      <c r="D93" s="187"/>
      <c r="F93" s="187"/>
      <c r="G93" s="187"/>
      <c r="H93" s="187"/>
      <c r="I93" s="187"/>
      <c r="J93" s="187"/>
      <c r="K93" s="187"/>
      <c r="L93" s="187"/>
      <c r="M93" s="187"/>
      <c r="N93" s="187"/>
      <c r="O93" s="187"/>
      <c r="P93" s="187"/>
      <c r="Q93" s="187"/>
      <c r="R93" s="187"/>
      <c r="S93" s="187"/>
      <c r="T93" s="187"/>
      <c r="U93" s="187"/>
      <c r="V93" s="187"/>
      <c r="W93" s="213"/>
      <c r="X93" s="219"/>
      <c r="Y93" s="219"/>
      <c r="Z93" s="219"/>
      <c r="AA93" s="219"/>
      <c r="AB93" s="219"/>
      <c r="AC93" s="219"/>
      <c r="AD93" s="219"/>
      <c r="AE93" s="219"/>
      <c r="AF93" s="219"/>
      <c r="AG93" s="219"/>
      <c r="AH93" s="219"/>
      <c r="AI93" s="219"/>
      <c r="AJ93" s="219"/>
      <c r="AK93" s="219"/>
      <c r="AL93" s="219"/>
      <c r="AM93" s="219"/>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c r="CC93" s="187"/>
      <c r="CD93" s="187"/>
      <c r="CE93" s="187"/>
      <c r="CF93" s="187"/>
      <c r="CG93" s="187"/>
      <c r="CH93" s="187"/>
      <c r="CI93" s="187"/>
      <c r="CJ93" s="187"/>
      <c r="CK93" s="187"/>
      <c r="CL93" s="187"/>
      <c r="CM93" s="187"/>
      <c r="CN93" s="187"/>
      <c r="CO93" s="187"/>
      <c r="CP93" s="187"/>
      <c r="CQ93" s="187"/>
      <c r="CR93" s="187"/>
      <c r="CS93" s="187"/>
      <c r="CT93" s="187"/>
      <c r="CU93" s="187"/>
      <c r="CV93" s="187"/>
      <c r="CW93" s="187"/>
      <c r="CX93" s="187"/>
      <c r="CY93" s="187"/>
      <c r="CZ93" s="187"/>
      <c r="DA93" s="187"/>
      <c r="DB93" s="187"/>
      <c r="DC93" s="187"/>
      <c r="DD93" s="187"/>
      <c r="DE93" s="187"/>
      <c r="DF93" s="187"/>
      <c r="DG93" s="187"/>
      <c r="DH93" s="187"/>
      <c r="DI93" s="187"/>
      <c r="DJ93" s="187"/>
      <c r="DK93" s="187"/>
      <c r="DL93" s="187"/>
      <c r="DM93" s="187"/>
      <c r="DN93" s="187"/>
      <c r="DO93" s="187"/>
      <c r="DP93" s="187"/>
      <c r="DQ93" s="187"/>
      <c r="DR93" s="187"/>
      <c r="DS93" s="187"/>
      <c r="DT93" s="187"/>
      <c r="DU93" s="187"/>
      <c r="DV93" s="187"/>
      <c r="DW93" s="187"/>
      <c r="DX93" s="187"/>
      <c r="DY93" s="187"/>
      <c r="DZ93" s="187"/>
      <c r="EA93" s="187"/>
      <c r="EB93" s="187"/>
      <c r="EC93" s="187"/>
      <c r="ED93" s="187"/>
      <c r="EE93" s="187"/>
      <c r="EF93" s="187"/>
      <c r="EG93" s="187"/>
      <c r="EH93" s="187"/>
      <c r="EI93" s="187"/>
      <c r="EJ93" s="187"/>
      <c r="EK93" s="187"/>
      <c r="EL93" s="187"/>
      <c r="EM93" s="187"/>
      <c r="EN93" s="187"/>
      <c r="EO93" s="187"/>
      <c r="EP93" s="187"/>
      <c r="EQ93" s="187"/>
      <c r="ER93" s="187"/>
      <c r="ES93" s="187"/>
      <c r="ET93" s="187"/>
      <c r="EU93" s="187"/>
      <c r="EV93" s="187"/>
      <c r="EW93" s="187"/>
      <c r="EX93" s="187"/>
      <c r="EY93" s="187"/>
      <c r="EZ93" s="187"/>
      <c r="FA93" s="187"/>
      <c r="FB93" s="187"/>
      <c r="FC93" s="187"/>
      <c r="FD93" s="187"/>
      <c r="FE93" s="187"/>
      <c r="FF93" s="187"/>
      <c r="FG93" s="187"/>
      <c r="FH93" s="187"/>
      <c r="FI93" s="187"/>
      <c r="FJ93" s="187"/>
      <c r="FK93" s="187"/>
      <c r="FL93" s="187"/>
      <c r="FM93" s="187"/>
      <c r="FN93" s="187"/>
      <c r="FO93" s="187"/>
      <c r="FP93" s="187"/>
      <c r="FQ93" s="187"/>
      <c r="FR93" s="187"/>
      <c r="FS93" s="187"/>
      <c r="FT93" s="187"/>
      <c r="FU93" s="187"/>
      <c r="FV93" s="187"/>
      <c r="FW93" s="187"/>
      <c r="FX93" s="187"/>
      <c r="FY93" s="187"/>
      <c r="FZ93" s="187"/>
      <c r="GA93" s="187"/>
      <c r="GB93" s="187"/>
      <c r="GC93" s="187"/>
      <c r="GD93" s="187"/>
      <c r="GE93" s="187"/>
      <c r="GF93" s="187"/>
      <c r="GG93" s="187"/>
      <c r="GH93" s="187"/>
      <c r="GI93" s="187"/>
      <c r="GJ93" s="187"/>
      <c r="GK93" s="187"/>
      <c r="GL93" s="187"/>
      <c r="GM93" s="187"/>
      <c r="GN93" s="187"/>
      <c r="GO93" s="187"/>
      <c r="GP93" s="187"/>
      <c r="GQ93" s="187"/>
      <c r="GR93" s="187"/>
      <c r="GS93" s="187"/>
      <c r="GT93" s="187"/>
      <c r="GU93" s="187"/>
      <c r="GV93" s="187"/>
      <c r="GW93" s="187"/>
      <c r="GX93" s="187"/>
      <c r="GY93" s="187"/>
      <c r="GZ93" s="187"/>
      <c r="HA93" s="187"/>
      <c r="HB93" s="187"/>
      <c r="HC93" s="187"/>
      <c r="HD93" s="187"/>
      <c r="HE93" s="187"/>
      <c r="HF93" s="187"/>
      <c r="HG93" s="187"/>
      <c r="HH93" s="187"/>
      <c r="HI93" s="187"/>
      <c r="HJ93" s="187"/>
      <c r="HK93" s="187"/>
      <c r="HL93" s="187"/>
      <c r="HM93" s="187"/>
      <c r="HN93" s="187"/>
      <c r="HO93" s="187"/>
      <c r="HP93" s="187"/>
      <c r="HQ93" s="187"/>
      <c r="HR93" s="187"/>
      <c r="HS93" s="187"/>
      <c r="HT93" s="187"/>
      <c r="HU93" s="187"/>
      <c r="HV93" s="187"/>
      <c r="HW93" s="187"/>
      <c r="HX93" s="187"/>
      <c r="HY93" s="187"/>
      <c r="HZ93" s="187"/>
      <c r="IA93" s="187"/>
      <c r="IB93" s="187"/>
      <c r="IC93" s="187"/>
      <c r="ID93" s="187"/>
      <c r="IE93" s="187"/>
      <c r="IF93" s="187"/>
      <c r="IG93" s="187"/>
      <c r="IH93" s="187"/>
      <c r="II93" s="187"/>
      <c r="IJ93" s="187"/>
      <c r="IK93" s="187"/>
      <c r="IL93" s="187"/>
      <c r="IM93" s="187"/>
      <c r="IN93" s="187"/>
      <c r="IO93" s="187"/>
      <c r="IP93" s="187"/>
      <c r="IQ93" s="187"/>
      <c r="IR93" s="187"/>
      <c r="IS93" s="187"/>
      <c r="IT93" s="187"/>
      <c r="IU93" s="187"/>
      <c r="IV93" s="187"/>
    </row>
    <row r="94" spans="1:256">
      <c r="A94" s="187"/>
      <c r="B94" s="217" t="s">
        <v>78</v>
      </c>
      <c r="C94" s="187"/>
      <c r="D94" s="187"/>
      <c r="F94" s="187"/>
      <c r="G94" s="187"/>
      <c r="H94" s="187"/>
      <c r="I94" s="187"/>
      <c r="J94" s="187"/>
      <c r="K94" s="187"/>
      <c r="L94" s="187"/>
      <c r="M94" s="187"/>
      <c r="N94" s="187"/>
      <c r="O94" s="187"/>
      <c r="P94" s="213"/>
      <c r="Q94" s="213"/>
      <c r="R94" s="213"/>
      <c r="S94" s="213"/>
      <c r="T94" s="213"/>
      <c r="U94" s="213"/>
      <c r="V94" s="213"/>
      <c r="W94" s="213"/>
      <c r="X94" s="219">
        <v>0</v>
      </c>
      <c r="Y94" s="219"/>
      <c r="Z94" s="219">
        <v>0</v>
      </c>
      <c r="AA94" s="219"/>
      <c r="AB94" s="219">
        <v>0</v>
      </c>
      <c r="AC94" s="219"/>
      <c r="AD94" s="219">
        <v>0</v>
      </c>
      <c r="AE94" s="219"/>
      <c r="AF94" s="219">
        <v>0</v>
      </c>
      <c r="AG94" s="219">
        <v>0</v>
      </c>
      <c r="AH94" s="219">
        <v>0</v>
      </c>
      <c r="AI94" s="219">
        <v>0</v>
      </c>
      <c r="AJ94" s="219">
        <v>0</v>
      </c>
      <c r="AK94" s="219">
        <v>0</v>
      </c>
      <c r="AL94" s="219">
        <v>0</v>
      </c>
      <c r="AM94" s="219">
        <v>0</v>
      </c>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87"/>
      <c r="EJ94" s="187"/>
      <c r="EK94" s="187"/>
      <c r="EL94" s="187"/>
      <c r="EM94" s="187"/>
      <c r="EN94" s="187"/>
      <c r="EO94" s="187"/>
      <c r="EP94" s="187"/>
      <c r="EQ94" s="187"/>
      <c r="ER94" s="187"/>
      <c r="ES94" s="187"/>
      <c r="ET94" s="187"/>
      <c r="EU94" s="187"/>
      <c r="EV94" s="187"/>
      <c r="EW94" s="187"/>
      <c r="EX94" s="187"/>
      <c r="EY94" s="187"/>
      <c r="EZ94" s="187"/>
      <c r="FA94" s="187"/>
      <c r="FB94" s="187"/>
      <c r="FC94" s="187"/>
      <c r="FD94" s="187"/>
      <c r="FE94" s="187"/>
      <c r="FF94" s="187"/>
      <c r="FG94" s="187"/>
      <c r="FH94" s="187"/>
      <c r="FI94" s="187"/>
      <c r="FJ94" s="187"/>
      <c r="FK94" s="187"/>
      <c r="FL94" s="187"/>
      <c r="FM94" s="187"/>
      <c r="FN94" s="187"/>
      <c r="FO94" s="187"/>
      <c r="FP94" s="187"/>
      <c r="FQ94" s="187"/>
      <c r="FR94" s="187"/>
      <c r="FS94" s="187"/>
      <c r="FT94" s="187"/>
      <c r="FU94" s="187"/>
      <c r="FV94" s="187"/>
      <c r="FW94" s="187"/>
      <c r="FX94" s="187"/>
      <c r="FY94" s="187"/>
      <c r="FZ94" s="187"/>
      <c r="GA94" s="187"/>
      <c r="GB94" s="187"/>
      <c r="GC94" s="187"/>
      <c r="GD94" s="187"/>
      <c r="GE94" s="187"/>
      <c r="GF94" s="187"/>
      <c r="GG94" s="187"/>
      <c r="GH94" s="187"/>
      <c r="GI94" s="187"/>
      <c r="GJ94" s="187"/>
      <c r="GK94" s="187"/>
      <c r="GL94" s="187"/>
      <c r="GM94" s="187"/>
      <c r="GN94" s="187"/>
      <c r="GO94" s="187"/>
      <c r="GP94" s="187"/>
      <c r="GQ94" s="187"/>
      <c r="GR94" s="187"/>
      <c r="GS94" s="187"/>
      <c r="GT94" s="187"/>
      <c r="GU94" s="187"/>
      <c r="GV94" s="187"/>
      <c r="GW94" s="187"/>
      <c r="GX94" s="187"/>
      <c r="GY94" s="187"/>
      <c r="GZ94" s="187"/>
      <c r="HA94" s="187"/>
      <c r="HB94" s="187"/>
      <c r="HC94" s="187"/>
      <c r="HD94" s="187"/>
      <c r="HE94" s="187"/>
      <c r="HF94" s="187"/>
      <c r="HG94" s="187"/>
      <c r="HH94" s="187"/>
      <c r="HI94" s="187"/>
      <c r="HJ94" s="187"/>
      <c r="HK94" s="187"/>
      <c r="HL94" s="187"/>
      <c r="HM94" s="187"/>
      <c r="HN94" s="187"/>
      <c r="HO94" s="187"/>
      <c r="HP94" s="187"/>
      <c r="HQ94" s="187"/>
      <c r="HR94" s="187"/>
      <c r="HS94" s="187"/>
      <c r="HT94" s="187"/>
      <c r="HU94" s="187"/>
      <c r="HV94" s="187"/>
      <c r="HW94" s="187"/>
      <c r="HX94" s="187"/>
      <c r="HY94" s="187"/>
      <c r="HZ94" s="187"/>
      <c r="IA94" s="187"/>
      <c r="IB94" s="187"/>
      <c r="IC94" s="187"/>
      <c r="ID94" s="187"/>
      <c r="IE94" s="187"/>
      <c r="IF94" s="187"/>
      <c r="IG94" s="187"/>
      <c r="IH94" s="187"/>
      <c r="II94" s="187"/>
      <c r="IJ94" s="187"/>
      <c r="IK94" s="187"/>
      <c r="IL94" s="187"/>
      <c r="IM94" s="187"/>
      <c r="IN94" s="187"/>
      <c r="IO94" s="187"/>
      <c r="IP94" s="187"/>
      <c r="IQ94" s="187"/>
      <c r="IR94" s="187"/>
      <c r="IS94" s="187"/>
      <c r="IT94" s="187"/>
      <c r="IU94" s="187"/>
      <c r="IV94" s="187"/>
    </row>
    <row r="95" spans="1:256">
      <c r="A95" s="187"/>
      <c r="B95" s="187"/>
      <c r="C95" s="187"/>
      <c r="D95" s="187"/>
      <c r="F95" s="187"/>
      <c r="G95" s="187"/>
      <c r="H95" s="187"/>
      <c r="I95" s="187"/>
      <c r="J95" s="187"/>
      <c r="K95" s="187"/>
      <c r="L95" s="187"/>
      <c r="M95" s="187"/>
      <c r="N95" s="187"/>
      <c r="O95" s="187"/>
      <c r="P95" s="213"/>
      <c r="Q95" s="213"/>
      <c r="R95" s="213"/>
      <c r="S95" s="213"/>
      <c r="T95" s="213"/>
      <c r="U95" s="213"/>
      <c r="V95" s="213"/>
      <c r="W95" s="213"/>
      <c r="X95" s="219"/>
      <c r="Y95" s="219"/>
      <c r="Z95" s="219"/>
      <c r="AA95" s="219"/>
      <c r="AB95" s="219"/>
      <c r="AC95" s="219"/>
      <c r="AD95" s="219"/>
      <c r="AE95" s="219"/>
      <c r="AF95" s="219"/>
      <c r="AG95" s="219"/>
      <c r="AH95" s="219"/>
      <c r="AI95" s="219"/>
      <c r="AJ95" s="219"/>
      <c r="AK95" s="219"/>
      <c r="AL95" s="219"/>
      <c r="AM95" s="219"/>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187"/>
      <c r="DE95" s="187"/>
      <c r="DF95" s="187"/>
      <c r="DG95" s="187"/>
      <c r="DH95" s="187"/>
      <c r="DI95" s="187"/>
      <c r="DJ95" s="187"/>
      <c r="DK95" s="187"/>
      <c r="DL95" s="187"/>
      <c r="DM95" s="187"/>
      <c r="DN95" s="187"/>
      <c r="DO95" s="187"/>
      <c r="DP95" s="187"/>
      <c r="DQ95" s="187"/>
      <c r="DR95" s="187"/>
      <c r="DS95" s="187"/>
      <c r="DT95" s="187"/>
      <c r="DU95" s="187"/>
      <c r="DV95" s="187"/>
      <c r="DW95" s="187"/>
      <c r="DX95" s="187"/>
      <c r="DY95" s="187"/>
      <c r="DZ95" s="187"/>
      <c r="EA95" s="187"/>
      <c r="EB95" s="187"/>
      <c r="EC95" s="187"/>
      <c r="ED95" s="187"/>
      <c r="EE95" s="187"/>
      <c r="EF95" s="187"/>
      <c r="EG95" s="187"/>
      <c r="EH95" s="187"/>
      <c r="EI95" s="187"/>
      <c r="EJ95" s="187"/>
      <c r="EK95" s="187"/>
      <c r="EL95" s="187"/>
      <c r="EM95" s="187"/>
      <c r="EN95" s="187"/>
      <c r="EO95" s="187"/>
      <c r="EP95" s="187"/>
      <c r="EQ95" s="187"/>
      <c r="ER95" s="187"/>
      <c r="ES95" s="187"/>
      <c r="ET95" s="187"/>
      <c r="EU95" s="187"/>
      <c r="EV95" s="187"/>
      <c r="EW95" s="187"/>
      <c r="EX95" s="187"/>
      <c r="EY95" s="187"/>
      <c r="EZ95" s="187"/>
      <c r="FA95" s="187"/>
      <c r="FB95" s="187"/>
      <c r="FC95" s="187"/>
      <c r="FD95" s="187"/>
      <c r="FE95" s="187"/>
      <c r="FF95" s="187"/>
      <c r="FG95" s="187"/>
      <c r="FH95" s="187"/>
      <c r="FI95" s="187"/>
      <c r="FJ95" s="187"/>
      <c r="FK95" s="187"/>
      <c r="FL95" s="187"/>
      <c r="FM95" s="187"/>
      <c r="FN95" s="187"/>
      <c r="FO95" s="187"/>
      <c r="FP95" s="187"/>
      <c r="FQ95" s="187"/>
      <c r="FR95" s="187"/>
      <c r="FS95" s="187"/>
      <c r="FT95" s="187"/>
      <c r="FU95" s="187"/>
      <c r="FV95" s="187"/>
      <c r="FW95" s="187"/>
      <c r="FX95" s="187"/>
      <c r="FY95" s="187"/>
      <c r="FZ95" s="187"/>
      <c r="GA95" s="187"/>
      <c r="GB95" s="187"/>
      <c r="GC95" s="187"/>
      <c r="GD95" s="187"/>
      <c r="GE95" s="187"/>
      <c r="GF95" s="187"/>
      <c r="GG95" s="187"/>
      <c r="GH95" s="187"/>
      <c r="GI95" s="187"/>
      <c r="GJ95" s="187"/>
      <c r="GK95" s="187"/>
      <c r="GL95" s="187"/>
      <c r="GM95" s="187"/>
      <c r="GN95" s="187"/>
      <c r="GO95" s="187"/>
      <c r="GP95" s="187"/>
      <c r="GQ95" s="187"/>
      <c r="GR95" s="187"/>
      <c r="GS95" s="187"/>
      <c r="GT95" s="187"/>
      <c r="GU95" s="187"/>
      <c r="GV95" s="187"/>
      <c r="GW95" s="187"/>
      <c r="GX95" s="187"/>
      <c r="GY95" s="187"/>
      <c r="GZ95" s="187"/>
      <c r="HA95" s="187"/>
      <c r="HB95" s="187"/>
      <c r="HC95" s="187"/>
      <c r="HD95" s="187"/>
      <c r="HE95" s="187"/>
      <c r="HF95" s="187"/>
      <c r="HG95" s="187"/>
      <c r="HH95" s="187"/>
      <c r="HI95" s="187"/>
      <c r="HJ95" s="187"/>
      <c r="HK95" s="187"/>
      <c r="HL95" s="187"/>
      <c r="HM95" s="187"/>
      <c r="HN95" s="187"/>
      <c r="HO95" s="187"/>
      <c r="HP95" s="187"/>
      <c r="HQ95" s="187"/>
      <c r="HR95" s="187"/>
      <c r="HS95" s="187"/>
      <c r="HT95" s="187"/>
      <c r="HU95" s="187"/>
      <c r="HV95" s="187"/>
      <c r="HW95" s="187"/>
      <c r="HX95" s="187"/>
      <c r="HY95" s="187"/>
      <c r="HZ95" s="187"/>
      <c r="IA95" s="187"/>
      <c r="IB95" s="187"/>
      <c r="IC95" s="187"/>
      <c r="ID95" s="187"/>
      <c r="IE95" s="187"/>
      <c r="IF95" s="187"/>
      <c r="IG95" s="187"/>
      <c r="IH95" s="187"/>
      <c r="II95" s="187"/>
      <c r="IJ95" s="187"/>
      <c r="IK95" s="187"/>
      <c r="IL95" s="187"/>
      <c r="IM95" s="187"/>
      <c r="IN95" s="187"/>
      <c r="IO95" s="187"/>
      <c r="IP95" s="187"/>
      <c r="IQ95" s="187"/>
      <c r="IR95" s="187"/>
      <c r="IS95" s="187"/>
      <c r="IT95" s="187"/>
      <c r="IU95" s="187"/>
      <c r="IV95" s="187"/>
    </row>
    <row r="96" spans="1:256" ht="13.5">
      <c r="A96" s="187"/>
      <c r="B96" s="220" t="s">
        <v>446</v>
      </c>
      <c r="C96" s="187"/>
      <c r="D96" s="187"/>
      <c r="F96" s="187"/>
      <c r="G96" s="187"/>
      <c r="H96" s="187"/>
      <c r="I96" s="187"/>
      <c r="J96" s="187"/>
      <c r="K96" s="187"/>
      <c r="L96" s="187"/>
      <c r="M96" s="187"/>
      <c r="N96" s="187"/>
      <c r="O96" s="187"/>
      <c r="P96" s="213"/>
      <c r="Q96" s="213"/>
      <c r="R96" s="213"/>
      <c r="S96" s="213"/>
      <c r="T96" s="213"/>
      <c r="U96" s="213"/>
      <c r="V96" s="213"/>
      <c r="W96" s="213"/>
      <c r="X96" s="219"/>
      <c r="Y96" s="219"/>
      <c r="Z96" s="219"/>
      <c r="AA96" s="219"/>
      <c r="AB96" s="219"/>
      <c r="AC96" s="219"/>
      <c r="AD96" s="219"/>
      <c r="AE96" s="219"/>
      <c r="AF96" s="219"/>
      <c r="AG96" s="219"/>
      <c r="AH96" s="219"/>
      <c r="AI96" s="219"/>
      <c r="AJ96" s="219"/>
      <c r="AK96" s="219"/>
      <c r="AL96" s="219"/>
      <c r="AM96" s="219"/>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187"/>
      <c r="DE96" s="187"/>
      <c r="DF96" s="187"/>
      <c r="DG96" s="187"/>
      <c r="DH96" s="187"/>
      <c r="DI96" s="187"/>
      <c r="DJ96" s="187"/>
      <c r="DK96" s="187"/>
      <c r="DL96" s="187"/>
      <c r="DM96" s="187"/>
      <c r="DN96" s="187"/>
      <c r="DO96" s="187"/>
      <c r="DP96" s="187"/>
      <c r="DQ96" s="187"/>
      <c r="DR96" s="187"/>
      <c r="DS96" s="187"/>
      <c r="DT96" s="187"/>
      <c r="DU96" s="187"/>
      <c r="DV96" s="187"/>
      <c r="DW96" s="187"/>
      <c r="DX96" s="187"/>
      <c r="DY96" s="187"/>
      <c r="DZ96" s="187"/>
      <c r="EA96" s="187"/>
      <c r="EB96" s="187"/>
      <c r="EC96" s="187"/>
      <c r="ED96" s="187"/>
      <c r="EE96" s="187"/>
      <c r="EF96" s="187"/>
      <c r="EG96" s="187"/>
      <c r="EH96" s="187"/>
      <c r="EI96" s="187"/>
      <c r="EJ96" s="187"/>
      <c r="EK96" s="187"/>
      <c r="EL96" s="187"/>
      <c r="EM96" s="187"/>
      <c r="EN96" s="187"/>
      <c r="EO96" s="187"/>
      <c r="EP96" s="187"/>
      <c r="EQ96" s="187"/>
      <c r="ER96" s="187"/>
      <c r="ES96" s="187"/>
      <c r="ET96" s="187"/>
      <c r="EU96" s="187"/>
      <c r="EV96" s="187"/>
      <c r="EW96" s="187"/>
      <c r="EX96" s="187"/>
      <c r="EY96" s="187"/>
      <c r="EZ96" s="187"/>
      <c r="FA96" s="187"/>
      <c r="FB96" s="187"/>
      <c r="FC96" s="187"/>
      <c r="FD96" s="187"/>
      <c r="FE96" s="187"/>
      <c r="FF96" s="187"/>
      <c r="FG96" s="187"/>
      <c r="FH96" s="187"/>
      <c r="FI96" s="187"/>
      <c r="FJ96" s="187"/>
      <c r="FK96" s="187"/>
      <c r="FL96" s="187"/>
      <c r="FM96" s="187"/>
      <c r="FN96" s="187"/>
      <c r="FO96" s="187"/>
      <c r="FP96" s="187"/>
      <c r="FQ96" s="187"/>
      <c r="FR96" s="187"/>
      <c r="FS96" s="187"/>
      <c r="FT96" s="187"/>
      <c r="FU96" s="187"/>
      <c r="FV96" s="187"/>
      <c r="FW96" s="187"/>
      <c r="FX96" s="187"/>
      <c r="FY96" s="187"/>
      <c r="FZ96" s="187"/>
      <c r="GA96" s="187"/>
      <c r="GB96" s="187"/>
      <c r="GC96" s="187"/>
      <c r="GD96" s="187"/>
      <c r="GE96" s="187"/>
      <c r="GF96" s="187"/>
      <c r="GG96" s="187"/>
      <c r="GH96" s="187"/>
      <c r="GI96" s="187"/>
      <c r="GJ96" s="187"/>
      <c r="GK96" s="187"/>
      <c r="GL96" s="187"/>
      <c r="GM96" s="187"/>
      <c r="GN96" s="187"/>
      <c r="GO96" s="187"/>
      <c r="GP96" s="187"/>
      <c r="GQ96" s="187"/>
      <c r="GR96" s="187"/>
      <c r="GS96" s="187"/>
      <c r="GT96" s="187"/>
      <c r="GU96" s="187"/>
      <c r="GV96" s="187"/>
      <c r="GW96" s="187"/>
      <c r="GX96" s="187"/>
      <c r="GY96" s="187"/>
      <c r="GZ96" s="187"/>
      <c r="HA96" s="187"/>
      <c r="HB96" s="187"/>
      <c r="HC96" s="187"/>
      <c r="HD96" s="187"/>
      <c r="HE96" s="187"/>
      <c r="HF96" s="187"/>
      <c r="HG96" s="187"/>
      <c r="HH96" s="187"/>
      <c r="HI96" s="187"/>
      <c r="HJ96" s="187"/>
      <c r="HK96" s="187"/>
      <c r="HL96" s="187"/>
      <c r="HM96" s="187"/>
      <c r="HN96" s="187"/>
      <c r="HO96" s="187"/>
      <c r="HP96" s="187"/>
      <c r="HQ96" s="187"/>
      <c r="HR96" s="187"/>
      <c r="HS96" s="187"/>
      <c r="HT96" s="187"/>
      <c r="HU96" s="187"/>
      <c r="HV96" s="187"/>
      <c r="HW96" s="187"/>
      <c r="HX96" s="187"/>
      <c r="HY96" s="187"/>
      <c r="HZ96" s="187"/>
      <c r="IA96" s="187"/>
      <c r="IB96" s="187"/>
      <c r="IC96" s="187"/>
      <c r="ID96" s="187"/>
      <c r="IE96" s="187"/>
      <c r="IF96" s="187"/>
      <c r="IG96" s="187"/>
      <c r="IH96" s="187"/>
      <c r="II96" s="187"/>
      <c r="IJ96" s="187"/>
      <c r="IK96" s="187"/>
      <c r="IL96" s="187"/>
      <c r="IM96" s="187"/>
      <c r="IN96" s="187"/>
      <c r="IO96" s="187"/>
      <c r="IP96" s="187"/>
      <c r="IQ96" s="187"/>
      <c r="IR96" s="187"/>
      <c r="IS96" s="187"/>
      <c r="IT96" s="187"/>
      <c r="IU96" s="187"/>
      <c r="IV96" s="187"/>
    </row>
    <row r="97" spans="1:256">
      <c r="A97" s="187"/>
      <c r="B97" s="206" t="s">
        <v>110</v>
      </c>
      <c r="C97" s="187"/>
      <c r="D97" s="187"/>
      <c r="F97" s="187"/>
      <c r="G97" s="187"/>
      <c r="H97" s="187"/>
      <c r="I97" s="187"/>
      <c r="J97" s="187"/>
      <c r="K97" s="187"/>
      <c r="L97" s="187"/>
      <c r="M97" s="187"/>
      <c r="N97" s="187"/>
      <c r="O97" s="187"/>
      <c r="P97" s="213"/>
      <c r="Q97" s="213"/>
      <c r="R97" s="213"/>
      <c r="S97" s="213"/>
      <c r="T97" s="213"/>
      <c r="U97" s="213"/>
      <c r="V97" s="213"/>
      <c r="W97" s="213"/>
      <c r="X97" s="221">
        <v>6887.6002251671998</v>
      </c>
      <c r="Y97" s="557"/>
      <c r="Z97" s="557">
        <v>8619.2687838240017</v>
      </c>
      <c r="AA97" s="557"/>
      <c r="AB97" s="557">
        <v>10595.546866581601</v>
      </c>
      <c r="AC97" s="557"/>
      <c r="AD97" s="557">
        <v>13214.565600471602</v>
      </c>
      <c r="AE97" s="557"/>
      <c r="AF97" s="557">
        <v>14219.871557100001</v>
      </c>
      <c r="AG97" s="557">
        <v>15570.6072069048</v>
      </c>
      <c r="AH97" s="557">
        <v>16641.8465683383</v>
      </c>
      <c r="AI97" s="557">
        <v>15497.342785433599</v>
      </c>
      <c r="AJ97" s="557">
        <v>16574.9802491962</v>
      </c>
      <c r="AK97" s="557">
        <v>19213.965479185998</v>
      </c>
      <c r="AL97" s="557">
        <v>23057.143276900999</v>
      </c>
      <c r="AM97" s="557">
        <v>24828.009903501999</v>
      </c>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187"/>
      <c r="DE97" s="187"/>
      <c r="DF97" s="187"/>
      <c r="DG97" s="187"/>
      <c r="DH97" s="187"/>
      <c r="DI97" s="187"/>
      <c r="DJ97" s="187"/>
      <c r="DK97" s="187"/>
      <c r="DL97" s="187"/>
      <c r="DM97" s="187"/>
      <c r="DN97" s="187"/>
      <c r="DO97" s="187"/>
      <c r="DP97" s="187"/>
      <c r="DQ97" s="187"/>
      <c r="DR97" s="187"/>
      <c r="DS97" s="187"/>
      <c r="DT97" s="187"/>
      <c r="DU97" s="187"/>
      <c r="DV97" s="187"/>
      <c r="DW97" s="187"/>
      <c r="DX97" s="187"/>
      <c r="DY97" s="187"/>
      <c r="DZ97" s="187"/>
      <c r="EA97" s="187"/>
      <c r="EB97" s="187"/>
      <c r="EC97" s="187"/>
      <c r="ED97" s="187"/>
      <c r="EE97" s="187"/>
      <c r="EF97" s="187"/>
      <c r="EG97" s="187"/>
      <c r="EH97" s="187"/>
      <c r="EI97" s="187"/>
      <c r="EJ97" s="187"/>
      <c r="EK97" s="187"/>
      <c r="EL97" s="187"/>
      <c r="EM97" s="187"/>
      <c r="EN97" s="187"/>
      <c r="EO97" s="187"/>
      <c r="EP97" s="187"/>
      <c r="EQ97" s="187"/>
      <c r="ER97" s="187"/>
      <c r="ES97" s="187"/>
      <c r="ET97" s="187"/>
      <c r="EU97" s="187"/>
      <c r="EV97" s="187"/>
      <c r="EW97" s="187"/>
      <c r="EX97" s="187"/>
      <c r="EY97" s="187"/>
      <c r="EZ97" s="187"/>
      <c r="FA97" s="187"/>
      <c r="FB97" s="187"/>
      <c r="FC97" s="187"/>
      <c r="FD97" s="187"/>
      <c r="FE97" s="187"/>
      <c r="FF97" s="187"/>
      <c r="FG97" s="187"/>
      <c r="FH97" s="187"/>
      <c r="FI97" s="187"/>
      <c r="FJ97" s="187"/>
      <c r="FK97" s="187"/>
      <c r="FL97" s="187"/>
      <c r="FM97" s="187"/>
      <c r="FN97" s="187"/>
      <c r="FO97" s="187"/>
      <c r="FP97" s="187"/>
      <c r="FQ97" s="187"/>
      <c r="FR97" s="187"/>
      <c r="FS97" s="187"/>
      <c r="FT97" s="187"/>
      <c r="FU97" s="187"/>
      <c r="FV97" s="187"/>
      <c r="FW97" s="187"/>
      <c r="FX97" s="187"/>
      <c r="FY97" s="187"/>
      <c r="FZ97" s="187"/>
      <c r="GA97" s="187"/>
      <c r="GB97" s="187"/>
      <c r="GC97" s="187"/>
      <c r="GD97" s="187"/>
      <c r="GE97" s="187"/>
      <c r="GF97" s="187"/>
      <c r="GG97" s="187"/>
      <c r="GH97" s="187"/>
      <c r="GI97" s="187"/>
      <c r="GJ97" s="187"/>
      <c r="GK97" s="187"/>
      <c r="GL97" s="187"/>
      <c r="GM97" s="187"/>
      <c r="GN97" s="187"/>
      <c r="GO97" s="187"/>
      <c r="GP97" s="187"/>
      <c r="GQ97" s="187"/>
      <c r="GR97" s="187"/>
      <c r="GS97" s="187"/>
      <c r="GT97" s="187"/>
      <c r="GU97" s="187"/>
      <c r="GV97" s="187"/>
      <c r="GW97" s="187"/>
      <c r="GX97" s="187"/>
      <c r="GY97" s="187"/>
      <c r="GZ97" s="187"/>
      <c r="HA97" s="187"/>
      <c r="HB97" s="187"/>
      <c r="HC97" s="187"/>
      <c r="HD97" s="187"/>
      <c r="HE97" s="187"/>
      <c r="HF97" s="187"/>
      <c r="HG97" s="187"/>
      <c r="HH97" s="187"/>
      <c r="HI97" s="187"/>
      <c r="HJ97" s="187"/>
      <c r="HK97" s="187"/>
      <c r="HL97" s="187"/>
      <c r="HM97" s="187"/>
      <c r="HN97" s="187"/>
      <c r="HO97" s="187"/>
      <c r="HP97" s="187"/>
      <c r="HQ97" s="187"/>
      <c r="HR97" s="187"/>
      <c r="HS97" s="187"/>
      <c r="HT97" s="187"/>
      <c r="HU97" s="187"/>
      <c r="HV97" s="187"/>
      <c r="HW97" s="187"/>
      <c r="HX97" s="187"/>
      <c r="HY97" s="187"/>
      <c r="HZ97" s="187"/>
      <c r="IA97" s="187"/>
      <c r="IB97" s="187"/>
      <c r="IC97" s="187"/>
      <c r="ID97" s="187"/>
      <c r="IE97" s="187"/>
      <c r="IF97" s="187"/>
      <c r="IG97" s="187"/>
      <c r="IH97" s="187"/>
      <c r="II97" s="187"/>
      <c r="IJ97" s="187"/>
      <c r="IK97" s="187"/>
      <c r="IL97" s="187"/>
      <c r="IM97" s="187"/>
      <c r="IN97" s="187"/>
      <c r="IO97" s="187"/>
      <c r="IP97" s="187"/>
      <c r="IQ97" s="187"/>
      <c r="IR97" s="187"/>
      <c r="IS97" s="187"/>
      <c r="IT97" s="187"/>
      <c r="IU97" s="187"/>
      <c r="IV97" s="187"/>
    </row>
    <row r="98" spans="1:256">
      <c r="A98" s="187"/>
      <c r="B98" s="222"/>
      <c r="C98" s="222"/>
      <c r="D98" s="222"/>
      <c r="E98" s="172"/>
      <c r="F98" s="222"/>
      <c r="G98" s="222"/>
      <c r="H98" s="222"/>
      <c r="I98" s="222"/>
      <c r="J98" s="222"/>
      <c r="K98" s="222"/>
      <c r="L98" s="222"/>
      <c r="M98" s="222"/>
      <c r="N98" s="222"/>
      <c r="O98" s="222"/>
      <c r="P98" s="223"/>
      <c r="Q98" s="223"/>
      <c r="R98" s="223"/>
      <c r="S98" s="223"/>
      <c r="T98" s="223"/>
      <c r="U98" s="223"/>
      <c r="V98" s="223"/>
      <c r="W98" s="223"/>
      <c r="X98" s="224"/>
      <c r="Y98" s="224"/>
      <c r="Z98" s="224"/>
      <c r="AA98" s="224"/>
      <c r="AB98" s="224"/>
      <c r="AC98" s="224"/>
      <c r="AD98" s="224"/>
      <c r="AE98" s="222"/>
      <c r="AF98" s="224"/>
      <c r="AG98" s="224"/>
      <c r="AH98" s="224"/>
      <c r="AI98" s="224"/>
      <c r="AJ98" s="224"/>
      <c r="AK98" s="224"/>
      <c r="AL98" s="224"/>
      <c r="AM98" s="224"/>
      <c r="AN98" s="224"/>
      <c r="AO98" s="224"/>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c r="CC98" s="187"/>
      <c r="CD98" s="187"/>
      <c r="CE98" s="187"/>
      <c r="CF98" s="187"/>
      <c r="CG98" s="187"/>
      <c r="CH98" s="187"/>
      <c r="CI98" s="187"/>
      <c r="CJ98" s="187"/>
      <c r="CK98" s="187"/>
      <c r="CL98" s="187"/>
      <c r="CM98" s="187"/>
      <c r="CN98" s="187"/>
      <c r="CO98" s="187"/>
      <c r="CP98" s="187"/>
      <c r="CQ98" s="187"/>
      <c r="CR98" s="187"/>
      <c r="CS98" s="187"/>
      <c r="CT98" s="187"/>
      <c r="CU98" s="187"/>
      <c r="CV98" s="187"/>
      <c r="CW98" s="187"/>
      <c r="CX98" s="187"/>
      <c r="CY98" s="187"/>
      <c r="CZ98" s="187"/>
      <c r="DA98" s="187"/>
      <c r="DB98" s="187"/>
      <c r="DC98" s="187"/>
      <c r="DD98" s="187"/>
      <c r="DE98" s="187"/>
      <c r="DF98" s="187"/>
      <c r="DG98" s="187"/>
      <c r="DH98" s="187"/>
      <c r="DI98" s="187"/>
      <c r="DJ98" s="187"/>
      <c r="DK98" s="187"/>
      <c r="DL98" s="187"/>
      <c r="DM98" s="187"/>
      <c r="DN98" s="187"/>
      <c r="DO98" s="187"/>
      <c r="DP98" s="187"/>
      <c r="DQ98" s="187"/>
      <c r="DR98" s="187"/>
      <c r="DS98" s="187"/>
      <c r="DT98" s="187"/>
      <c r="DU98" s="187"/>
      <c r="DV98" s="187"/>
      <c r="DW98" s="187"/>
      <c r="DX98" s="187"/>
      <c r="DY98" s="187"/>
      <c r="DZ98" s="187"/>
      <c r="EA98" s="187"/>
      <c r="EB98" s="187"/>
      <c r="EC98" s="187"/>
      <c r="ED98" s="187"/>
      <c r="EE98" s="187"/>
      <c r="EF98" s="187"/>
      <c r="EG98" s="187"/>
      <c r="EH98" s="187"/>
      <c r="EI98" s="187"/>
      <c r="EJ98" s="187"/>
      <c r="EK98" s="187"/>
      <c r="EL98" s="187"/>
      <c r="EM98" s="187"/>
      <c r="EN98" s="187"/>
      <c r="EO98" s="187"/>
      <c r="EP98" s="187"/>
      <c r="EQ98" s="187"/>
      <c r="ER98" s="187"/>
      <c r="ES98" s="187"/>
      <c r="ET98" s="187"/>
      <c r="EU98" s="187"/>
      <c r="EV98" s="187"/>
      <c r="EW98" s="187"/>
      <c r="EX98" s="187"/>
      <c r="EY98" s="187"/>
      <c r="EZ98" s="187"/>
      <c r="FA98" s="187"/>
      <c r="FB98" s="187"/>
      <c r="FC98" s="187"/>
      <c r="FD98" s="187"/>
      <c r="FE98" s="187"/>
      <c r="FF98" s="187"/>
      <c r="FG98" s="187"/>
      <c r="FH98" s="187"/>
      <c r="FI98" s="187"/>
      <c r="FJ98" s="187"/>
      <c r="FK98" s="187"/>
      <c r="FL98" s="187"/>
      <c r="FM98" s="187"/>
      <c r="FN98" s="187"/>
      <c r="FO98" s="187"/>
      <c r="FP98" s="187"/>
      <c r="FQ98" s="187"/>
      <c r="FR98" s="187"/>
      <c r="FS98" s="187"/>
      <c r="FT98" s="187"/>
      <c r="FU98" s="187"/>
      <c r="FV98" s="187"/>
      <c r="FW98" s="187"/>
      <c r="FX98" s="187"/>
      <c r="FY98" s="187"/>
      <c r="FZ98" s="187"/>
      <c r="GA98" s="187"/>
      <c r="GB98" s="187"/>
      <c r="GC98" s="187"/>
      <c r="GD98" s="187"/>
      <c r="GE98" s="187"/>
      <c r="GF98" s="187"/>
      <c r="GG98" s="187"/>
      <c r="GH98" s="187"/>
      <c r="GI98" s="187"/>
      <c r="GJ98" s="187"/>
      <c r="GK98" s="187"/>
      <c r="GL98" s="187"/>
      <c r="GM98" s="187"/>
      <c r="GN98" s="187"/>
      <c r="GO98" s="187"/>
      <c r="GP98" s="187"/>
      <c r="GQ98" s="187"/>
      <c r="GR98" s="187"/>
      <c r="GS98" s="187"/>
      <c r="GT98" s="187"/>
      <c r="GU98" s="187"/>
      <c r="GV98" s="187"/>
      <c r="GW98" s="187"/>
      <c r="GX98" s="187"/>
      <c r="GY98" s="187"/>
      <c r="GZ98" s="187"/>
      <c r="HA98" s="187"/>
      <c r="HB98" s="187"/>
      <c r="HC98" s="187"/>
      <c r="HD98" s="187"/>
      <c r="HE98" s="187"/>
      <c r="HF98" s="187"/>
      <c r="HG98" s="187"/>
      <c r="HH98" s="187"/>
      <c r="HI98" s="187"/>
      <c r="HJ98" s="187"/>
      <c r="HK98" s="187"/>
      <c r="HL98" s="187"/>
      <c r="HM98" s="187"/>
      <c r="HN98" s="187"/>
      <c r="HO98" s="187"/>
      <c r="HP98" s="187"/>
      <c r="HQ98" s="187"/>
      <c r="HR98" s="187"/>
      <c r="HS98" s="187"/>
      <c r="HT98" s="187"/>
      <c r="HU98" s="187"/>
      <c r="HV98" s="187"/>
      <c r="HW98" s="187"/>
      <c r="HX98" s="187"/>
      <c r="HY98" s="187"/>
      <c r="HZ98" s="187"/>
      <c r="IA98" s="187"/>
      <c r="IB98" s="187"/>
      <c r="IC98" s="187"/>
      <c r="ID98" s="187"/>
      <c r="IE98" s="187"/>
      <c r="IF98" s="187"/>
      <c r="IG98" s="187"/>
      <c r="IH98" s="187"/>
      <c r="II98" s="187"/>
      <c r="IJ98" s="187"/>
      <c r="IK98" s="187"/>
      <c r="IL98" s="187"/>
      <c r="IM98" s="187"/>
      <c r="IN98" s="187"/>
      <c r="IO98" s="187"/>
      <c r="IP98" s="187"/>
      <c r="IQ98" s="187"/>
      <c r="IR98" s="187"/>
      <c r="IS98" s="187"/>
      <c r="IT98" s="187"/>
      <c r="IU98" s="187"/>
      <c r="IV98" s="187"/>
    </row>
    <row r="99" spans="1:256">
      <c r="A99" s="187"/>
      <c r="B99" s="206"/>
      <c r="C99" s="187"/>
      <c r="D99" s="187"/>
      <c r="F99" s="187"/>
      <c r="G99" s="187"/>
      <c r="H99" s="187"/>
      <c r="I99" s="187"/>
      <c r="J99" s="187"/>
      <c r="K99" s="187"/>
      <c r="L99" s="187"/>
      <c r="M99" s="187"/>
      <c r="N99" s="187"/>
      <c r="O99" s="187"/>
      <c r="P99" s="213"/>
      <c r="Q99" s="213"/>
      <c r="R99" s="213"/>
      <c r="S99" s="213"/>
      <c r="T99" s="213"/>
      <c r="U99" s="213"/>
      <c r="V99" s="213"/>
      <c r="W99" s="213"/>
      <c r="X99" s="214"/>
      <c r="Y99" s="214"/>
      <c r="Z99" s="214"/>
      <c r="AA99" s="214"/>
      <c r="AB99" s="214"/>
      <c r="AC99" s="214"/>
      <c r="AD99" s="214"/>
      <c r="AE99" s="215"/>
      <c r="AF99" s="214"/>
      <c r="AG99" s="216"/>
      <c r="AH99" s="216"/>
      <c r="AI99" s="216"/>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87"/>
      <c r="DW99" s="187"/>
      <c r="DX99" s="187"/>
      <c r="DY99" s="187"/>
      <c r="DZ99" s="187"/>
      <c r="EA99" s="187"/>
      <c r="EB99" s="187"/>
      <c r="EC99" s="187"/>
      <c r="ED99" s="187"/>
      <c r="EE99" s="187"/>
      <c r="EF99" s="187"/>
      <c r="EG99" s="187"/>
      <c r="EH99" s="187"/>
      <c r="EI99" s="187"/>
      <c r="EJ99" s="187"/>
      <c r="EK99" s="187"/>
      <c r="EL99" s="187"/>
      <c r="EM99" s="187"/>
      <c r="EN99" s="187"/>
      <c r="EO99" s="187"/>
      <c r="EP99" s="187"/>
      <c r="EQ99" s="187"/>
      <c r="ER99" s="187"/>
      <c r="ES99" s="187"/>
      <c r="ET99" s="187"/>
      <c r="EU99" s="187"/>
      <c r="EV99" s="187"/>
      <c r="EW99" s="187"/>
      <c r="EX99" s="187"/>
      <c r="EY99" s="187"/>
      <c r="EZ99" s="187"/>
      <c r="FA99" s="187"/>
      <c r="FB99" s="187"/>
      <c r="FC99" s="187"/>
      <c r="FD99" s="187"/>
      <c r="FE99" s="187"/>
      <c r="FF99" s="187"/>
      <c r="FG99" s="187"/>
      <c r="FH99" s="187"/>
      <c r="FI99" s="187"/>
      <c r="FJ99" s="187"/>
      <c r="FK99" s="187"/>
      <c r="FL99" s="187"/>
      <c r="FM99" s="187"/>
      <c r="FN99" s="187"/>
      <c r="FO99" s="187"/>
      <c r="FP99" s="187"/>
      <c r="FQ99" s="187"/>
      <c r="FR99" s="187"/>
      <c r="FS99" s="187"/>
      <c r="FT99" s="187"/>
      <c r="FU99" s="187"/>
      <c r="FV99" s="187"/>
      <c r="FW99" s="187"/>
      <c r="FX99" s="187"/>
      <c r="FY99" s="187"/>
      <c r="FZ99" s="187"/>
      <c r="GA99" s="187"/>
      <c r="GB99" s="187"/>
      <c r="GC99" s="187"/>
      <c r="GD99" s="187"/>
      <c r="GE99" s="187"/>
      <c r="GF99" s="187"/>
      <c r="GG99" s="187"/>
      <c r="GH99" s="187"/>
      <c r="GI99" s="187"/>
      <c r="GJ99" s="187"/>
      <c r="GK99" s="187"/>
      <c r="GL99" s="187"/>
      <c r="GM99" s="187"/>
      <c r="GN99" s="187"/>
      <c r="GO99" s="187"/>
      <c r="GP99" s="187"/>
      <c r="GQ99" s="187"/>
      <c r="GR99" s="187"/>
      <c r="GS99" s="187"/>
      <c r="GT99" s="187"/>
      <c r="GU99" s="187"/>
      <c r="GV99" s="187"/>
      <c r="GW99" s="187"/>
      <c r="GX99" s="187"/>
      <c r="GY99" s="187"/>
      <c r="GZ99" s="187"/>
      <c r="HA99" s="187"/>
      <c r="HB99" s="187"/>
      <c r="HC99" s="187"/>
      <c r="HD99" s="187"/>
      <c r="HE99" s="187"/>
      <c r="HF99" s="187"/>
      <c r="HG99" s="187"/>
      <c r="HH99" s="187"/>
      <c r="HI99" s="187"/>
      <c r="HJ99" s="187"/>
      <c r="HK99" s="187"/>
      <c r="HL99" s="187"/>
      <c r="HM99" s="187"/>
      <c r="HN99" s="187"/>
      <c r="HO99" s="187"/>
      <c r="HP99" s="187"/>
      <c r="HQ99" s="187"/>
      <c r="HR99" s="187"/>
      <c r="HS99" s="187"/>
      <c r="HT99" s="187"/>
      <c r="HU99" s="187"/>
      <c r="HV99" s="187"/>
      <c r="HW99" s="187"/>
      <c r="HX99" s="187"/>
      <c r="HY99" s="187"/>
      <c r="HZ99" s="187"/>
      <c r="IA99" s="187"/>
      <c r="IB99" s="187"/>
      <c r="IC99" s="187"/>
      <c r="ID99" s="187"/>
      <c r="IE99" s="187"/>
      <c r="IF99" s="187"/>
      <c r="IG99" s="187"/>
      <c r="IH99" s="187"/>
      <c r="II99" s="187"/>
      <c r="IJ99" s="187"/>
      <c r="IK99" s="187"/>
      <c r="IL99" s="187"/>
      <c r="IM99" s="187"/>
      <c r="IN99" s="187"/>
      <c r="IO99" s="187"/>
      <c r="IP99" s="187"/>
      <c r="IQ99" s="187"/>
      <c r="IR99" s="187"/>
      <c r="IS99" s="187"/>
      <c r="IT99" s="187"/>
      <c r="IU99" s="187"/>
      <c r="IV99" s="187"/>
    </row>
    <row r="100" spans="1:256">
      <c r="A100" s="187"/>
      <c r="B100" s="187" t="s">
        <v>456</v>
      </c>
      <c r="C100" s="187"/>
      <c r="D100" s="187"/>
      <c r="F100" s="187"/>
      <c r="G100" s="187"/>
      <c r="H100" s="187"/>
      <c r="I100" s="187"/>
      <c r="J100" s="187"/>
      <c r="K100" s="187"/>
      <c r="L100" s="187"/>
      <c r="M100" s="187"/>
      <c r="N100" s="187"/>
      <c r="O100" s="187"/>
      <c r="P100" s="225"/>
      <c r="Q100" s="225"/>
      <c r="R100" s="225"/>
      <c r="S100" s="225"/>
      <c r="T100" s="225"/>
      <c r="U100" s="225"/>
      <c r="V100" s="225"/>
      <c r="W100" s="225"/>
      <c r="X100" s="216"/>
      <c r="Y100" s="216"/>
      <c r="Z100" s="216"/>
      <c r="AA100" s="216"/>
      <c r="AB100" s="216"/>
      <c r="AC100" s="216"/>
      <c r="AD100" s="216"/>
      <c r="AE100" s="187"/>
      <c r="AF100" s="216"/>
      <c r="AG100" s="216"/>
      <c r="AH100" s="216"/>
      <c r="AI100" s="216"/>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187"/>
      <c r="DE100" s="187"/>
      <c r="DF100" s="187"/>
      <c r="DG100" s="187"/>
      <c r="DH100" s="187"/>
      <c r="DI100" s="187"/>
      <c r="DJ100" s="187"/>
      <c r="DK100" s="187"/>
      <c r="DL100" s="187"/>
      <c r="DM100" s="187"/>
      <c r="DN100" s="187"/>
      <c r="DO100" s="187"/>
      <c r="DP100" s="187"/>
      <c r="DQ100" s="187"/>
      <c r="DR100" s="187"/>
      <c r="DS100" s="187"/>
      <c r="DT100" s="187"/>
      <c r="DU100" s="187"/>
      <c r="DV100" s="187"/>
      <c r="DW100" s="187"/>
      <c r="DX100" s="187"/>
      <c r="DY100" s="187"/>
      <c r="DZ100" s="187"/>
      <c r="EA100" s="187"/>
      <c r="EB100" s="187"/>
      <c r="EC100" s="187"/>
      <c r="ED100" s="187"/>
      <c r="EE100" s="187"/>
      <c r="EF100" s="187"/>
      <c r="EG100" s="187"/>
      <c r="EH100" s="187"/>
      <c r="EI100" s="187"/>
      <c r="EJ100" s="187"/>
      <c r="EK100" s="187"/>
      <c r="EL100" s="187"/>
      <c r="EM100" s="187"/>
      <c r="EN100" s="187"/>
      <c r="EO100" s="187"/>
      <c r="EP100" s="187"/>
      <c r="EQ100" s="187"/>
      <c r="ER100" s="187"/>
      <c r="ES100" s="187"/>
      <c r="ET100" s="187"/>
      <c r="EU100" s="187"/>
      <c r="EV100" s="187"/>
      <c r="EW100" s="187"/>
      <c r="EX100" s="187"/>
      <c r="EY100" s="187"/>
      <c r="EZ100" s="187"/>
      <c r="FA100" s="187"/>
      <c r="FB100" s="187"/>
      <c r="FC100" s="187"/>
      <c r="FD100" s="187"/>
      <c r="FE100" s="187"/>
      <c r="FF100" s="187"/>
      <c r="FG100" s="187"/>
      <c r="FH100" s="187"/>
      <c r="FI100" s="187"/>
      <c r="FJ100" s="187"/>
      <c r="FK100" s="187"/>
      <c r="FL100" s="187"/>
      <c r="FM100" s="187"/>
      <c r="FN100" s="187"/>
      <c r="FO100" s="187"/>
      <c r="FP100" s="187"/>
      <c r="FQ100" s="187"/>
      <c r="FR100" s="187"/>
      <c r="FS100" s="187"/>
      <c r="FT100" s="187"/>
      <c r="FU100" s="187"/>
      <c r="FV100" s="187"/>
      <c r="FW100" s="187"/>
      <c r="FX100" s="187"/>
      <c r="FY100" s="187"/>
      <c r="FZ100" s="187"/>
      <c r="GA100" s="187"/>
      <c r="GB100" s="187"/>
      <c r="GC100" s="187"/>
      <c r="GD100" s="187"/>
      <c r="GE100" s="187"/>
      <c r="GF100" s="187"/>
      <c r="GG100" s="187"/>
      <c r="GH100" s="187"/>
      <c r="GI100" s="187"/>
      <c r="GJ100" s="187"/>
      <c r="GK100" s="187"/>
      <c r="GL100" s="187"/>
      <c r="GM100" s="187"/>
      <c r="GN100" s="187"/>
      <c r="GO100" s="187"/>
      <c r="GP100" s="187"/>
      <c r="GQ100" s="187"/>
      <c r="GR100" s="187"/>
      <c r="GS100" s="187"/>
      <c r="GT100" s="187"/>
      <c r="GU100" s="187"/>
      <c r="GV100" s="187"/>
      <c r="GW100" s="187"/>
      <c r="GX100" s="187"/>
      <c r="GY100" s="187"/>
      <c r="GZ100" s="187"/>
      <c r="HA100" s="187"/>
      <c r="HB100" s="187"/>
      <c r="HC100" s="187"/>
      <c r="HD100" s="187"/>
      <c r="HE100" s="187"/>
      <c r="HF100" s="187"/>
      <c r="HG100" s="187"/>
      <c r="HH100" s="187"/>
      <c r="HI100" s="187"/>
      <c r="HJ100" s="187"/>
      <c r="HK100" s="187"/>
      <c r="HL100" s="187"/>
      <c r="HM100" s="187"/>
      <c r="HN100" s="187"/>
      <c r="HO100" s="187"/>
      <c r="HP100" s="187"/>
      <c r="HQ100" s="187"/>
      <c r="HR100" s="187"/>
      <c r="HS100" s="187"/>
      <c r="HT100" s="187"/>
      <c r="HU100" s="187"/>
      <c r="HV100" s="187"/>
      <c r="HW100" s="187"/>
      <c r="HX100" s="187"/>
      <c r="HY100" s="187"/>
      <c r="HZ100" s="187"/>
      <c r="IA100" s="187"/>
      <c r="IB100" s="187"/>
      <c r="IC100" s="187"/>
      <c r="ID100" s="187"/>
      <c r="IE100" s="187"/>
      <c r="IF100" s="187"/>
      <c r="IG100" s="187"/>
      <c r="IH100" s="187"/>
      <c r="II100" s="187"/>
      <c r="IJ100" s="187"/>
      <c r="IK100" s="187"/>
      <c r="IL100" s="187"/>
      <c r="IM100" s="187"/>
      <c r="IN100" s="187"/>
      <c r="IO100" s="187"/>
      <c r="IP100" s="187"/>
      <c r="IQ100" s="187"/>
      <c r="IR100" s="187"/>
      <c r="IS100" s="187"/>
      <c r="IT100" s="187"/>
      <c r="IU100" s="187"/>
      <c r="IV100" s="187"/>
    </row>
  </sheetData>
  <mergeCells count="3">
    <mergeCell ref="B31:AH31"/>
    <mergeCell ref="B82:AD82"/>
    <mergeCell ref="B15:AP15"/>
  </mergeCells>
  <pageMargins left="0.70866141732283472" right="0.70866141732283472" top="0.74803149606299213" bottom="0.74803149606299213" header="0.31496062992125984" footer="0.31496062992125984"/>
  <pageSetup paperSize="9" scale="59"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R151"/>
  <sheetViews>
    <sheetView topLeftCell="B13" workbookViewId="0">
      <selection activeCell="B13" sqref="A1:XFD1048576"/>
    </sheetView>
  </sheetViews>
  <sheetFormatPr defaultColWidth="8.77734375" defaultRowHeight="12.75" outlineLevelRow="1"/>
  <cols>
    <col min="1" max="1" width="10.77734375" style="158" hidden="1" customWidth="1"/>
    <col min="2" max="2" width="7.5546875" style="158" customWidth="1"/>
    <col min="3" max="3" width="58.5546875" style="158" customWidth="1"/>
    <col min="4" max="17" width="0.77734375" style="158" hidden="1" customWidth="1"/>
    <col min="18" max="23" width="5.77734375" style="158" hidden="1" customWidth="1"/>
    <col min="24" max="24" width="5.77734375" style="276" customWidth="1"/>
    <col min="25" max="25" width="3.44140625" style="276" hidden="1" customWidth="1"/>
    <col min="26" max="26" width="6.33203125" style="276" bestFit="1" customWidth="1"/>
    <col min="27" max="27" width="3.44140625" style="276" hidden="1" customWidth="1"/>
    <col min="28" max="28" width="5.44140625" style="276" bestFit="1" customWidth="1"/>
    <col min="29" max="29" width="4.21875" style="276" hidden="1" customWidth="1"/>
    <col min="30" max="30" width="6.33203125" style="276" bestFit="1" customWidth="1"/>
    <col min="31" max="31" width="3.77734375" style="276" hidden="1" customWidth="1"/>
    <col min="32" max="37" width="5.77734375" style="276" customWidth="1"/>
    <col min="38" max="44" width="5.77734375" style="158" customWidth="1"/>
    <col min="45" max="16384" width="8.77734375" style="158"/>
  </cols>
  <sheetData>
    <row r="1" spans="1:44" hidden="1" outlineLevel="1">
      <c r="B1" s="158" t="s">
        <v>518</v>
      </c>
    </row>
    <row r="2" spans="1:44" hidden="1" outlineLevel="1"/>
    <row r="3" spans="1:44" hidden="1" outlineLevel="1"/>
    <row r="4" spans="1:44" hidden="1" outlineLevel="1">
      <c r="B4" s="570" t="s">
        <v>519</v>
      </c>
      <c r="C4" s="570"/>
      <c r="R4" s="158">
        <v>1995</v>
      </c>
      <c r="S4" s="158">
        <v>1996</v>
      </c>
      <c r="T4" s="158">
        <v>1997</v>
      </c>
      <c r="U4" s="158">
        <v>1998</v>
      </c>
      <c r="V4" s="158">
        <v>1999</v>
      </c>
      <c r="W4" s="158">
        <v>2000</v>
      </c>
      <c r="X4" s="290">
        <v>2001</v>
      </c>
      <c r="Y4" s="290"/>
      <c r="Z4" s="290">
        <v>2003</v>
      </c>
      <c r="AA4" s="290"/>
      <c r="AB4" s="290">
        <v>2005</v>
      </c>
      <c r="AC4" s="290"/>
      <c r="AD4" s="290">
        <v>2007</v>
      </c>
      <c r="AE4" s="290"/>
      <c r="AF4" s="290">
        <v>2009</v>
      </c>
      <c r="AG4" s="290">
        <v>2010</v>
      </c>
      <c r="AH4" s="290">
        <v>2011</v>
      </c>
      <c r="AI4" s="290">
        <v>2012</v>
      </c>
      <c r="AJ4" s="290">
        <v>2013</v>
      </c>
      <c r="AK4" s="290">
        <v>2014</v>
      </c>
      <c r="AL4" s="290">
        <v>2015</v>
      </c>
      <c r="AM4" s="290">
        <v>2016</v>
      </c>
      <c r="AN4" s="290">
        <v>2017</v>
      </c>
      <c r="AO4" s="290">
        <v>2018</v>
      </c>
      <c r="AP4" s="290">
        <v>2019</v>
      </c>
      <c r="AQ4" s="290">
        <v>2020</v>
      </c>
      <c r="AR4" s="290">
        <v>2021</v>
      </c>
    </row>
    <row r="5" spans="1:44" hidden="1" outlineLevel="1"/>
    <row r="6" spans="1:44" hidden="1" outlineLevel="1">
      <c r="A6" s="311" t="s">
        <v>2</v>
      </c>
      <c r="B6" s="158" t="s">
        <v>3</v>
      </c>
      <c r="R6" s="282" t="e">
        <f t="shared" ref="R6:X6" si="0">R94</f>
        <v>#REF!</v>
      </c>
      <c r="S6" s="282" t="e">
        <f t="shared" si="0"/>
        <v>#REF!</v>
      </c>
      <c r="T6" s="282" t="e">
        <f t="shared" si="0"/>
        <v>#REF!</v>
      </c>
      <c r="U6" s="282" t="e">
        <f t="shared" si="0"/>
        <v>#REF!</v>
      </c>
      <c r="V6" s="282" t="e">
        <f t="shared" si="0"/>
        <v>#REF!</v>
      </c>
      <c r="W6" s="282" t="e">
        <f t="shared" si="0"/>
        <v>#REF!</v>
      </c>
      <c r="X6" s="278">
        <f t="shared" si="0"/>
        <v>0</v>
      </c>
      <c r="Y6" s="278"/>
      <c r="Z6" s="278">
        <f>Z94</f>
        <v>0</v>
      </c>
      <c r="AA6" s="278"/>
      <c r="AB6" s="278">
        <f>AB94</f>
        <v>0</v>
      </c>
      <c r="AC6" s="278"/>
      <c r="AD6" s="278">
        <f>AD94</f>
        <v>0</v>
      </c>
      <c r="AE6" s="278"/>
      <c r="AF6" s="285">
        <f t="shared" ref="AF6:AN6" si="1">AF94</f>
        <v>1322</v>
      </c>
      <c r="AG6" s="285">
        <f t="shared" si="1"/>
        <v>1643</v>
      </c>
      <c r="AH6" s="285">
        <f t="shared" si="1"/>
        <v>1285</v>
      </c>
      <c r="AI6" s="285">
        <f t="shared" si="1"/>
        <v>1608</v>
      </c>
      <c r="AJ6" s="285">
        <f t="shared" si="1"/>
        <v>2972</v>
      </c>
      <c r="AK6" s="285">
        <f t="shared" si="1"/>
        <v>3308</v>
      </c>
      <c r="AL6" s="285">
        <f t="shared" si="1"/>
        <v>3257</v>
      </c>
      <c r="AM6" s="285">
        <f t="shared" si="1"/>
        <v>3310</v>
      </c>
      <c r="AN6" s="285">
        <f t="shared" si="1"/>
        <v>5050</v>
      </c>
      <c r="AO6" s="285">
        <f>AO94</f>
        <v>5480</v>
      </c>
      <c r="AP6" s="285">
        <f>AP94</f>
        <v>5820</v>
      </c>
      <c r="AQ6" s="285">
        <f t="shared" ref="AQ6:AR6" si="2">AQ94</f>
        <v>5950</v>
      </c>
      <c r="AR6" s="285">
        <f t="shared" si="2"/>
        <v>7120</v>
      </c>
    </row>
    <row r="7" spans="1:44" hidden="1" outlineLevel="1">
      <c r="A7" s="311" t="s">
        <v>4</v>
      </c>
      <c r="B7" s="158" t="s">
        <v>5</v>
      </c>
      <c r="R7" s="1118" t="e">
        <f>#REF!</f>
        <v>#REF!</v>
      </c>
      <c r="S7" s="1118" t="e">
        <f>#REF!</f>
        <v>#REF!</v>
      </c>
      <c r="T7" s="1118" t="e">
        <f>#REF!</f>
        <v>#REF!</v>
      </c>
      <c r="U7" s="1118" t="e">
        <f>#REF!</f>
        <v>#REF!</v>
      </c>
      <c r="V7" s="1118" t="e">
        <f>#REF!</f>
        <v>#REF!</v>
      </c>
      <c r="W7" s="1118" t="e">
        <f>#REF!</f>
        <v>#REF!</v>
      </c>
      <c r="X7" s="280">
        <f>X109</f>
        <v>0</v>
      </c>
      <c r="Y7" s="1119"/>
      <c r="Z7" s="280">
        <f>Z109</f>
        <v>0</v>
      </c>
      <c r="AA7" s="1119"/>
      <c r="AB7" s="280">
        <f>AB109</f>
        <v>0</v>
      </c>
      <c r="AC7" s="1119"/>
      <c r="AD7" s="280">
        <f>AD109</f>
        <v>0</v>
      </c>
      <c r="AE7" s="1119"/>
      <c r="AF7" s="860">
        <f t="shared" ref="AF7:AN7" si="3">AF109</f>
        <v>170</v>
      </c>
      <c r="AG7" s="860">
        <f t="shared" si="3"/>
        <v>180</v>
      </c>
      <c r="AH7" s="860">
        <f t="shared" si="3"/>
        <v>220</v>
      </c>
      <c r="AI7" s="860">
        <f t="shared" si="3"/>
        <v>230</v>
      </c>
      <c r="AJ7" s="860">
        <f t="shared" si="3"/>
        <v>250</v>
      </c>
      <c r="AK7" s="860">
        <f t="shared" si="3"/>
        <v>270</v>
      </c>
      <c r="AL7" s="860">
        <f t="shared" si="3"/>
        <v>390</v>
      </c>
      <c r="AM7" s="860">
        <f t="shared" si="3"/>
        <v>460</v>
      </c>
      <c r="AN7" s="860">
        <f t="shared" si="3"/>
        <v>460</v>
      </c>
      <c r="AO7" s="860">
        <f>AO109</f>
        <v>460</v>
      </c>
      <c r="AP7" s="860">
        <f>AP109</f>
        <v>480</v>
      </c>
      <c r="AQ7" s="860">
        <f t="shared" ref="AQ7:AR7" si="4">AQ109</f>
        <v>470</v>
      </c>
      <c r="AR7" s="860">
        <f t="shared" si="4"/>
        <v>550</v>
      </c>
    </row>
    <row r="8" spans="1:44" hidden="1" outlineLevel="1">
      <c r="A8" s="311" t="s">
        <v>6</v>
      </c>
      <c r="R8" s="282" t="e">
        <f>R6+R7</f>
        <v>#REF!</v>
      </c>
      <c r="S8" s="282" t="e">
        <f t="shared" ref="S8:X8" si="5">S6+S7</f>
        <v>#REF!</v>
      </c>
      <c r="T8" s="282" t="e">
        <f t="shared" si="5"/>
        <v>#REF!</v>
      </c>
      <c r="U8" s="282" t="e">
        <f t="shared" si="5"/>
        <v>#REF!</v>
      </c>
      <c r="V8" s="282" t="e">
        <f t="shared" si="5"/>
        <v>#REF!</v>
      </c>
      <c r="W8" s="282" t="e">
        <f t="shared" si="5"/>
        <v>#REF!</v>
      </c>
      <c r="X8" s="278">
        <f t="shared" si="5"/>
        <v>0</v>
      </c>
      <c r="Y8" s="278"/>
      <c r="Z8" s="278">
        <f>Z6+Z7</f>
        <v>0</v>
      </c>
      <c r="AA8" s="278"/>
      <c r="AB8" s="278">
        <f>AB6+AB7</f>
        <v>0</v>
      </c>
      <c r="AC8" s="278"/>
      <c r="AD8" s="278">
        <f>AD6+AD7</f>
        <v>0</v>
      </c>
      <c r="AE8" s="278"/>
      <c r="AF8" s="285">
        <f t="shared" ref="AF8:AN8" si="6">AF6+AF7</f>
        <v>1492</v>
      </c>
      <c r="AG8" s="285">
        <f t="shared" si="6"/>
        <v>1823</v>
      </c>
      <c r="AH8" s="285">
        <f t="shared" si="6"/>
        <v>1505</v>
      </c>
      <c r="AI8" s="285">
        <f t="shared" si="6"/>
        <v>1838</v>
      </c>
      <c r="AJ8" s="285">
        <f t="shared" si="6"/>
        <v>3222</v>
      </c>
      <c r="AK8" s="285">
        <f t="shared" si="6"/>
        <v>3578</v>
      </c>
      <c r="AL8" s="285">
        <f t="shared" si="6"/>
        <v>3647</v>
      </c>
      <c r="AM8" s="285">
        <f t="shared" si="6"/>
        <v>3770</v>
      </c>
      <c r="AN8" s="285">
        <f t="shared" si="6"/>
        <v>5510</v>
      </c>
      <c r="AO8" s="285">
        <f>AO6+AO7</f>
        <v>5940</v>
      </c>
      <c r="AP8" s="285">
        <f>AP6+AP7</f>
        <v>6300</v>
      </c>
      <c r="AQ8" s="285">
        <f t="shared" ref="AQ8:AR8" si="7">AQ6+AQ7</f>
        <v>6420</v>
      </c>
      <c r="AR8" s="285">
        <f t="shared" si="7"/>
        <v>7670</v>
      </c>
    </row>
    <row r="9" spans="1:44" hidden="1" outlineLevel="1">
      <c r="A9" s="311"/>
      <c r="R9" s="282"/>
      <c r="S9" s="282"/>
      <c r="T9" s="282"/>
      <c r="U9" s="282"/>
      <c r="V9" s="282"/>
      <c r="W9" s="282"/>
      <c r="X9" s="278"/>
      <c r="Y9" s="278"/>
      <c r="Z9" s="278"/>
      <c r="AA9" s="278"/>
      <c r="AB9" s="278"/>
      <c r="AC9" s="278"/>
      <c r="AD9" s="278"/>
      <c r="AE9" s="278"/>
      <c r="AF9" s="285"/>
      <c r="AG9" s="285"/>
      <c r="AH9" s="285"/>
      <c r="AI9" s="285"/>
      <c r="AJ9" s="285"/>
      <c r="AK9" s="285"/>
      <c r="AL9" s="285"/>
      <c r="AM9" s="285"/>
      <c r="AN9" s="285"/>
      <c r="AO9" s="285"/>
      <c r="AP9" s="285"/>
      <c r="AQ9" s="285"/>
      <c r="AR9" s="285"/>
    </row>
    <row r="10" spans="1:44" hidden="1" outlineLevel="1">
      <c r="A10" s="311"/>
      <c r="B10" s="158" t="s">
        <v>7</v>
      </c>
      <c r="R10" s="282" t="e">
        <f>#REF!-#REF!</f>
        <v>#REF!</v>
      </c>
      <c r="S10" s="282" t="e">
        <f>#REF!-#REF!</f>
        <v>#REF!</v>
      </c>
      <c r="T10" s="282" t="e">
        <f>#REF!-#REF!</f>
        <v>#REF!</v>
      </c>
      <c r="U10" s="282" t="e">
        <f>#REF!-#REF!</f>
        <v>#REF!</v>
      </c>
      <c r="V10" s="282" t="e">
        <f>#REF!-#REF!</f>
        <v>#REF!</v>
      </c>
      <c r="W10" s="282" t="e">
        <f>#REF!-#REF!</f>
        <v>#REF!</v>
      </c>
      <c r="X10" s="278">
        <f>X119</f>
        <v>0</v>
      </c>
      <c r="Y10" s="278"/>
      <c r="Z10" s="278">
        <f>Z119</f>
        <v>0</v>
      </c>
      <c r="AA10" s="278"/>
      <c r="AB10" s="278">
        <f>AB119</f>
        <v>0</v>
      </c>
      <c r="AC10" s="278"/>
      <c r="AD10" s="278">
        <f>AD119</f>
        <v>0</v>
      </c>
      <c r="AE10" s="278"/>
      <c r="AF10" s="285">
        <f t="shared" ref="AF10:AN10" si="8">AF119</f>
        <v>11000</v>
      </c>
      <c r="AG10" s="285">
        <f t="shared" si="8"/>
        <v>10800</v>
      </c>
      <c r="AH10" s="285">
        <f t="shared" si="8"/>
        <v>12000</v>
      </c>
      <c r="AI10" s="285">
        <f t="shared" si="8"/>
        <v>12800</v>
      </c>
      <c r="AJ10" s="285">
        <f t="shared" si="8"/>
        <v>12900</v>
      </c>
      <c r="AK10" s="285">
        <f t="shared" si="8"/>
        <v>13200</v>
      </c>
      <c r="AL10" s="285">
        <f t="shared" si="8"/>
        <v>13140</v>
      </c>
      <c r="AM10" s="285">
        <f t="shared" si="8"/>
        <v>13900</v>
      </c>
      <c r="AN10" s="285">
        <f t="shared" si="8"/>
        <v>15000</v>
      </c>
      <c r="AO10" s="285">
        <f>AO119</f>
        <v>15760</v>
      </c>
      <c r="AP10" s="285">
        <f>AP119</f>
        <v>16860</v>
      </c>
      <c r="AQ10" s="285">
        <f t="shared" ref="AQ10:AR10" si="9">AQ119</f>
        <v>18610</v>
      </c>
      <c r="AR10" s="285">
        <f t="shared" si="9"/>
        <v>18430</v>
      </c>
    </row>
    <row r="11" spans="1:44" hidden="1" outlineLevel="1">
      <c r="A11" s="311"/>
      <c r="R11" s="282"/>
      <c r="S11" s="282"/>
      <c r="T11" s="282"/>
      <c r="U11" s="282"/>
      <c r="V11" s="282"/>
      <c r="W11" s="282"/>
      <c r="X11" s="278"/>
      <c r="Y11" s="278"/>
      <c r="Z11" s="278"/>
      <c r="AA11" s="278"/>
      <c r="AB11" s="278"/>
      <c r="AC11" s="278"/>
      <c r="AD11" s="278"/>
      <c r="AE11" s="278"/>
      <c r="AF11" s="285"/>
      <c r="AG11" s="285"/>
      <c r="AH11" s="285"/>
      <c r="AI11" s="285"/>
      <c r="AJ11" s="285"/>
      <c r="AK11" s="285"/>
      <c r="AL11" s="285"/>
      <c r="AM11" s="285"/>
      <c r="AN11" s="285"/>
      <c r="AO11" s="285"/>
      <c r="AP11" s="285"/>
      <c r="AQ11" s="285"/>
      <c r="AR11" s="285"/>
    </row>
    <row r="12" spans="1:44" hidden="1" outlineLevel="1">
      <c r="B12" s="158" t="s">
        <v>8</v>
      </c>
      <c r="R12" s="282"/>
      <c r="S12" s="282"/>
      <c r="T12" s="282"/>
      <c r="U12" s="282"/>
      <c r="V12" s="282"/>
      <c r="W12" s="282"/>
      <c r="X12" s="278">
        <f>X97+X98+X99+X100+X101+X103</f>
        <v>0</v>
      </c>
      <c r="Y12" s="278"/>
      <c r="Z12" s="278">
        <f>Z97+Z98+Z99+Z100+Z101+Z103</f>
        <v>0</v>
      </c>
      <c r="AA12" s="278"/>
      <c r="AB12" s="278">
        <f>AB97+AB98+AB99+AB100+AB101+AB103</f>
        <v>0</v>
      </c>
      <c r="AC12" s="278"/>
      <c r="AD12" s="278">
        <f>AD97+AD98+AD99+AD100+AD101+AD103</f>
        <v>0</v>
      </c>
      <c r="AE12" s="278"/>
      <c r="AF12" s="285">
        <f t="shared" ref="AF12:AL12" si="10">AF97+AF98+AF99+AF100+AF101+AF103</f>
        <v>1262</v>
      </c>
      <c r="AG12" s="285">
        <f t="shared" si="10"/>
        <v>1583</v>
      </c>
      <c r="AH12" s="285">
        <f t="shared" si="10"/>
        <v>1225</v>
      </c>
      <c r="AI12" s="285">
        <f t="shared" si="10"/>
        <v>1548</v>
      </c>
      <c r="AJ12" s="285">
        <f t="shared" si="10"/>
        <v>2882</v>
      </c>
      <c r="AK12" s="285">
        <f t="shared" si="10"/>
        <v>3218</v>
      </c>
      <c r="AL12" s="285">
        <f t="shared" si="10"/>
        <v>3167</v>
      </c>
      <c r="AM12" s="285">
        <f>AM97+AM98+AM99+AM100+AM101+AM103</f>
        <v>3210</v>
      </c>
      <c r="AN12" s="285">
        <f>AN97+AN98+AN99+AN100+AN101+AN103</f>
        <v>4940</v>
      </c>
      <c r="AO12" s="285">
        <f>AO97+AO98+AO99+AO100+AO101+AO103</f>
        <v>5360</v>
      </c>
      <c r="AP12" s="285">
        <f>AP97+AP98+AP99+AP100+AP101+AP103</f>
        <v>5690</v>
      </c>
      <c r="AQ12" s="285">
        <f t="shared" ref="AQ12:AR12" si="11">AQ97+AQ98+AQ99+AQ100+AQ101+AQ103</f>
        <v>5810</v>
      </c>
      <c r="AR12" s="285">
        <f t="shared" si="11"/>
        <v>6960</v>
      </c>
    </row>
    <row r="13" spans="1:44" outlineLevel="1">
      <c r="R13" s="282"/>
      <c r="S13" s="282"/>
      <c r="T13" s="282"/>
      <c r="U13" s="282"/>
      <c r="V13" s="282"/>
      <c r="W13" s="282"/>
      <c r="X13" s="278"/>
      <c r="Y13" s="278"/>
      <c r="Z13" s="278"/>
      <c r="AA13" s="278"/>
      <c r="AB13" s="278"/>
      <c r="AC13" s="278"/>
      <c r="AD13" s="278"/>
      <c r="AE13" s="278"/>
      <c r="AF13" s="285"/>
      <c r="AG13" s="278"/>
      <c r="AH13" s="278"/>
      <c r="AI13" s="278"/>
      <c r="AJ13" s="278"/>
      <c r="AK13" s="278"/>
      <c r="AL13" s="278"/>
      <c r="AM13" s="278"/>
    </row>
    <row r="14" spans="1:44" ht="12.75" customHeight="1" outlineLevel="1">
      <c r="R14" s="282"/>
      <c r="S14" s="282"/>
      <c r="T14" s="282"/>
      <c r="U14" s="282"/>
      <c r="V14" s="282"/>
      <c r="W14" s="282"/>
      <c r="X14" s="278"/>
      <c r="Y14" s="278"/>
      <c r="Z14" s="278"/>
      <c r="AA14" s="278"/>
      <c r="AB14" s="278"/>
      <c r="AC14" s="278"/>
      <c r="AD14" s="278"/>
      <c r="AE14" s="278"/>
      <c r="AF14" s="278"/>
      <c r="AG14" s="278"/>
      <c r="AH14" s="278"/>
      <c r="AI14" s="278"/>
      <c r="AJ14" s="278"/>
      <c r="AK14" s="278"/>
      <c r="AL14" s="282"/>
    </row>
    <row r="15" spans="1:44" ht="27" customHeight="1">
      <c r="B15" s="1917" t="s">
        <v>520</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c r="AR15" s="1917"/>
    </row>
    <row r="16" spans="1:44">
      <c r="O16" s="283"/>
      <c r="P16" s="283"/>
      <c r="Q16" s="283"/>
      <c r="R16" s="283"/>
      <c r="S16" s="283"/>
      <c r="T16" s="283"/>
      <c r="U16" s="283"/>
      <c r="V16" s="283"/>
      <c r="W16" s="283"/>
      <c r="X16" s="284"/>
      <c r="Y16" s="285"/>
      <c r="Z16" s="285"/>
      <c r="AA16" s="285"/>
      <c r="AB16" s="285"/>
      <c r="AC16" s="285"/>
      <c r="AD16" s="285"/>
      <c r="AE16" s="285"/>
      <c r="AF16" s="285"/>
      <c r="AG16" s="278"/>
      <c r="AH16" s="278"/>
      <c r="AI16" s="278"/>
      <c r="AJ16" s="278"/>
      <c r="AK16" s="278"/>
      <c r="AL16" s="282"/>
    </row>
    <row r="17" spans="2:44">
      <c r="B17" s="294" t="s">
        <v>518</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78"/>
      <c r="AH17" s="278"/>
      <c r="AI17" s="278"/>
      <c r="AJ17" s="278"/>
      <c r="AK17" s="278"/>
      <c r="AL17" s="282"/>
    </row>
    <row r="18" spans="2:44">
      <c r="O18" s="283"/>
      <c r="P18" s="283"/>
      <c r="Q18" s="283"/>
      <c r="R18" s="283"/>
      <c r="S18" s="283"/>
      <c r="T18" s="283"/>
      <c r="U18" s="283"/>
      <c r="V18" s="283"/>
      <c r="W18" s="283"/>
      <c r="X18" s="284"/>
      <c r="Y18" s="285"/>
      <c r="Z18" s="285"/>
      <c r="AA18" s="285"/>
      <c r="AB18" s="285"/>
      <c r="AC18" s="285"/>
      <c r="AD18" s="285"/>
      <c r="AE18" s="285"/>
      <c r="AF18" s="285"/>
      <c r="AG18" s="278"/>
      <c r="AH18" s="278"/>
      <c r="AI18" s="278"/>
      <c r="AJ18" s="278"/>
      <c r="AK18" s="278"/>
      <c r="AL18" s="282"/>
    </row>
    <row r="19" spans="2:44">
      <c r="B19" s="286" t="s">
        <v>243</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78"/>
      <c r="AH19" s="278"/>
      <c r="AI19" s="278"/>
      <c r="AJ19" s="278"/>
      <c r="AK19" s="278"/>
      <c r="AL19" s="282"/>
    </row>
    <row r="20" spans="2:44">
      <c r="B20" s="226"/>
      <c r="C20" s="226"/>
      <c r="D20" s="226"/>
      <c r="E20" s="226"/>
      <c r="F20" s="226"/>
      <c r="G20" s="226"/>
      <c r="H20" s="226"/>
      <c r="I20" s="226"/>
      <c r="J20" s="226"/>
      <c r="K20" s="226"/>
      <c r="L20" s="226"/>
      <c r="M20" s="226"/>
      <c r="N20" s="226"/>
      <c r="O20" s="859"/>
      <c r="P20" s="859"/>
      <c r="Q20" s="859"/>
      <c r="R20" s="859"/>
      <c r="S20" s="859"/>
      <c r="T20" s="859"/>
      <c r="U20" s="859"/>
      <c r="V20" s="859"/>
      <c r="W20" s="859"/>
      <c r="X20" s="860"/>
      <c r="Y20" s="860"/>
      <c r="Z20" s="860"/>
      <c r="AA20" s="860"/>
      <c r="AB20" s="860"/>
      <c r="AC20" s="860"/>
      <c r="AD20" s="860"/>
      <c r="AE20" s="860"/>
      <c r="AF20" s="284"/>
      <c r="AG20" s="278"/>
      <c r="AH20" s="278"/>
      <c r="AI20" s="278"/>
      <c r="AJ20" s="278"/>
      <c r="AK20" s="278"/>
      <c r="AL20" s="282"/>
    </row>
    <row r="21" spans="2:44">
      <c r="O21" s="283"/>
      <c r="P21" s="283"/>
      <c r="Q21" s="283"/>
      <c r="R21" s="283"/>
      <c r="S21" s="283"/>
      <c r="T21" s="283"/>
      <c r="U21" s="283"/>
      <c r="V21" s="283"/>
      <c r="W21" s="283"/>
      <c r="X21" s="1027">
        <v>2001</v>
      </c>
      <c r="Y21" s="1029"/>
      <c r="Z21" s="1027">
        <v>2003</v>
      </c>
      <c r="AA21" s="1029"/>
      <c r="AB21" s="1027">
        <v>2005</v>
      </c>
      <c r="AC21" s="1029"/>
      <c r="AD21" s="1027">
        <v>2007</v>
      </c>
      <c r="AE21" s="1029"/>
      <c r="AF21" s="1121">
        <v>2009</v>
      </c>
      <c r="AG21" s="1121">
        <v>2010</v>
      </c>
      <c r="AH21" s="1121">
        <v>2011</v>
      </c>
      <c r="AI21" s="1121">
        <v>2012</v>
      </c>
      <c r="AJ21" s="1121">
        <v>2013</v>
      </c>
      <c r="AK21" s="1121">
        <v>2014</v>
      </c>
      <c r="AL21" s="1121">
        <v>2015</v>
      </c>
      <c r="AM21" s="1121">
        <v>2016</v>
      </c>
      <c r="AN21" s="1121">
        <v>2017</v>
      </c>
      <c r="AO21" s="1121">
        <v>2018</v>
      </c>
      <c r="AP21" s="1121">
        <v>2019</v>
      </c>
      <c r="AQ21" s="1121">
        <v>2020</v>
      </c>
      <c r="AR21" s="1121">
        <v>2021</v>
      </c>
    </row>
    <row r="22" spans="2:44">
      <c r="B22" s="276">
        <v>1</v>
      </c>
      <c r="C22" s="158" t="s">
        <v>410</v>
      </c>
      <c r="O22" s="283"/>
      <c r="P22" s="283"/>
      <c r="Q22" s="283"/>
      <c r="R22" s="283"/>
      <c r="S22" s="283"/>
      <c r="T22" s="283"/>
      <c r="U22" s="283"/>
      <c r="V22" s="283"/>
      <c r="W22" s="283"/>
      <c r="AG22" s="278"/>
      <c r="AH22" s="278"/>
      <c r="AI22" s="278"/>
      <c r="AJ22" s="278"/>
      <c r="AK22" s="278"/>
      <c r="AL22" s="282"/>
    </row>
    <row r="23" spans="2:44">
      <c r="B23" s="276" t="s">
        <v>289</v>
      </c>
      <c r="C23" s="158" t="s">
        <v>12</v>
      </c>
      <c r="R23" s="282"/>
      <c r="S23" s="282"/>
      <c r="T23" s="282"/>
      <c r="U23" s="282"/>
      <c r="V23" s="282"/>
      <c r="W23" s="282"/>
      <c r="X23" s="296"/>
      <c r="Y23" s="1122"/>
      <c r="AA23" s="1122"/>
      <c r="AE23" s="1122"/>
      <c r="AG23" s="278"/>
      <c r="AH23" s="278"/>
      <c r="AI23" s="278"/>
      <c r="AJ23" s="278"/>
      <c r="AK23" s="278"/>
      <c r="AL23" s="282"/>
    </row>
    <row r="24" spans="2:44">
      <c r="B24" s="276" t="s">
        <v>411</v>
      </c>
      <c r="C24" s="158" t="s">
        <v>412</v>
      </c>
      <c r="R24" s="282"/>
      <c r="S24" s="282"/>
      <c r="T24" s="282"/>
      <c r="U24" s="282"/>
      <c r="V24" s="282"/>
      <c r="W24" s="282"/>
      <c r="X24" s="278"/>
      <c r="Y24" s="278"/>
      <c r="Z24" s="296"/>
      <c r="AA24" s="278"/>
      <c r="AB24" s="296"/>
      <c r="AC24" s="296"/>
      <c r="AD24" s="935"/>
      <c r="AE24" s="278"/>
      <c r="AF24" s="935">
        <v>0.09</v>
      </c>
      <c r="AG24" s="278"/>
      <c r="AH24" s="296">
        <v>8.6999999999999994E-2</v>
      </c>
      <c r="AI24" s="278"/>
      <c r="AJ24" s="936">
        <v>8.1000000000000003E-2</v>
      </c>
      <c r="AK24" s="936">
        <v>8.8999999999999996E-2</v>
      </c>
      <c r="AL24" s="936">
        <v>7.6999999999999999E-2</v>
      </c>
      <c r="AM24" s="1519">
        <v>8.2000000000000003E-2</v>
      </c>
      <c r="AN24" s="1519">
        <v>7.9000000000000001E-2</v>
      </c>
      <c r="AO24" s="1519">
        <v>7.8E-2</v>
      </c>
      <c r="AP24" s="1519">
        <v>7.2999999999999995E-2</v>
      </c>
      <c r="AQ24" s="1519"/>
      <c r="AR24" s="1519"/>
    </row>
    <row r="25" spans="2:44">
      <c r="B25" s="276">
        <v>2</v>
      </c>
      <c r="C25" s="158" t="s">
        <v>413</v>
      </c>
      <c r="R25" s="282"/>
      <c r="S25" s="282"/>
      <c r="T25" s="282"/>
      <c r="U25" s="282"/>
      <c r="V25" s="282"/>
      <c r="W25" s="282"/>
      <c r="X25" s="278"/>
      <c r="Y25" s="278"/>
      <c r="Z25" s="296"/>
      <c r="AA25" s="278"/>
      <c r="AB25" s="296"/>
      <c r="AC25" s="296"/>
      <c r="AD25" s="935"/>
      <c r="AE25" s="278"/>
      <c r="AF25" s="935"/>
      <c r="AG25" s="278"/>
      <c r="AH25" s="296"/>
      <c r="AI25" s="278"/>
      <c r="AJ25" s="936"/>
      <c r="AK25" s="936"/>
      <c r="AL25" s="936"/>
      <c r="AM25" s="1519"/>
      <c r="AN25" s="1519"/>
      <c r="AO25" s="1519"/>
      <c r="AP25" s="1519"/>
    </row>
    <row r="26" spans="2:44">
      <c r="B26" s="276" t="s">
        <v>414</v>
      </c>
      <c r="C26" s="158" t="s">
        <v>12</v>
      </c>
      <c r="R26" s="282"/>
      <c r="S26" s="282"/>
      <c r="T26" s="282"/>
      <c r="U26" s="282"/>
      <c r="V26" s="282"/>
      <c r="W26" s="282"/>
      <c r="X26" s="278"/>
      <c r="Y26" s="278"/>
      <c r="Z26" s="278"/>
      <c r="AA26" s="278"/>
      <c r="AB26" s="278"/>
      <c r="AC26" s="278"/>
      <c r="AD26" s="278"/>
      <c r="AE26" s="278"/>
      <c r="AF26" s="278"/>
      <c r="AG26" s="278"/>
      <c r="AH26" s="296"/>
      <c r="AI26" s="278"/>
      <c r="AJ26" s="936"/>
      <c r="AK26" s="936"/>
      <c r="AL26" s="936"/>
      <c r="AM26" s="1519"/>
      <c r="AN26" s="1519"/>
      <c r="AO26" s="1519"/>
      <c r="AP26" s="1519"/>
    </row>
    <row r="27" spans="2:44">
      <c r="B27" s="276">
        <v>3</v>
      </c>
      <c r="C27" s="158" t="s">
        <v>14</v>
      </c>
      <c r="R27" s="282"/>
      <c r="S27" s="282"/>
      <c r="T27" s="282"/>
      <c r="U27" s="282"/>
      <c r="V27" s="282"/>
      <c r="W27" s="282"/>
      <c r="X27" s="296"/>
      <c r="Y27" s="278"/>
      <c r="Z27" s="296"/>
      <c r="AA27" s="278"/>
      <c r="AB27" s="296"/>
      <c r="AC27" s="296"/>
      <c r="AD27" s="296"/>
      <c r="AE27" s="278"/>
      <c r="AF27" s="296"/>
      <c r="AG27" s="278"/>
      <c r="AH27" s="296"/>
      <c r="AI27" s="278"/>
      <c r="AJ27" s="936"/>
      <c r="AK27" s="936"/>
      <c r="AL27" s="936"/>
      <c r="AM27" s="1519"/>
      <c r="AN27" s="1519"/>
      <c r="AO27" s="1519"/>
      <c r="AP27" s="1519"/>
    </row>
    <row r="28" spans="2:44">
      <c r="B28" s="276" t="s">
        <v>415</v>
      </c>
      <c r="C28" s="158" t="s">
        <v>15</v>
      </c>
      <c r="R28" s="282"/>
      <c r="S28" s="282"/>
      <c r="T28" s="282"/>
      <c r="U28" s="282"/>
      <c r="V28" s="282"/>
      <c r="W28" s="282"/>
      <c r="X28" s="296"/>
      <c r="Y28" s="278"/>
      <c r="Z28" s="296"/>
      <c r="AA28" s="278"/>
      <c r="AB28" s="296"/>
      <c r="AC28" s="296"/>
      <c r="AD28" s="296"/>
      <c r="AE28" s="278"/>
      <c r="AF28" s="296"/>
      <c r="AG28" s="278"/>
      <c r="AH28" s="296"/>
      <c r="AI28" s="278"/>
      <c r="AJ28" s="936"/>
      <c r="AK28" s="936"/>
      <c r="AL28" s="936"/>
      <c r="AM28" s="1519"/>
      <c r="AN28" s="1519"/>
      <c r="AO28" s="1519"/>
      <c r="AP28" s="1519"/>
    </row>
    <row r="29" spans="2:44">
      <c r="B29" s="276" t="s">
        <v>416</v>
      </c>
      <c r="C29" s="158" t="s">
        <v>16</v>
      </c>
      <c r="R29" s="282"/>
      <c r="S29" s="282"/>
      <c r="T29" s="282"/>
      <c r="U29" s="282"/>
      <c r="V29" s="282"/>
      <c r="W29" s="282"/>
      <c r="X29" s="296"/>
      <c r="Y29" s="278"/>
      <c r="Z29" s="296"/>
      <c r="AA29" s="278"/>
      <c r="AB29" s="296"/>
      <c r="AC29" s="296"/>
      <c r="AD29" s="296"/>
      <c r="AE29" s="278"/>
      <c r="AF29" s="296">
        <v>0.13300000000000001</v>
      </c>
      <c r="AG29" s="278"/>
      <c r="AH29" s="296">
        <v>0.11</v>
      </c>
      <c r="AI29" s="278"/>
      <c r="AJ29" s="936">
        <v>0.123</v>
      </c>
      <c r="AK29" s="936">
        <v>0.19800000000000001</v>
      </c>
      <c r="AL29" s="936">
        <v>0.13600000000000001</v>
      </c>
      <c r="AM29" s="1519">
        <v>0.13100000000000001</v>
      </c>
      <c r="AN29" s="1519">
        <v>0.14499999999999999</v>
      </c>
      <c r="AO29" s="1519">
        <v>0.126</v>
      </c>
      <c r="AP29" s="1519">
        <v>0.192</v>
      </c>
    </row>
    <row r="30" spans="2:44">
      <c r="B30" s="276" t="s">
        <v>417</v>
      </c>
      <c r="C30" s="158" t="s">
        <v>418</v>
      </c>
      <c r="R30" s="282"/>
      <c r="S30" s="282"/>
      <c r="T30" s="282"/>
      <c r="U30" s="282"/>
      <c r="V30" s="282"/>
      <c r="W30" s="282"/>
      <c r="X30" s="296"/>
      <c r="Y30" s="278"/>
      <c r="Z30" s="296"/>
      <c r="AA30" s="278"/>
      <c r="AB30" s="296"/>
      <c r="AC30" s="296"/>
      <c r="AD30" s="296"/>
      <c r="AE30" s="278"/>
      <c r="AF30" s="296"/>
      <c r="AG30" s="278"/>
      <c r="AH30" s="296"/>
      <c r="AI30" s="278"/>
      <c r="AJ30" s="936"/>
      <c r="AK30" s="936"/>
      <c r="AL30" s="936"/>
      <c r="AM30" s="1519"/>
      <c r="AN30" s="1519"/>
      <c r="AO30" s="1519"/>
      <c r="AP30" s="1519"/>
    </row>
    <row r="31" spans="2:44">
      <c r="B31" s="276">
        <v>4</v>
      </c>
      <c r="C31" s="158" t="s">
        <v>419</v>
      </c>
      <c r="R31" s="282"/>
      <c r="S31" s="282"/>
      <c r="T31" s="282"/>
      <c r="U31" s="282"/>
      <c r="V31" s="282"/>
      <c r="W31" s="282"/>
      <c r="X31" s="296"/>
      <c r="Y31" s="278"/>
      <c r="Z31" s="296"/>
      <c r="AA31" s="278"/>
      <c r="AB31" s="296"/>
      <c r="AC31" s="296"/>
      <c r="AD31" s="296"/>
      <c r="AE31" s="278"/>
      <c r="AF31" s="296"/>
      <c r="AG31" s="278"/>
      <c r="AH31" s="296"/>
      <c r="AI31" s="278"/>
      <c r="AJ31" s="936"/>
      <c r="AK31" s="936"/>
      <c r="AL31" s="936"/>
      <c r="AM31" s="1519"/>
      <c r="AN31" s="1519"/>
      <c r="AO31" s="1519"/>
      <c r="AP31" s="1519"/>
    </row>
    <row r="32" spans="2:44">
      <c r="B32" s="276" t="s">
        <v>296</v>
      </c>
      <c r="C32" s="158" t="s">
        <v>420</v>
      </c>
      <c r="R32" s="282"/>
      <c r="S32" s="282"/>
      <c r="T32" s="282"/>
      <c r="U32" s="282"/>
      <c r="V32" s="282"/>
      <c r="W32" s="282"/>
      <c r="X32" s="296"/>
      <c r="Y32" s="278"/>
      <c r="Z32" s="296"/>
      <c r="AA32" s="278"/>
      <c r="AB32" s="296"/>
      <c r="AC32" s="296"/>
      <c r="AD32" s="296"/>
      <c r="AE32" s="278"/>
      <c r="AF32" s="296"/>
      <c r="AG32" s="278"/>
      <c r="AH32" s="296"/>
      <c r="AI32" s="278"/>
      <c r="AJ32" s="936"/>
      <c r="AK32" s="936"/>
      <c r="AL32" s="936"/>
      <c r="AM32" s="1519"/>
      <c r="AN32" s="1519"/>
      <c r="AO32" s="1519"/>
      <c r="AP32" s="1519"/>
    </row>
    <row r="33" spans="2:44">
      <c r="B33" s="276" t="s">
        <v>298</v>
      </c>
      <c r="C33" s="158" t="s">
        <v>421</v>
      </c>
      <c r="R33" s="282"/>
      <c r="S33" s="282"/>
      <c r="T33" s="282"/>
      <c r="U33" s="282"/>
      <c r="V33" s="282"/>
      <c r="W33" s="282"/>
      <c r="X33" s="296"/>
      <c r="Y33" s="278"/>
      <c r="Z33" s="296"/>
      <c r="AA33" s="278"/>
      <c r="AB33" s="296"/>
      <c r="AC33" s="296"/>
      <c r="AD33" s="296"/>
      <c r="AE33" s="278"/>
      <c r="AF33" s="296">
        <v>8.7999999999999995E-2</v>
      </c>
      <c r="AG33" s="278"/>
      <c r="AH33" s="296">
        <v>0.11600000000000001</v>
      </c>
      <c r="AI33" s="278"/>
      <c r="AJ33" s="936">
        <v>0.17799999999999999</v>
      </c>
      <c r="AK33" s="936">
        <v>0.127</v>
      </c>
      <c r="AL33" s="936">
        <v>0.114</v>
      </c>
      <c r="AM33" s="1519">
        <v>0.106</v>
      </c>
      <c r="AN33" s="1519">
        <v>4.2999999999999997E-2</v>
      </c>
      <c r="AO33" s="1519">
        <v>0.10199999999999999</v>
      </c>
      <c r="AP33" s="1519">
        <v>0.128</v>
      </c>
    </row>
    <row r="34" spans="2:44">
      <c r="B34" s="276">
        <v>5</v>
      </c>
      <c r="C34" s="158" t="s">
        <v>422</v>
      </c>
      <c r="R34" s="282"/>
      <c r="S34" s="282"/>
      <c r="T34" s="282"/>
      <c r="U34" s="282"/>
      <c r="V34" s="282"/>
      <c r="W34" s="282"/>
      <c r="X34" s="296"/>
      <c r="Y34" s="278"/>
      <c r="Z34" s="296"/>
      <c r="AA34" s="278"/>
      <c r="AB34" s="296"/>
      <c r="AC34" s="296"/>
      <c r="AD34" s="296"/>
      <c r="AE34" s="278"/>
      <c r="AF34" s="296"/>
      <c r="AG34" s="278"/>
      <c r="AH34" s="296"/>
      <c r="AI34" s="278"/>
      <c r="AJ34" s="936"/>
      <c r="AK34" s="936"/>
      <c r="AL34" s="936"/>
      <c r="AM34" s="1519"/>
      <c r="AN34" s="1519"/>
      <c r="AO34" s="1519"/>
      <c r="AP34" s="1519"/>
    </row>
    <row r="35" spans="2:44">
      <c r="B35" s="276" t="s">
        <v>423</v>
      </c>
      <c r="C35" s="158" t="s">
        <v>424</v>
      </c>
      <c r="R35" s="282"/>
      <c r="S35" s="282"/>
      <c r="T35" s="282"/>
      <c r="U35" s="282"/>
      <c r="V35" s="282"/>
      <c r="W35" s="282"/>
      <c r="X35" s="296"/>
      <c r="Y35" s="278"/>
      <c r="Z35" s="296"/>
      <c r="AA35" s="278"/>
      <c r="AB35" s="296"/>
      <c r="AC35" s="296"/>
      <c r="AD35" s="296"/>
      <c r="AE35" s="278"/>
      <c r="AF35" s="296"/>
      <c r="AG35" s="278"/>
      <c r="AH35" s="296"/>
      <c r="AI35" s="278"/>
      <c r="AJ35" s="936"/>
      <c r="AK35" s="936"/>
      <c r="AL35" s="936"/>
      <c r="AM35" s="1519"/>
      <c r="AN35" s="1519"/>
      <c r="AO35" s="1519"/>
      <c r="AP35" s="1519"/>
    </row>
    <row r="36" spans="2:44">
      <c r="B36" s="276">
        <v>6</v>
      </c>
      <c r="C36" s="158" t="s">
        <v>425</v>
      </c>
      <c r="R36" s="282"/>
      <c r="S36" s="282"/>
      <c r="T36" s="282"/>
      <c r="U36" s="282"/>
      <c r="V36" s="282"/>
      <c r="W36" s="282"/>
      <c r="X36" s="296"/>
      <c r="Y36" s="278"/>
      <c r="Z36" s="296"/>
      <c r="AA36" s="278"/>
      <c r="AB36" s="296"/>
      <c r="AC36" s="296"/>
      <c r="AD36" s="296"/>
      <c r="AE36" s="278"/>
      <c r="AF36" s="296">
        <v>0.106</v>
      </c>
      <c r="AG36" s="278"/>
      <c r="AH36" s="296">
        <v>0.115</v>
      </c>
      <c r="AI36" s="278"/>
      <c r="AJ36" s="936">
        <v>5.6000000000000001E-2</v>
      </c>
      <c r="AK36" s="936">
        <v>5.0151425691670512E-2</v>
      </c>
      <c r="AL36" s="936">
        <v>5.7054778286017162E-2</v>
      </c>
      <c r="AM36" s="936">
        <v>6.0999999999999999E-2</v>
      </c>
      <c r="AN36" s="936">
        <v>6.4000000000000001E-2</v>
      </c>
      <c r="AO36" s="936">
        <v>5.8000000000000003E-2</v>
      </c>
      <c r="AP36" s="1519">
        <v>5.3999999999999999E-2</v>
      </c>
    </row>
    <row r="37" spans="2:44">
      <c r="B37" s="276" t="s">
        <v>426</v>
      </c>
      <c r="C37" s="158" t="s">
        <v>427</v>
      </c>
      <c r="R37" s="282"/>
      <c r="S37" s="282"/>
      <c r="T37" s="282"/>
      <c r="U37" s="282"/>
      <c r="V37" s="282"/>
      <c r="W37" s="282"/>
      <c r="X37" s="296"/>
      <c r="Y37" s="278"/>
      <c r="Z37" s="296"/>
      <c r="AA37" s="278"/>
      <c r="AB37" s="296"/>
      <c r="AC37" s="296"/>
      <c r="AD37" s="296"/>
      <c r="AE37" s="278"/>
      <c r="AF37" s="296"/>
      <c r="AG37" s="278"/>
      <c r="AH37" s="1122"/>
      <c r="AI37" s="278"/>
      <c r="AJ37" s="278"/>
      <c r="AK37" s="278"/>
      <c r="AL37" s="278"/>
      <c r="AM37" s="276"/>
      <c r="AN37" s="276"/>
      <c r="AO37" s="276"/>
      <c r="AP37" s="1519"/>
    </row>
    <row r="38" spans="2:44">
      <c r="B38" s="276" t="s">
        <v>428</v>
      </c>
      <c r="C38" s="158" t="s">
        <v>429</v>
      </c>
      <c r="R38" s="282"/>
      <c r="S38" s="282"/>
      <c r="T38" s="282"/>
      <c r="U38" s="282"/>
      <c r="V38" s="282"/>
      <c r="W38" s="282"/>
      <c r="X38" s="296"/>
      <c r="Y38" s="278"/>
      <c r="Z38" s="296"/>
      <c r="AA38" s="278"/>
      <c r="AB38" s="296"/>
      <c r="AC38" s="296"/>
      <c r="AD38" s="296"/>
      <c r="AE38" s="278"/>
      <c r="AF38" s="296"/>
      <c r="AG38" s="278"/>
      <c r="AH38" s="1122"/>
      <c r="AI38" s="278"/>
      <c r="AJ38" s="278"/>
      <c r="AK38" s="278"/>
      <c r="AL38" s="278"/>
      <c r="AM38" s="276"/>
      <c r="AN38" s="276"/>
      <c r="AO38" s="276"/>
      <c r="AP38" s="1519"/>
    </row>
    <row r="39" spans="2:44" ht="6.75" customHeight="1">
      <c r="B39" s="1126"/>
      <c r="R39" s="282"/>
      <c r="S39" s="282"/>
      <c r="T39" s="282"/>
      <c r="U39" s="282"/>
      <c r="V39" s="282"/>
      <c r="W39" s="282"/>
      <c r="X39" s="296"/>
      <c r="Y39" s="278"/>
      <c r="Z39" s="296"/>
      <c r="AA39" s="278"/>
      <c r="AB39" s="296"/>
      <c r="AC39" s="296"/>
      <c r="AD39" s="296"/>
      <c r="AE39" s="278"/>
      <c r="AF39" s="296"/>
      <c r="AG39" s="278"/>
      <c r="AH39" s="278"/>
      <c r="AI39" s="278"/>
      <c r="AJ39" s="278"/>
      <c r="AK39" s="278"/>
      <c r="AL39" s="278"/>
      <c r="AM39" s="276"/>
      <c r="AN39" s="276"/>
      <c r="AO39" s="276"/>
      <c r="AP39" s="276"/>
    </row>
    <row r="40" spans="2:44">
      <c r="B40" s="1126" t="s">
        <v>521</v>
      </c>
      <c r="R40" s="282"/>
      <c r="S40" s="282"/>
      <c r="T40" s="282"/>
      <c r="U40" s="282"/>
      <c r="V40" s="282"/>
      <c r="W40" s="282"/>
      <c r="X40" s="296"/>
      <c r="Y40" s="278"/>
      <c r="Z40" s="296"/>
      <c r="AA40" s="278"/>
      <c r="AB40" s="296"/>
      <c r="AC40" s="296"/>
      <c r="AD40" s="296"/>
      <c r="AE40" s="278"/>
      <c r="AF40" s="285">
        <v>1492</v>
      </c>
      <c r="AG40" s="285">
        <v>1563</v>
      </c>
      <c r="AH40" s="285">
        <v>1617</v>
      </c>
      <c r="AI40" s="285">
        <v>1717</v>
      </c>
      <c r="AJ40" s="285">
        <v>1767</v>
      </c>
      <c r="AK40" s="285">
        <v>1829</v>
      </c>
      <c r="AL40" s="285">
        <v>1901</v>
      </c>
      <c r="AM40" s="285">
        <v>1930</v>
      </c>
      <c r="AN40" s="285">
        <v>2000</v>
      </c>
      <c r="AO40" s="285">
        <v>2092</v>
      </c>
      <c r="AP40" s="285">
        <v>2189</v>
      </c>
      <c r="AQ40" s="158">
        <v>2738</v>
      </c>
      <c r="AR40" s="158">
        <v>2712</v>
      </c>
    </row>
    <row r="41" spans="2:44" ht="13.5" customHeight="1">
      <c r="B41" s="1166" t="s">
        <v>522</v>
      </c>
      <c r="R41" s="282"/>
      <c r="S41" s="282"/>
      <c r="T41" s="282"/>
      <c r="U41" s="282"/>
      <c r="V41" s="282"/>
      <c r="W41" s="282"/>
      <c r="X41" s="296"/>
      <c r="Y41" s="278"/>
      <c r="Z41" s="296"/>
      <c r="AA41" s="278"/>
      <c r="AB41" s="296"/>
      <c r="AC41" s="296"/>
      <c r="AD41" s="296"/>
      <c r="AE41" s="278"/>
      <c r="AF41" s="296"/>
      <c r="AG41" s="278"/>
      <c r="AH41" s="278"/>
      <c r="AI41" s="278"/>
      <c r="AJ41" s="278"/>
      <c r="AK41" s="278"/>
      <c r="AL41" s="282"/>
    </row>
    <row r="42" spans="2:44" ht="13.5" customHeight="1">
      <c r="B42" s="1166" t="s">
        <v>523</v>
      </c>
      <c r="R42" s="282"/>
      <c r="S42" s="282"/>
      <c r="T42" s="282"/>
      <c r="U42" s="282"/>
      <c r="V42" s="282"/>
      <c r="W42" s="282"/>
      <c r="X42" s="296"/>
      <c r="Y42" s="278"/>
      <c r="Z42" s="296"/>
      <c r="AA42" s="278"/>
      <c r="AB42" s="296"/>
      <c r="AC42" s="296"/>
      <c r="AD42" s="296"/>
      <c r="AE42" s="278"/>
      <c r="AF42" s="296"/>
      <c r="AG42" s="278"/>
      <c r="AH42" s="278"/>
      <c r="AI42" s="278"/>
      <c r="AJ42" s="278"/>
      <c r="AK42" s="278"/>
      <c r="AL42" s="282"/>
    </row>
    <row r="43" spans="2:44" ht="13.5" customHeight="1">
      <c r="B43" s="1166" t="s">
        <v>524</v>
      </c>
      <c r="R43" s="282"/>
      <c r="S43" s="282"/>
      <c r="T43" s="282"/>
      <c r="U43" s="282"/>
      <c r="V43" s="282"/>
      <c r="W43" s="282"/>
      <c r="X43" s="296"/>
      <c r="Y43" s="278"/>
      <c r="Z43" s="296"/>
      <c r="AA43" s="278"/>
      <c r="AB43" s="296"/>
      <c r="AC43" s="296"/>
      <c r="AD43" s="296"/>
      <c r="AE43" s="278"/>
      <c r="AF43" s="296"/>
      <c r="AG43" s="278"/>
      <c r="AH43" s="278"/>
      <c r="AI43" s="278"/>
      <c r="AJ43" s="278"/>
      <c r="AK43" s="278"/>
      <c r="AL43" s="282"/>
    </row>
    <row r="44" spans="2:44" ht="13.5" customHeight="1">
      <c r="B44" s="1166" t="s">
        <v>525</v>
      </c>
      <c r="R44" s="282"/>
      <c r="S44" s="282"/>
      <c r="T44" s="282"/>
      <c r="U44" s="282"/>
      <c r="V44" s="282"/>
      <c r="W44" s="282"/>
      <c r="X44" s="296"/>
      <c r="Y44" s="278"/>
      <c r="Z44" s="296"/>
      <c r="AA44" s="278"/>
      <c r="AB44" s="296"/>
      <c r="AC44" s="296"/>
      <c r="AD44" s="296"/>
      <c r="AE44" s="278"/>
      <c r="AF44" s="296"/>
      <c r="AG44" s="278"/>
      <c r="AH44" s="278"/>
      <c r="AI44" s="278"/>
      <c r="AJ44" s="278"/>
      <c r="AK44" s="278"/>
      <c r="AL44" s="282"/>
    </row>
    <row r="45" spans="2:44" ht="13.5" customHeight="1">
      <c r="B45" s="1166" t="s">
        <v>526</v>
      </c>
      <c r="R45" s="282"/>
      <c r="S45" s="282"/>
      <c r="T45" s="282"/>
      <c r="U45" s="282"/>
      <c r="V45" s="282"/>
      <c r="W45" s="282"/>
      <c r="X45" s="296"/>
      <c r="Y45" s="278"/>
      <c r="Z45" s="296"/>
      <c r="AA45" s="278"/>
      <c r="AB45" s="296"/>
      <c r="AC45" s="296"/>
      <c r="AD45" s="296"/>
      <c r="AE45" s="278"/>
      <c r="AF45" s="296"/>
      <c r="AG45" s="278"/>
      <c r="AH45" s="278"/>
      <c r="AI45" s="278"/>
      <c r="AJ45" s="278"/>
      <c r="AK45" s="278"/>
      <c r="AL45" s="282"/>
    </row>
    <row r="46" spans="2:44" ht="6.75" customHeight="1">
      <c r="B46" s="884"/>
      <c r="C46" s="226"/>
      <c r="D46" s="226"/>
      <c r="E46" s="226"/>
      <c r="F46" s="226"/>
      <c r="G46" s="226"/>
      <c r="H46" s="226"/>
      <c r="I46" s="226"/>
      <c r="J46" s="226"/>
      <c r="K46" s="226"/>
      <c r="L46" s="226"/>
      <c r="M46" s="226"/>
      <c r="N46" s="226"/>
      <c r="O46" s="226"/>
      <c r="P46" s="226"/>
      <c r="Q46" s="226"/>
      <c r="R46" s="1118"/>
      <c r="S46" s="1118"/>
      <c r="T46" s="1118"/>
      <c r="U46" s="1118"/>
      <c r="V46" s="1118"/>
      <c r="W46" s="1118"/>
      <c r="X46" s="280"/>
      <c r="Y46" s="280"/>
      <c r="Z46" s="639"/>
      <c r="AA46" s="280"/>
      <c r="AB46" s="639"/>
      <c r="AC46" s="639"/>
      <c r="AD46" s="639"/>
      <c r="AE46" s="280"/>
      <c r="AF46" s="639"/>
      <c r="AG46" s="639"/>
      <c r="AH46" s="639"/>
      <c r="AI46" s="639"/>
      <c r="AJ46" s="639"/>
      <c r="AK46" s="639"/>
      <c r="AL46" s="639"/>
      <c r="AM46" s="639"/>
      <c r="AN46" s="639"/>
      <c r="AO46" s="639"/>
      <c r="AP46" s="639"/>
      <c r="AQ46" s="639"/>
      <c r="AR46" s="639"/>
    </row>
    <row r="47" spans="2:44" ht="6.75" customHeight="1">
      <c r="B47" s="1126"/>
      <c r="R47" s="282"/>
      <c r="S47" s="282"/>
      <c r="T47" s="282"/>
      <c r="U47" s="282"/>
      <c r="V47" s="282"/>
      <c r="W47" s="282"/>
      <c r="X47" s="278"/>
      <c r="Y47" s="278"/>
      <c r="Z47" s="278"/>
      <c r="AA47" s="278"/>
      <c r="AB47" s="278"/>
      <c r="AC47" s="278"/>
      <c r="AD47" s="278"/>
      <c r="AE47" s="278"/>
      <c r="AF47" s="278"/>
      <c r="AG47" s="278"/>
      <c r="AH47" s="278"/>
      <c r="AI47" s="278"/>
      <c r="AJ47" s="278"/>
      <c r="AK47" s="278"/>
      <c r="AL47" s="282"/>
    </row>
    <row r="48" spans="2:44" ht="27" customHeight="1">
      <c r="B48" s="1938" t="s">
        <v>527</v>
      </c>
      <c r="C48" s="1938"/>
      <c r="D48" s="1938"/>
      <c r="E48" s="1938"/>
      <c r="F48" s="1938"/>
      <c r="G48" s="1938"/>
      <c r="H48" s="1938"/>
      <c r="I48" s="1938"/>
      <c r="J48" s="1938"/>
      <c r="K48" s="1938"/>
      <c r="L48" s="1938"/>
      <c r="M48" s="1938"/>
      <c r="N48" s="1938"/>
      <c r="O48" s="1938"/>
      <c r="P48" s="1938"/>
      <c r="Q48" s="1938"/>
      <c r="R48" s="1938"/>
      <c r="S48" s="1938"/>
      <c r="T48" s="1938"/>
      <c r="U48" s="1938"/>
      <c r="V48" s="1938"/>
      <c r="W48" s="1938"/>
      <c r="X48" s="1938"/>
      <c r="Y48" s="1938"/>
      <c r="Z48" s="1938"/>
      <c r="AA48" s="1938"/>
      <c r="AB48" s="1938"/>
      <c r="AC48" s="1938"/>
      <c r="AD48" s="1938"/>
      <c r="AE48" s="1938"/>
      <c r="AF48" s="1938"/>
      <c r="AG48" s="278"/>
      <c r="AH48" s="278"/>
      <c r="AI48" s="278"/>
      <c r="AJ48" s="278"/>
      <c r="AK48" s="278"/>
      <c r="AL48" s="282"/>
    </row>
    <row r="49" spans="2:44">
      <c r="R49" s="282"/>
      <c r="S49" s="282"/>
      <c r="T49" s="282"/>
      <c r="U49" s="282"/>
      <c r="V49" s="282"/>
      <c r="W49" s="282"/>
      <c r="X49" s="278"/>
      <c r="Y49" s="278"/>
      <c r="Z49" s="278"/>
      <c r="AA49" s="278"/>
      <c r="AB49" s="278"/>
      <c r="AC49" s="278"/>
      <c r="AD49" s="278"/>
      <c r="AE49" s="278"/>
      <c r="AF49" s="278"/>
      <c r="AG49" s="278"/>
      <c r="AH49" s="278"/>
      <c r="AI49" s="278"/>
      <c r="AJ49" s="278"/>
      <c r="AK49" s="278"/>
      <c r="AL49" s="282"/>
    </row>
    <row r="50" spans="2:44" hidden="1">
      <c r="R50" s="282"/>
      <c r="S50" s="282"/>
      <c r="T50" s="282"/>
      <c r="U50" s="282"/>
      <c r="V50" s="282"/>
      <c r="W50" s="282"/>
      <c r="X50" s="278"/>
      <c r="Y50" s="278"/>
      <c r="Z50" s="278"/>
      <c r="AA50" s="278"/>
      <c r="AB50" s="278"/>
      <c r="AC50" s="278"/>
      <c r="AD50" s="278"/>
      <c r="AE50" s="278"/>
      <c r="AF50" s="278"/>
      <c r="AG50" s="278"/>
      <c r="AH50" s="278"/>
      <c r="AI50" s="278"/>
      <c r="AJ50" s="278"/>
      <c r="AK50" s="278"/>
      <c r="AL50" s="282"/>
    </row>
    <row r="51" spans="2:44" hidden="1">
      <c r="R51" s="282"/>
      <c r="S51" s="282"/>
      <c r="T51" s="282"/>
      <c r="U51" s="282"/>
      <c r="V51" s="282"/>
      <c r="W51" s="282"/>
      <c r="X51" s="278"/>
      <c r="Y51" s="278"/>
      <c r="Z51" s="278"/>
      <c r="AA51" s="278"/>
      <c r="AB51" s="278"/>
      <c r="AC51" s="278"/>
      <c r="AD51" s="278"/>
      <c r="AE51" s="278"/>
      <c r="AF51" s="278"/>
      <c r="AG51" s="278"/>
      <c r="AH51" s="278"/>
      <c r="AI51" s="278"/>
      <c r="AJ51" s="278"/>
      <c r="AK51" s="278"/>
      <c r="AL51" s="282"/>
    </row>
    <row r="52" spans="2:44" hidden="1">
      <c r="R52" s="282"/>
      <c r="S52" s="282"/>
      <c r="T52" s="282"/>
      <c r="U52" s="282"/>
      <c r="V52" s="282"/>
      <c r="W52" s="282"/>
      <c r="X52" s="278"/>
      <c r="Y52" s="278"/>
      <c r="Z52" s="278"/>
      <c r="AA52" s="278"/>
      <c r="AB52" s="278"/>
      <c r="AC52" s="278"/>
      <c r="AD52" s="278"/>
      <c r="AE52" s="278"/>
      <c r="AF52" s="278"/>
      <c r="AG52" s="278"/>
      <c r="AH52" s="278"/>
      <c r="AI52" s="278"/>
      <c r="AJ52" s="278"/>
      <c r="AK52" s="278"/>
      <c r="AL52" s="282"/>
    </row>
    <row r="53" spans="2:44" hidden="1">
      <c r="R53" s="282"/>
      <c r="S53" s="282"/>
      <c r="T53" s="282"/>
      <c r="U53" s="282"/>
      <c r="V53" s="282"/>
      <c r="W53" s="282"/>
      <c r="X53" s="278"/>
      <c r="Y53" s="278"/>
      <c r="Z53" s="278"/>
      <c r="AA53" s="278"/>
      <c r="AB53" s="278"/>
      <c r="AC53" s="278"/>
      <c r="AD53" s="278"/>
      <c r="AE53" s="278"/>
      <c r="AF53" s="278"/>
      <c r="AG53" s="278"/>
      <c r="AH53" s="278"/>
      <c r="AI53" s="278"/>
      <c r="AJ53" s="278"/>
      <c r="AK53" s="278"/>
      <c r="AL53" s="282"/>
    </row>
    <row r="54" spans="2:44" hidden="1">
      <c r="R54" s="282"/>
      <c r="S54" s="282"/>
      <c r="T54" s="282"/>
      <c r="U54" s="282"/>
      <c r="V54" s="282"/>
      <c r="W54" s="282"/>
      <c r="X54" s="278"/>
      <c r="Y54" s="278"/>
      <c r="Z54" s="278"/>
      <c r="AA54" s="278"/>
      <c r="AB54" s="278"/>
      <c r="AC54" s="278"/>
      <c r="AD54" s="278"/>
      <c r="AE54" s="278"/>
      <c r="AF54" s="278"/>
      <c r="AG54" s="278"/>
      <c r="AH54" s="278"/>
      <c r="AI54" s="278"/>
      <c r="AJ54" s="278"/>
      <c r="AK54" s="278"/>
      <c r="AL54" s="282"/>
    </row>
    <row r="55" spans="2:44" hidden="1">
      <c r="R55" s="282"/>
      <c r="S55" s="282"/>
      <c r="T55" s="282"/>
      <c r="U55" s="282"/>
      <c r="V55" s="282"/>
      <c r="W55" s="282"/>
      <c r="X55" s="278"/>
      <c r="Y55" s="278"/>
      <c r="Z55" s="278"/>
      <c r="AA55" s="278"/>
      <c r="AB55" s="278"/>
      <c r="AC55" s="278"/>
      <c r="AD55" s="278"/>
      <c r="AE55" s="278"/>
      <c r="AF55" s="278"/>
      <c r="AG55" s="278"/>
      <c r="AH55" s="278"/>
      <c r="AI55" s="278"/>
      <c r="AJ55" s="278"/>
      <c r="AK55" s="278"/>
      <c r="AL55" s="282"/>
    </row>
    <row r="56" spans="2:44" hidden="1">
      <c r="R56" s="282"/>
      <c r="S56" s="282"/>
      <c r="T56" s="282"/>
      <c r="U56" s="282"/>
      <c r="V56" s="282"/>
      <c r="W56" s="282"/>
      <c r="X56" s="278"/>
      <c r="Y56" s="278"/>
      <c r="Z56" s="278"/>
      <c r="AA56" s="278"/>
      <c r="AB56" s="278"/>
      <c r="AC56" s="278"/>
      <c r="AD56" s="278"/>
      <c r="AE56" s="278"/>
      <c r="AF56" s="278"/>
      <c r="AG56" s="278"/>
      <c r="AH56" s="278"/>
      <c r="AI56" s="278"/>
      <c r="AJ56" s="278"/>
      <c r="AK56" s="278"/>
      <c r="AL56" s="282"/>
    </row>
    <row r="57" spans="2:44" s="167" customFormat="1" hidden="1">
      <c r="O57" s="197"/>
      <c r="P57" s="198"/>
      <c r="Q57" s="199"/>
      <c r="R57" s="198"/>
      <c r="S57" s="198"/>
      <c r="T57" s="198"/>
      <c r="U57" s="198"/>
      <c r="V57" s="198"/>
      <c r="W57" s="198"/>
      <c r="X57" s="196"/>
      <c r="Y57" s="196"/>
      <c r="Z57" s="196"/>
      <c r="AA57" s="196"/>
      <c r="AB57" s="196"/>
      <c r="AC57" s="196"/>
      <c r="AD57" s="196"/>
      <c r="AE57" s="196"/>
      <c r="AF57" s="196"/>
      <c r="AG57" s="564"/>
      <c r="AH57" s="564"/>
      <c r="AI57" s="564"/>
      <c r="AJ57" s="564"/>
      <c r="AK57" s="564"/>
      <c r="AL57" s="210"/>
    </row>
    <row r="58" spans="2:44" s="167" customFormat="1" hidden="1">
      <c r="O58" s="197"/>
      <c r="P58" s="198"/>
      <c r="Q58" s="199"/>
      <c r="R58" s="198"/>
      <c r="S58" s="198"/>
      <c r="T58" s="198"/>
      <c r="U58" s="198"/>
      <c r="V58" s="198"/>
      <c r="W58" s="198"/>
      <c r="X58" s="196"/>
      <c r="Y58" s="196"/>
      <c r="Z58" s="196"/>
      <c r="AA58" s="196"/>
      <c r="AB58" s="196"/>
      <c r="AC58" s="196"/>
      <c r="AD58" s="196"/>
      <c r="AE58" s="196"/>
      <c r="AF58" s="196"/>
      <c r="AG58" s="564"/>
      <c r="AH58" s="564"/>
      <c r="AI58" s="564"/>
      <c r="AJ58" s="564"/>
      <c r="AK58" s="564"/>
      <c r="AL58" s="210"/>
    </row>
    <row r="59" spans="2:44" s="167" customFormat="1">
      <c r="O59" s="197"/>
      <c r="P59" s="198"/>
      <c r="Q59" s="199"/>
      <c r="R59" s="198"/>
      <c r="S59" s="198"/>
      <c r="T59" s="198"/>
      <c r="U59" s="198"/>
      <c r="V59" s="198"/>
      <c r="W59" s="198"/>
      <c r="X59" s="196"/>
      <c r="Y59" s="196"/>
      <c r="Z59" s="196"/>
      <c r="AA59" s="196"/>
      <c r="AB59" s="196"/>
      <c r="AC59" s="196"/>
      <c r="AD59" s="196"/>
      <c r="AE59" s="196"/>
      <c r="AF59" s="196"/>
      <c r="AG59" s="564"/>
      <c r="AH59" s="564"/>
      <c r="AI59" s="564"/>
      <c r="AJ59" s="564"/>
      <c r="AK59" s="564"/>
      <c r="AL59" s="210"/>
    </row>
    <row r="60" spans="2:44" s="167" customFormat="1" outlineLevel="1">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564"/>
      <c r="AH60" s="564"/>
      <c r="AI60" s="564"/>
      <c r="AJ60" s="564"/>
      <c r="AK60" s="564"/>
      <c r="AL60" s="210"/>
    </row>
    <row r="61" spans="2:44" s="167" customFormat="1" outlineLevel="1">
      <c r="B61" s="190" t="s">
        <v>528</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564"/>
      <c r="AH61" s="564"/>
      <c r="AI61" s="564"/>
      <c r="AJ61" s="564"/>
      <c r="AK61" s="564"/>
      <c r="AL61" s="210"/>
      <c r="AM61" s="210"/>
    </row>
    <row r="62" spans="2:44" s="167" customFormat="1"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564"/>
      <c r="AH62" s="564"/>
      <c r="AI62" s="564"/>
      <c r="AJ62" s="564"/>
      <c r="AK62" s="564"/>
      <c r="AL62" s="210"/>
      <c r="AM62" s="210"/>
    </row>
    <row r="63" spans="2:44" s="167" customFormat="1" outlineLevel="1">
      <c r="B63" s="158" t="s">
        <v>1706</v>
      </c>
      <c r="C63" s="158"/>
      <c r="D63" s="158"/>
      <c r="O63" s="197"/>
      <c r="P63" s="198"/>
      <c r="Q63" s="199"/>
      <c r="R63" s="198"/>
      <c r="S63" s="198"/>
      <c r="T63" s="198"/>
      <c r="U63" s="198"/>
      <c r="V63" s="198"/>
      <c r="W63" s="198"/>
      <c r="X63" s="563">
        <v>2001</v>
      </c>
      <c r="Y63" s="289"/>
      <c r="Z63" s="290">
        <v>2003</v>
      </c>
      <c r="AA63" s="289"/>
      <c r="AB63" s="290">
        <v>2005</v>
      </c>
      <c r="AC63" s="289"/>
      <c r="AD63" s="290">
        <v>2007</v>
      </c>
      <c r="AE63" s="289"/>
      <c r="AF63" s="290">
        <v>2009</v>
      </c>
      <c r="AG63" s="1121">
        <v>2010</v>
      </c>
      <c r="AH63" s="1121">
        <v>2011</v>
      </c>
      <c r="AI63" s="290">
        <v>2012</v>
      </c>
      <c r="AJ63" s="1121">
        <v>2013</v>
      </c>
      <c r="AK63" s="1121">
        <v>2014</v>
      </c>
      <c r="AL63" s="1121">
        <v>2015</v>
      </c>
      <c r="AM63" s="1121">
        <v>2016</v>
      </c>
      <c r="AN63" s="1121">
        <v>2017</v>
      </c>
      <c r="AO63" s="1121">
        <v>2018</v>
      </c>
      <c r="AP63" s="1121">
        <v>2019</v>
      </c>
      <c r="AQ63" s="1121">
        <v>2020</v>
      </c>
      <c r="AR63" s="1121">
        <v>2021</v>
      </c>
    </row>
    <row r="64" spans="2:44" s="167" customFormat="1" ht="15" outlineLevel="1">
      <c r="B64" s="158" t="s">
        <v>1707</v>
      </c>
      <c r="C64" s="158"/>
      <c r="D64" s="158"/>
      <c r="O64" s="197"/>
      <c r="P64" s="198"/>
      <c r="Q64" s="199"/>
      <c r="R64" s="198"/>
      <c r="S64" s="198"/>
      <c r="T64" s="198"/>
      <c r="U64" s="198"/>
      <c r="V64" s="198"/>
      <c r="W64" s="198"/>
      <c r="X64" s="276"/>
      <c r="Y64" s="291"/>
      <c r="Z64" s="276"/>
      <c r="AA64" s="291"/>
      <c r="AB64" s="276"/>
      <c r="AC64" s="276"/>
      <c r="AD64" s="276"/>
      <c r="AE64" s="291"/>
      <c r="AF64" s="276"/>
      <c r="AG64" s="276"/>
      <c r="AH64" s="276"/>
      <c r="AI64" s="564"/>
      <c r="AJ64" s="564"/>
      <c r="AK64" s="564"/>
      <c r="AL64" s="210"/>
      <c r="AM64" s="564"/>
      <c r="AN64" s="210"/>
      <c r="AO64" s="545"/>
      <c r="AP64" s="545"/>
    </row>
    <row r="65" spans="2:43" s="167" customFormat="1" outlineLevel="1">
      <c r="B65" s="308" t="s">
        <v>28</v>
      </c>
      <c r="C65" s="158" t="s">
        <v>29</v>
      </c>
      <c r="D65" s="158"/>
      <c r="O65" s="197"/>
      <c r="P65" s="198"/>
      <c r="Q65" s="199"/>
      <c r="R65" s="198"/>
      <c r="S65" s="198"/>
      <c r="T65" s="198"/>
      <c r="U65" s="198"/>
      <c r="V65" s="198"/>
      <c r="W65" s="198"/>
      <c r="X65" s="285"/>
      <c r="Y65" s="276"/>
      <c r="Z65" s="285"/>
      <c r="AA65" s="276"/>
      <c r="AB65" s="285"/>
      <c r="AC65" s="285"/>
      <c r="AD65" s="285"/>
      <c r="AE65" s="276"/>
      <c r="AF65" s="285">
        <v>459946.12900000002</v>
      </c>
      <c r="AG65" s="285">
        <v>496836.42</v>
      </c>
      <c r="AH65" s="285">
        <v>532582.79700000002</v>
      </c>
      <c r="AI65" s="285">
        <v>558280.56000000006</v>
      </c>
      <c r="AJ65" s="285">
        <v>588694.179</v>
      </c>
      <c r="AK65" s="285">
        <v>615703.21299999999</v>
      </c>
      <c r="AL65" s="285">
        <v>637338.79</v>
      </c>
      <c r="AM65" s="285">
        <v>672621.73300000001</v>
      </c>
      <c r="AN65" s="285">
        <v>698006.55200000003</v>
      </c>
      <c r="AO65" s="285">
        <v>731225.21299999999</v>
      </c>
      <c r="AP65" s="285">
        <v>766004.50699999998</v>
      </c>
      <c r="AQ65" s="285">
        <v>693767</v>
      </c>
    </row>
    <row r="66" spans="2:43" s="167" customFormat="1" ht="5.0999999999999996" customHeight="1" outlineLevel="1">
      <c r="B66" s="158"/>
      <c r="C66" s="158"/>
      <c r="D66" s="158"/>
      <c r="O66" s="197"/>
      <c r="P66" s="198"/>
      <c r="Q66" s="199"/>
      <c r="R66" s="198"/>
      <c r="S66" s="198"/>
      <c r="T66" s="198"/>
      <c r="U66" s="198"/>
      <c r="V66" s="198"/>
      <c r="W66" s="198"/>
      <c r="X66" s="285"/>
      <c r="Y66" s="276"/>
      <c r="Z66" s="285"/>
      <c r="AA66" s="276"/>
      <c r="AB66" s="285"/>
      <c r="AC66" s="285"/>
      <c r="AD66" s="285"/>
      <c r="AE66" s="276"/>
      <c r="AF66" s="285"/>
      <c r="AG66" s="285"/>
      <c r="AH66" s="285"/>
      <c r="AI66" s="285"/>
      <c r="AJ66" s="285"/>
      <c r="AK66" s="285"/>
      <c r="AL66" s="285"/>
      <c r="AM66" s="285"/>
      <c r="AN66" s="285"/>
      <c r="AO66" s="285"/>
      <c r="AP66" s="285"/>
      <c r="AQ66" s="285"/>
    </row>
    <row r="67" spans="2:43" s="167" customFormat="1" outlineLevel="1">
      <c r="B67" s="308" t="s">
        <v>30</v>
      </c>
      <c r="C67" s="158" t="s">
        <v>31</v>
      </c>
      <c r="D67" s="158"/>
      <c r="O67" s="197"/>
      <c r="P67" s="198"/>
      <c r="Q67" s="199"/>
      <c r="R67" s="198"/>
      <c r="S67" s="198"/>
      <c r="T67" s="198"/>
      <c r="U67" s="198"/>
      <c r="V67" s="198"/>
      <c r="W67" s="198"/>
      <c r="X67" s="285"/>
      <c r="Y67" s="276"/>
      <c r="Z67" s="285"/>
      <c r="AA67" s="276"/>
      <c r="AB67" s="285"/>
      <c r="AC67" s="285"/>
      <c r="AD67" s="285"/>
      <c r="AE67" s="276"/>
      <c r="AF67" s="285">
        <v>560714.06300000008</v>
      </c>
      <c r="AG67" s="285">
        <v>603687.63899999997</v>
      </c>
      <c r="AH67" s="285">
        <v>645954.67900000012</v>
      </c>
      <c r="AI67" s="285">
        <v>680461.723</v>
      </c>
      <c r="AJ67" s="285">
        <v>718782.76</v>
      </c>
      <c r="AK67" s="285">
        <v>752450.89</v>
      </c>
      <c r="AL67" s="285">
        <v>779265.27599999995</v>
      </c>
      <c r="AM67" s="285">
        <v>821211.60100000002</v>
      </c>
      <c r="AN67" s="285">
        <v>852374.826</v>
      </c>
      <c r="AO67" s="285">
        <v>898220.14799999993</v>
      </c>
      <c r="AP67" s="285">
        <v>941329.11999999988</v>
      </c>
      <c r="AQ67" s="285">
        <v>881422.14</v>
      </c>
    </row>
    <row r="68" spans="2:43" s="167" customFormat="1" ht="5.0999999999999996" customHeight="1" outlineLevel="1">
      <c r="B68" s="158"/>
      <c r="C68" s="158"/>
      <c r="D68" s="158"/>
      <c r="O68" s="197"/>
      <c r="P68" s="198"/>
      <c r="Q68" s="199"/>
      <c r="R68" s="198"/>
      <c r="S68" s="198"/>
      <c r="T68" s="198"/>
      <c r="U68" s="198"/>
      <c r="V68" s="198"/>
      <c r="W68" s="198"/>
      <c r="X68" s="276"/>
      <c r="Y68" s="276"/>
      <c r="Z68" s="276"/>
      <c r="AA68" s="276"/>
      <c r="AB68" s="276"/>
      <c r="AC68" s="276"/>
      <c r="AD68" s="276"/>
      <c r="AE68" s="276"/>
      <c r="AF68" s="276"/>
      <c r="AG68" s="276"/>
      <c r="AH68" s="276"/>
      <c r="AI68" s="276"/>
      <c r="AJ68" s="276"/>
      <c r="AK68" s="276"/>
      <c r="AL68" s="276"/>
      <c r="AM68" s="276"/>
      <c r="AN68" s="276"/>
      <c r="AO68" s="276"/>
      <c r="AP68" s="276"/>
      <c r="AQ68" s="276"/>
    </row>
    <row r="69" spans="2:43" s="167" customFormat="1" outlineLevel="1">
      <c r="B69" s="308" t="s">
        <v>32</v>
      </c>
      <c r="C69" s="158" t="s">
        <v>33</v>
      </c>
      <c r="D69" s="158"/>
      <c r="O69" s="197"/>
      <c r="P69" s="198"/>
      <c r="Q69" s="199"/>
      <c r="R69" s="198"/>
      <c r="S69" s="198"/>
      <c r="T69" s="198"/>
      <c r="U69" s="198"/>
      <c r="V69" s="198"/>
      <c r="W69" s="198"/>
      <c r="X69" s="285"/>
      <c r="Y69" s="276"/>
      <c r="Z69" s="285"/>
      <c r="AA69" s="276"/>
      <c r="AB69" s="285"/>
      <c r="AC69" s="285"/>
      <c r="AD69" s="285"/>
      <c r="AE69" s="276"/>
      <c r="AF69" s="285">
        <f t="shared" ref="AF69:AQ69" si="12">SUM(AF71:AF72)</f>
        <v>85431.8</v>
      </c>
      <c r="AG69" s="285">
        <f t="shared" si="12"/>
        <v>95403.400000000009</v>
      </c>
      <c r="AH69" s="285">
        <f t="shared" si="12"/>
        <v>101496.1</v>
      </c>
      <c r="AI69" s="285">
        <f t="shared" si="12"/>
        <v>104611.9</v>
      </c>
      <c r="AJ69" s="285">
        <f t="shared" si="12"/>
        <v>114036.5</v>
      </c>
      <c r="AK69" s="285">
        <f t="shared" si="12"/>
        <v>122800.8</v>
      </c>
      <c r="AL69" s="285">
        <f t="shared" si="12"/>
        <v>125406.70000000001</v>
      </c>
      <c r="AM69" s="285">
        <f t="shared" si="12"/>
        <v>131132.6</v>
      </c>
      <c r="AN69" s="285">
        <f t="shared" si="12"/>
        <v>130284.2</v>
      </c>
      <c r="AO69" s="285">
        <f t="shared" si="12"/>
        <v>136146.16</v>
      </c>
      <c r="AP69" s="285">
        <f t="shared" si="12"/>
        <v>140049.9</v>
      </c>
      <c r="AQ69" s="285">
        <f t="shared" si="12"/>
        <v>135884.5</v>
      </c>
    </row>
    <row r="70" spans="2:43" s="167" customFormat="1" ht="5.0999999999999996" customHeight="1" outlineLevel="1">
      <c r="B70" s="158"/>
      <c r="C70" s="158"/>
      <c r="D70" s="158"/>
      <c r="O70" s="197"/>
      <c r="P70" s="198"/>
      <c r="Q70" s="199"/>
      <c r="R70" s="198"/>
      <c r="S70" s="198"/>
      <c r="T70" s="198"/>
      <c r="U70" s="198"/>
      <c r="V70" s="198"/>
      <c r="W70" s="198"/>
      <c r="X70" s="276"/>
      <c r="Y70" s="276"/>
      <c r="Z70" s="276"/>
      <c r="AA70" s="276"/>
      <c r="AB70" s="276"/>
      <c r="AC70" s="276"/>
      <c r="AD70" s="276"/>
      <c r="AE70" s="276"/>
      <c r="AF70" s="276"/>
      <c r="AG70" s="276"/>
      <c r="AH70" s="276"/>
      <c r="AI70" s="276"/>
      <c r="AJ70" s="276"/>
      <c r="AK70" s="276"/>
      <c r="AL70" s="276"/>
      <c r="AM70" s="276"/>
      <c r="AN70" s="276"/>
      <c r="AO70" s="276"/>
      <c r="AP70" s="276"/>
      <c r="AQ70" s="276"/>
    </row>
    <row r="71" spans="2:43" s="167" customFormat="1" outlineLevel="1">
      <c r="B71" s="158"/>
      <c r="C71" s="158" t="s">
        <v>34</v>
      </c>
      <c r="D71" s="158"/>
      <c r="O71" s="197"/>
      <c r="P71" s="198"/>
      <c r="Q71" s="199"/>
      <c r="R71" s="198"/>
      <c r="S71" s="198"/>
      <c r="T71" s="198"/>
      <c r="U71" s="198"/>
      <c r="V71" s="198"/>
      <c r="W71" s="198"/>
      <c r="X71" s="285"/>
      <c r="Y71" s="276"/>
      <c r="Z71" s="285"/>
      <c r="AA71" s="276"/>
      <c r="AB71" s="285"/>
      <c r="AC71" s="285"/>
      <c r="AD71" s="285"/>
      <c r="AE71" s="276"/>
      <c r="AF71" s="285">
        <v>71953.8</v>
      </c>
      <c r="AG71" s="285">
        <v>79945.400000000009</v>
      </c>
      <c r="AH71" s="285">
        <v>85586.1</v>
      </c>
      <c r="AI71" s="285">
        <v>88166.9</v>
      </c>
      <c r="AJ71" s="285">
        <v>97356.5</v>
      </c>
      <c r="AK71" s="285">
        <v>105699.8</v>
      </c>
      <c r="AL71" s="285">
        <v>107764.70000000001</v>
      </c>
      <c r="AM71" s="285">
        <v>112865.60000000001</v>
      </c>
      <c r="AN71" s="285">
        <v>110971.2</v>
      </c>
      <c r="AO71" s="285">
        <v>117251.16</v>
      </c>
      <c r="AP71" s="285">
        <v>120540.9</v>
      </c>
      <c r="AQ71" s="285">
        <v>118859.5</v>
      </c>
    </row>
    <row r="72" spans="2:43" s="167" customFormat="1" outlineLevel="1">
      <c r="B72" s="158"/>
      <c r="C72" s="158" t="s">
        <v>35</v>
      </c>
      <c r="D72" s="158"/>
      <c r="O72" s="197"/>
      <c r="P72" s="198"/>
      <c r="Q72" s="199"/>
      <c r="R72" s="198"/>
      <c r="S72" s="198"/>
      <c r="T72" s="198"/>
      <c r="U72" s="198"/>
      <c r="V72" s="198"/>
      <c r="W72" s="198"/>
      <c r="X72" s="285"/>
      <c r="Y72" s="276"/>
      <c r="Z72" s="285"/>
      <c r="AA72" s="276"/>
      <c r="AB72" s="285"/>
      <c r="AC72" s="285"/>
      <c r="AD72" s="285"/>
      <c r="AE72" s="276"/>
      <c r="AF72" s="285">
        <v>13478</v>
      </c>
      <c r="AG72" s="285">
        <v>15458</v>
      </c>
      <c r="AH72" s="285">
        <v>15910</v>
      </c>
      <c r="AI72" s="285">
        <v>16445</v>
      </c>
      <c r="AJ72" s="285">
        <v>16680</v>
      </c>
      <c r="AK72" s="285">
        <v>17101</v>
      </c>
      <c r="AL72" s="285">
        <v>17642</v>
      </c>
      <c r="AM72" s="285">
        <v>18267</v>
      </c>
      <c r="AN72" s="285">
        <v>19313</v>
      </c>
      <c r="AO72" s="285">
        <v>18895</v>
      </c>
      <c r="AP72" s="285">
        <v>19509</v>
      </c>
      <c r="AQ72" s="285">
        <v>17025</v>
      </c>
    </row>
    <row r="73" spans="2:43" s="167" customFormat="1" ht="5.0999999999999996" customHeight="1" outlineLevel="1">
      <c r="B73" s="158"/>
      <c r="C73" s="158"/>
      <c r="D73" s="158"/>
      <c r="O73" s="197"/>
      <c r="P73" s="198"/>
      <c r="Q73" s="199"/>
      <c r="R73" s="198"/>
      <c r="S73" s="198"/>
      <c r="T73" s="198"/>
      <c r="U73" s="198"/>
      <c r="V73" s="198"/>
      <c r="W73" s="198"/>
      <c r="X73" s="285"/>
      <c r="Y73" s="276"/>
      <c r="Z73" s="285"/>
      <c r="AA73" s="276"/>
      <c r="AB73" s="285"/>
      <c r="AC73" s="285"/>
      <c r="AD73" s="285"/>
      <c r="AE73" s="276"/>
      <c r="AF73" s="285"/>
      <c r="AG73" s="285"/>
      <c r="AH73" s="285"/>
      <c r="AI73" s="285"/>
      <c r="AJ73" s="285"/>
      <c r="AK73" s="285"/>
      <c r="AL73" s="285"/>
      <c r="AM73" s="285"/>
      <c r="AN73" s="285"/>
      <c r="AO73" s="285"/>
      <c r="AP73" s="285"/>
      <c r="AQ73" s="285"/>
    </row>
    <row r="74" spans="2:43" s="167" customFormat="1" outlineLevel="1">
      <c r="B74" s="308" t="s">
        <v>36</v>
      </c>
      <c r="C74" s="158" t="s">
        <v>37</v>
      </c>
      <c r="D74" s="158"/>
      <c r="O74" s="197"/>
      <c r="P74" s="198"/>
      <c r="Q74" s="199"/>
      <c r="R74" s="198"/>
      <c r="S74" s="198"/>
      <c r="T74" s="198"/>
      <c r="U74" s="198"/>
      <c r="V74" s="198"/>
      <c r="W74" s="198"/>
      <c r="X74" s="285"/>
      <c r="Y74" s="276"/>
      <c r="Z74" s="285"/>
      <c r="AA74" s="276"/>
      <c r="AB74" s="285"/>
      <c r="AC74" s="285"/>
      <c r="AD74" s="285"/>
      <c r="AE74" s="276"/>
      <c r="AF74" s="285">
        <v>87833.8</v>
      </c>
      <c r="AG74" s="285">
        <v>98092.4</v>
      </c>
      <c r="AH74" s="285">
        <v>104408.1</v>
      </c>
      <c r="AI74" s="285">
        <v>107154.9</v>
      </c>
      <c r="AJ74" s="285">
        <v>116334.5</v>
      </c>
      <c r="AK74" s="285">
        <v>125576.8</v>
      </c>
      <c r="AL74" s="285">
        <v>128276.70000000001</v>
      </c>
      <c r="AM74" s="285">
        <v>134421.6</v>
      </c>
      <c r="AN74" s="285">
        <v>133294.19999999998</v>
      </c>
      <c r="AO74" s="285">
        <v>138931.16</v>
      </c>
      <c r="AP74" s="285">
        <v>143065.9</v>
      </c>
      <c r="AQ74" s="285">
        <v>138759.5</v>
      </c>
    </row>
    <row r="75" spans="2:43" s="167" customFormat="1" ht="5.0999999999999996" customHeight="1" outlineLevel="1">
      <c r="B75" s="158"/>
      <c r="C75" s="158"/>
      <c r="D75" s="158"/>
      <c r="O75" s="197"/>
      <c r="P75" s="198"/>
      <c r="Q75" s="199"/>
      <c r="R75" s="198"/>
      <c r="S75" s="198"/>
      <c r="T75" s="198"/>
      <c r="U75" s="198"/>
      <c r="V75" s="198"/>
      <c r="W75" s="198"/>
      <c r="X75" s="285"/>
      <c r="Y75" s="276"/>
      <c r="Z75" s="285"/>
      <c r="AA75" s="276"/>
      <c r="AB75" s="285"/>
      <c r="AC75" s="285"/>
      <c r="AD75" s="285"/>
      <c r="AE75" s="276"/>
      <c r="AF75" s="285"/>
      <c r="AG75" s="285"/>
      <c r="AH75" s="285"/>
      <c r="AI75" s="285"/>
      <c r="AJ75" s="285"/>
      <c r="AK75" s="285"/>
      <c r="AL75" s="285"/>
      <c r="AM75" s="285"/>
      <c r="AN75" s="285"/>
      <c r="AO75" s="285"/>
      <c r="AP75" s="285"/>
      <c r="AQ75" s="285"/>
    </row>
    <row r="76" spans="2:43" s="167" customFormat="1" outlineLevel="1">
      <c r="B76" s="308" t="s">
        <v>38</v>
      </c>
      <c r="C76" s="158" t="s">
        <v>39</v>
      </c>
      <c r="D76" s="158"/>
      <c r="O76" s="197"/>
      <c r="P76" s="198"/>
      <c r="Q76" s="199"/>
      <c r="R76" s="198"/>
      <c r="S76" s="198"/>
      <c r="T76" s="198"/>
      <c r="U76" s="198"/>
      <c r="V76" s="198"/>
      <c r="W76" s="198"/>
      <c r="X76" s="285"/>
      <c r="Y76" s="276"/>
      <c r="Z76" s="285"/>
      <c r="AA76" s="276"/>
      <c r="AB76" s="285"/>
      <c r="AC76" s="285"/>
      <c r="AD76" s="285"/>
      <c r="AE76" s="276"/>
      <c r="AF76" s="285">
        <v>94399.513999999996</v>
      </c>
      <c r="AG76" s="285">
        <v>105693.64899999999</v>
      </c>
      <c r="AH76" s="285">
        <v>112238.89</v>
      </c>
      <c r="AI76" s="285">
        <v>115207.533</v>
      </c>
      <c r="AJ76" s="285">
        <v>125007.337</v>
      </c>
      <c r="AK76" s="285">
        <v>134459.02000000002</v>
      </c>
      <c r="AL76" s="285">
        <v>138142.753</v>
      </c>
      <c r="AM76" s="285">
        <v>144175.405</v>
      </c>
      <c r="AN76" s="285">
        <v>143124.125</v>
      </c>
      <c r="AO76" s="285">
        <v>149438.302</v>
      </c>
      <c r="AP76" s="285">
        <v>153719.12599999999</v>
      </c>
      <c r="AQ76" s="285">
        <v>148692.54399999999</v>
      </c>
    </row>
    <row r="77" spans="2:43" s="167" customFormat="1" ht="9" customHeight="1" outlineLevel="1">
      <c r="B77" s="308"/>
      <c r="C77" s="158"/>
      <c r="D77" s="158"/>
      <c r="O77" s="197"/>
      <c r="P77" s="198"/>
      <c r="Q77" s="199"/>
      <c r="R77" s="198"/>
      <c r="S77" s="198"/>
      <c r="T77" s="198"/>
      <c r="U77" s="198"/>
      <c r="V77" s="198"/>
      <c r="W77" s="198"/>
      <c r="X77" s="285"/>
      <c r="Y77" s="276"/>
      <c r="Z77" s="285"/>
      <c r="AA77" s="276"/>
      <c r="AB77" s="285"/>
      <c r="AC77" s="285"/>
      <c r="AD77" s="285"/>
      <c r="AE77" s="276"/>
      <c r="AF77" s="285"/>
      <c r="AG77" s="285"/>
      <c r="AH77" s="285"/>
      <c r="AI77" s="285"/>
      <c r="AJ77" s="285"/>
      <c r="AK77" s="285"/>
      <c r="AL77" s="285"/>
      <c r="AM77" s="285"/>
      <c r="AN77" s="285"/>
      <c r="AO77" s="285"/>
      <c r="AP77" s="285"/>
      <c r="AQ77" s="285"/>
    </row>
    <row r="78" spans="2:43" s="167" customFormat="1" outlineLevel="1">
      <c r="B78" s="158" t="s">
        <v>40</v>
      </c>
      <c r="D78" s="158"/>
      <c r="O78" s="197"/>
      <c r="P78" s="198"/>
      <c r="Q78" s="199"/>
      <c r="R78" s="198"/>
      <c r="S78" s="198"/>
      <c r="T78" s="198"/>
      <c r="U78" s="198"/>
      <c r="V78" s="198"/>
      <c r="W78" s="198"/>
      <c r="X78" s="285"/>
      <c r="Y78" s="276"/>
      <c r="Z78" s="285"/>
      <c r="AA78" s="276"/>
      <c r="AB78" s="285"/>
      <c r="AC78" s="285"/>
      <c r="AD78" s="285"/>
      <c r="AE78" s="276"/>
      <c r="AF78" s="285"/>
      <c r="AG78" s="285"/>
      <c r="AH78" s="285"/>
      <c r="AI78" s="285"/>
      <c r="AJ78" s="285"/>
      <c r="AK78" s="285"/>
      <c r="AL78" s="285"/>
      <c r="AM78" s="285"/>
      <c r="AN78" s="285"/>
      <c r="AO78" s="285"/>
      <c r="AP78" s="285"/>
      <c r="AQ78" s="285"/>
    </row>
    <row r="79" spans="2:43" s="167" customFormat="1" ht="6" customHeight="1" outlineLevel="1">
      <c r="B79" s="158"/>
      <c r="C79" s="158"/>
      <c r="D79" s="158"/>
      <c r="O79" s="197"/>
      <c r="P79" s="198"/>
      <c r="Q79" s="199"/>
      <c r="R79" s="198"/>
      <c r="S79" s="198"/>
      <c r="T79" s="198"/>
      <c r="U79" s="198"/>
      <c r="V79" s="198"/>
      <c r="W79" s="198"/>
      <c r="X79" s="285"/>
      <c r="Y79" s="276"/>
      <c r="Z79" s="285"/>
      <c r="AA79" s="276"/>
      <c r="AB79" s="285"/>
      <c r="AC79" s="285"/>
      <c r="AD79" s="285"/>
      <c r="AE79" s="276"/>
      <c r="AF79" s="285"/>
      <c r="AG79" s="285"/>
      <c r="AH79" s="285"/>
      <c r="AI79" s="285"/>
      <c r="AJ79" s="285"/>
      <c r="AK79" s="285"/>
      <c r="AL79" s="285"/>
      <c r="AM79" s="285"/>
      <c r="AN79" s="285"/>
      <c r="AO79" s="285"/>
      <c r="AP79" s="285"/>
      <c r="AQ79" s="285"/>
    </row>
    <row r="80" spans="2:43" s="167" customFormat="1" outlineLevel="1">
      <c r="B80" s="310" t="s">
        <v>41</v>
      </c>
      <c r="C80" s="294" t="s">
        <v>42</v>
      </c>
      <c r="D80" s="294"/>
      <c r="O80" s="197"/>
      <c r="P80" s="198"/>
      <c r="Q80" s="199"/>
      <c r="R80" s="198"/>
      <c r="S80" s="198"/>
      <c r="T80" s="198"/>
      <c r="U80" s="198"/>
      <c r="V80" s="198"/>
      <c r="W80" s="198"/>
      <c r="X80" s="295"/>
      <c r="Y80" s="287"/>
      <c r="Z80" s="295"/>
      <c r="AA80" s="287"/>
      <c r="AB80" s="295"/>
      <c r="AC80" s="295"/>
      <c r="AD80" s="295"/>
      <c r="AE80" s="287"/>
      <c r="AF80" s="295">
        <f t="shared" ref="AF80:AQ80" si="13">AF69/AF67</f>
        <v>0.15236250637787194</v>
      </c>
      <c r="AG80" s="295">
        <f t="shared" si="13"/>
        <v>0.15803437711269755</v>
      </c>
      <c r="AH80" s="295">
        <f t="shared" si="13"/>
        <v>0.15712572924949739</v>
      </c>
      <c r="AI80" s="295">
        <f t="shared" si="13"/>
        <v>0.15373664155389971</v>
      </c>
      <c r="AJ80" s="295">
        <f t="shared" si="13"/>
        <v>0.15865224702940844</v>
      </c>
      <c r="AK80" s="295">
        <f t="shared" si="13"/>
        <v>0.16320108279757634</v>
      </c>
      <c r="AL80" s="295">
        <f t="shared" si="13"/>
        <v>0.16092940858819946</v>
      </c>
      <c r="AM80" s="295">
        <f t="shared" si="13"/>
        <v>0.15968186499109138</v>
      </c>
      <c r="AN80" s="295">
        <f t="shared" si="13"/>
        <v>0.15284848405412668</v>
      </c>
      <c r="AO80" s="295">
        <f t="shared" si="13"/>
        <v>0.15157326441980459</v>
      </c>
      <c r="AP80" s="295">
        <f t="shared" si="13"/>
        <v>0.14877888830210628</v>
      </c>
      <c r="AQ80" s="295">
        <f t="shared" si="13"/>
        <v>0.15416506329192048</v>
      </c>
    </row>
    <row r="81" spans="2:44" s="167" customFormat="1" ht="5.0999999999999996" customHeight="1" outlineLevel="1">
      <c r="B81" s="158"/>
      <c r="C81" s="158"/>
      <c r="D81" s="158"/>
      <c r="O81" s="197"/>
      <c r="P81" s="198"/>
      <c r="Q81" s="199"/>
      <c r="R81" s="198"/>
      <c r="S81" s="198"/>
      <c r="T81" s="198"/>
      <c r="U81" s="198"/>
      <c r="V81" s="198"/>
      <c r="W81" s="198"/>
      <c r="X81" s="285"/>
      <c r="Y81" s="276"/>
      <c r="Z81" s="285"/>
      <c r="AA81" s="276"/>
      <c r="AB81" s="285"/>
      <c r="AC81" s="285"/>
      <c r="AD81" s="285"/>
      <c r="AE81" s="276"/>
      <c r="AF81" s="285"/>
      <c r="AG81" s="285"/>
      <c r="AH81" s="285"/>
      <c r="AI81" s="285"/>
      <c r="AJ81" s="285"/>
      <c r="AK81" s="285"/>
      <c r="AL81" s="285"/>
      <c r="AM81" s="285"/>
      <c r="AN81" s="285"/>
      <c r="AO81" s="285"/>
      <c r="AP81" s="285"/>
      <c r="AQ81" s="285"/>
    </row>
    <row r="82" spans="2:44" s="167" customFormat="1" outlineLevel="1">
      <c r="B82" s="308" t="s">
        <v>43</v>
      </c>
      <c r="C82" s="158" t="s">
        <v>44</v>
      </c>
      <c r="D82" s="158"/>
      <c r="O82" s="197"/>
      <c r="P82" s="198"/>
      <c r="Q82" s="199"/>
      <c r="R82" s="198"/>
      <c r="S82" s="198"/>
      <c r="T82" s="198"/>
      <c r="U82" s="198"/>
      <c r="V82" s="198"/>
      <c r="W82" s="198"/>
      <c r="X82" s="296"/>
      <c r="Y82" s="276"/>
      <c r="Z82" s="296"/>
      <c r="AA82" s="276"/>
      <c r="AB82" s="296"/>
      <c r="AC82" s="296"/>
      <c r="AD82" s="296"/>
      <c r="AE82" s="276"/>
      <c r="AF82" s="296">
        <f t="shared" ref="AF82:AQ82" si="14">AF76/AF67</f>
        <v>0.16835588801702658</v>
      </c>
      <c r="AG82" s="296">
        <f t="shared" si="14"/>
        <v>0.17508002843172343</v>
      </c>
      <c r="AH82" s="296">
        <f t="shared" si="14"/>
        <v>0.17375660189311823</v>
      </c>
      <c r="AI82" s="296">
        <f t="shared" si="14"/>
        <v>0.16930788184833725</v>
      </c>
      <c r="AJ82" s="296">
        <f t="shared" si="14"/>
        <v>0.17391532456899772</v>
      </c>
      <c r="AK82" s="296">
        <f t="shared" si="14"/>
        <v>0.17869474511486061</v>
      </c>
      <c r="AL82" s="296">
        <f t="shared" si="14"/>
        <v>0.17727307664610992</v>
      </c>
      <c r="AM82" s="296">
        <f t="shared" si="14"/>
        <v>0.1755642575244136</v>
      </c>
      <c r="AN82" s="296">
        <f t="shared" si="14"/>
        <v>0.16791219148464151</v>
      </c>
      <c r="AO82" s="296">
        <f t="shared" si="14"/>
        <v>0.16637157642560474</v>
      </c>
      <c r="AP82" s="296">
        <f t="shared" si="14"/>
        <v>0.1633000857340948</v>
      </c>
      <c r="AQ82" s="296">
        <f t="shared" si="14"/>
        <v>0.16869617547841489</v>
      </c>
    </row>
    <row r="83" spans="2:44" s="167" customFormat="1" ht="5.0999999999999996" customHeight="1" outlineLevel="1">
      <c r="B83" s="158"/>
      <c r="C83" s="158"/>
      <c r="D83" s="158"/>
      <c r="O83" s="197"/>
      <c r="P83" s="198"/>
      <c r="Q83" s="199"/>
      <c r="R83" s="198"/>
      <c r="S83" s="198"/>
      <c r="T83" s="198"/>
      <c r="U83" s="198"/>
      <c r="V83" s="198"/>
      <c r="W83" s="198"/>
      <c r="X83" s="285"/>
      <c r="Y83" s="276"/>
      <c r="Z83" s="285"/>
      <c r="AA83" s="276"/>
      <c r="AB83" s="285"/>
      <c r="AC83" s="285"/>
      <c r="AD83" s="285"/>
      <c r="AE83" s="276"/>
      <c r="AF83" s="285"/>
      <c r="AG83" s="285"/>
      <c r="AH83" s="285"/>
      <c r="AI83" s="285"/>
      <c r="AJ83" s="285"/>
      <c r="AK83" s="285"/>
      <c r="AL83" s="285"/>
      <c r="AM83" s="285"/>
      <c r="AN83" s="285"/>
      <c r="AO83" s="285"/>
      <c r="AP83" s="285"/>
      <c r="AQ83" s="285"/>
    </row>
    <row r="84" spans="2:44" s="167" customFormat="1" outlineLevel="1">
      <c r="B84" s="308" t="s">
        <v>45</v>
      </c>
      <c r="C84" s="158" t="s">
        <v>46</v>
      </c>
      <c r="D84" s="158"/>
      <c r="O84" s="197"/>
      <c r="P84" s="198"/>
      <c r="Q84" s="199"/>
      <c r="R84" s="198"/>
      <c r="S84" s="198"/>
      <c r="T84" s="198"/>
      <c r="U84" s="198"/>
      <c r="V84" s="198"/>
      <c r="W84" s="198"/>
      <c r="X84" s="296"/>
      <c r="Y84" s="276"/>
      <c r="Z84" s="296"/>
      <c r="AA84" s="276"/>
      <c r="AB84" s="296"/>
      <c r="AC84" s="296"/>
      <c r="AD84" s="296"/>
      <c r="AE84" s="276"/>
      <c r="AF84" s="296">
        <f t="shared" ref="AF84:AQ84" si="15">AF76/AF65</f>
        <v>0.20524037066088666</v>
      </c>
      <c r="AG84" s="296">
        <f t="shared" si="15"/>
        <v>0.21273329559857951</v>
      </c>
      <c r="AH84" s="296">
        <f t="shared" si="15"/>
        <v>0.21074449011915794</v>
      </c>
      <c r="AI84" s="296">
        <f t="shared" si="15"/>
        <v>0.20636135530135599</v>
      </c>
      <c r="AJ84" s="296">
        <f t="shared" si="15"/>
        <v>0.21234682023244533</v>
      </c>
      <c r="AK84" s="296">
        <f t="shared" si="15"/>
        <v>0.21838284608724304</v>
      </c>
      <c r="AL84" s="296">
        <f t="shared" si="15"/>
        <v>0.21674932573929792</v>
      </c>
      <c r="AM84" s="296">
        <f t="shared" si="15"/>
        <v>0.21434841892032649</v>
      </c>
      <c r="AN84" s="296">
        <f t="shared" si="15"/>
        <v>0.205046964945968</v>
      </c>
      <c r="AO84" s="296">
        <f t="shared" si="15"/>
        <v>0.20436699848860382</v>
      </c>
      <c r="AP84" s="296">
        <f t="shared" si="15"/>
        <v>0.20067652943979347</v>
      </c>
      <c r="AQ84" s="296">
        <f t="shared" si="15"/>
        <v>0.21432634299411762</v>
      </c>
    </row>
    <row r="85" spans="2:44" s="167" customFormat="1" ht="5.0999999999999996" customHeight="1" outlineLevel="1">
      <c r="B85" s="226"/>
      <c r="C85" s="226"/>
      <c r="D85" s="226"/>
      <c r="O85" s="197"/>
      <c r="P85" s="198"/>
      <c r="Q85" s="199"/>
      <c r="R85" s="198"/>
      <c r="S85" s="198"/>
      <c r="T85" s="198"/>
      <c r="U85" s="198"/>
      <c r="V85" s="198"/>
      <c r="W85" s="198"/>
      <c r="X85" s="563"/>
      <c r="Y85" s="563"/>
      <c r="Z85" s="563"/>
      <c r="AA85" s="563"/>
      <c r="AB85" s="563"/>
      <c r="AC85" s="563"/>
      <c r="AD85" s="563"/>
      <c r="AE85" s="563"/>
      <c r="AF85" s="563"/>
      <c r="AG85" s="563"/>
      <c r="AH85" s="563"/>
      <c r="AI85" s="563"/>
      <c r="AJ85" s="563"/>
      <c r="AK85" s="563"/>
      <c r="AL85" s="563"/>
      <c r="AM85" s="563"/>
      <c r="AN85" s="563"/>
      <c r="AO85" s="563"/>
      <c r="AP85" s="563"/>
      <c r="AQ85" s="563"/>
      <c r="AR85" s="563"/>
    </row>
    <row r="86" spans="2:44" s="167" customFormat="1" ht="6" customHeight="1" outlineLevel="1">
      <c r="B86" s="158"/>
      <c r="C86" s="158"/>
      <c r="D86" s="158"/>
      <c r="O86" s="197"/>
      <c r="P86" s="198"/>
      <c r="Q86" s="199"/>
      <c r="R86" s="198"/>
      <c r="S86" s="198"/>
      <c r="T86" s="198"/>
      <c r="U86" s="198"/>
      <c r="V86" s="198"/>
      <c r="W86" s="198"/>
      <c r="X86" s="276"/>
      <c r="Y86" s="276"/>
      <c r="Z86" s="276"/>
      <c r="AA86" s="276"/>
      <c r="AB86" s="276"/>
      <c r="AC86" s="276"/>
      <c r="AD86" s="276"/>
      <c r="AE86" s="276"/>
      <c r="AF86" s="276"/>
      <c r="AG86" s="564"/>
      <c r="AH86" s="564"/>
      <c r="AI86" s="564"/>
      <c r="AJ86" s="564"/>
      <c r="AK86" s="564"/>
      <c r="AL86" s="564"/>
      <c r="AM86" s="210"/>
    </row>
    <row r="87" spans="2:44" s="167" customFormat="1" ht="30" customHeight="1" outlineLevel="1">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G87" s="564"/>
      <c r="AH87" s="564"/>
      <c r="AI87" s="564"/>
      <c r="AJ87" s="564"/>
      <c r="AK87" s="564"/>
      <c r="AL87" s="210"/>
    </row>
    <row r="88" spans="2:44" s="167" customFormat="1">
      <c r="B88" s="1132"/>
      <c r="O88" s="197"/>
      <c r="P88" s="198"/>
      <c r="Q88" s="199"/>
      <c r="R88" s="198"/>
      <c r="S88" s="198"/>
      <c r="T88" s="198"/>
      <c r="U88" s="198"/>
      <c r="V88" s="198"/>
      <c r="W88" s="198"/>
      <c r="X88" s="196"/>
      <c r="Y88" s="196"/>
      <c r="Z88" s="196"/>
      <c r="AA88" s="196"/>
      <c r="AB88" s="196"/>
      <c r="AC88" s="196"/>
      <c r="AD88" s="196"/>
      <c r="AE88" s="196"/>
      <c r="AF88" s="196"/>
      <c r="AG88" s="564"/>
      <c r="AH88" s="564"/>
      <c r="AI88" s="564"/>
      <c r="AJ88" s="564"/>
      <c r="AK88" s="564"/>
      <c r="AL88" s="210"/>
    </row>
    <row r="89" spans="2:44">
      <c r="R89" s="282"/>
      <c r="S89" s="282"/>
      <c r="T89" s="282"/>
      <c r="U89" s="282"/>
      <c r="V89" s="282"/>
      <c r="W89" s="282"/>
      <c r="X89" s="278"/>
      <c r="Y89" s="278"/>
      <c r="Z89" s="278"/>
      <c r="AA89" s="278"/>
      <c r="AB89" s="278"/>
      <c r="AC89" s="278"/>
      <c r="AD89" s="278"/>
      <c r="AE89" s="278"/>
      <c r="AF89" s="278"/>
      <c r="AG89" s="278"/>
      <c r="AH89" s="278"/>
      <c r="AI89" s="278"/>
      <c r="AJ89" s="278"/>
      <c r="AK89" s="278"/>
      <c r="AL89" s="282"/>
    </row>
    <row r="90" spans="2:44" ht="15.75">
      <c r="B90" s="286" t="s">
        <v>529</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78"/>
      <c r="AH90" s="278"/>
      <c r="AI90" s="278"/>
      <c r="AJ90" s="278"/>
      <c r="AK90" s="278"/>
      <c r="AL90" s="282"/>
    </row>
    <row r="91" spans="2:44">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278"/>
      <c r="AH91" s="278"/>
      <c r="AI91" s="278"/>
      <c r="AJ91" s="278"/>
      <c r="AK91" s="278"/>
      <c r="AL91" s="282"/>
    </row>
    <row r="92" spans="2:44">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944"/>
      <c r="AD92" s="211">
        <v>2007</v>
      </c>
      <c r="AE92" s="196"/>
      <c r="AF92" s="1012">
        <v>2009</v>
      </c>
      <c r="AG92" s="1520">
        <v>2010</v>
      </c>
      <c r="AH92" s="1520">
        <v>2011</v>
      </c>
      <c r="AI92" s="1520">
        <v>2012</v>
      </c>
      <c r="AJ92" s="1520">
        <v>2013</v>
      </c>
      <c r="AK92" s="1520">
        <v>2014</v>
      </c>
      <c r="AL92" s="1520">
        <v>2015</v>
      </c>
      <c r="AM92" s="1520">
        <v>2016</v>
      </c>
      <c r="AN92" s="1520">
        <v>2017</v>
      </c>
      <c r="AO92" s="1520">
        <v>2018</v>
      </c>
      <c r="AP92" s="1520">
        <v>2019</v>
      </c>
      <c r="AQ92" s="1520">
        <v>2020</v>
      </c>
      <c r="AR92" s="1520">
        <v>2021</v>
      </c>
    </row>
    <row r="93" spans="2:44">
      <c r="R93" s="282"/>
      <c r="S93" s="282"/>
      <c r="T93" s="282"/>
      <c r="U93" s="282"/>
      <c r="V93" s="282"/>
      <c r="W93" s="282"/>
      <c r="X93" s="278"/>
      <c r="Y93" s="278"/>
      <c r="Z93" s="278"/>
      <c r="AA93" s="278"/>
      <c r="AB93" s="278"/>
      <c r="AC93" s="278"/>
      <c r="AD93" s="278"/>
      <c r="AE93" s="278"/>
      <c r="AF93" s="278"/>
      <c r="AG93" s="278"/>
      <c r="AH93" s="278"/>
      <c r="AI93" s="278"/>
      <c r="AJ93" s="278"/>
      <c r="AK93" s="278"/>
      <c r="AL93" s="282"/>
    </row>
    <row r="94" spans="2:44" ht="15.75">
      <c r="B94" s="1187" t="s">
        <v>530</v>
      </c>
      <c r="C94" s="276"/>
      <c r="D94" s="276"/>
      <c r="E94" s="276"/>
      <c r="F94" s="276"/>
      <c r="G94" s="276"/>
      <c r="H94" s="276"/>
      <c r="I94" s="276"/>
      <c r="J94" s="276"/>
      <c r="K94" s="276"/>
      <c r="L94" s="276"/>
      <c r="M94" s="276"/>
      <c r="N94" s="276"/>
      <c r="O94" s="276"/>
      <c r="P94" s="276"/>
      <c r="Q94" s="276"/>
      <c r="R94" s="302" t="e">
        <f t="shared" ref="R94:W94" si="16">SUM(R109:R146)</f>
        <v>#REF!</v>
      </c>
      <c r="S94" s="302" t="e">
        <f t="shared" si="16"/>
        <v>#REF!</v>
      </c>
      <c r="T94" s="302" t="e">
        <f t="shared" si="16"/>
        <v>#REF!</v>
      </c>
      <c r="U94" s="302" t="e">
        <f t="shared" si="16"/>
        <v>#REF!</v>
      </c>
      <c r="V94" s="302" t="e">
        <f t="shared" si="16"/>
        <v>#REF!</v>
      </c>
      <c r="W94" s="302" t="e">
        <f t="shared" si="16"/>
        <v>#REF!</v>
      </c>
      <c r="X94" s="302"/>
      <c r="Y94" s="302"/>
      <c r="Z94" s="302"/>
      <c r="AA94" s="302"/>
      <c r="AB94" s="302"/>
      <c r="AC94" s="302"/>
      <c r="AD94" s="302"/>
      <c r="AE94" s="302"/>
      <c r="AF94" s="1521">
        <v>1322</v>
      </c>
      <c r="AG94" s="1521">
        <v>1643</v>
      </c>
      <c r="AH94" s="1521">
        <v>1285</v>
      </c>
      <c r="AI94" s="1521">
        <v>1608</v>
      </c>
      <c r="AJ94" s="1521">
        <v>2972</v>
      </c>
      <c r="AK94" s="1521">
        <v>3308</v>
      </c>
      <c r="AL94" s="1521">
        <v>3257</v>
      </c>
      <c r="AM94" s="1521">
        <v>3310</v>
      </c>
      <c r="AN94" s="1521">
        <v>5050</v>
      </c>
      <c r="AO94" s="1521">
        <v>5480</v>
      </c>
      <c r="AP94" s="1521">
        <v>5820</v>
      </c>
      <c r="AQ94" s="1521">
        <v>5950</v>
      </c>
      <c r="AR94" s="1521">
        <v>7120</v>
      </c>
    </row>
    <row r="95" spans="2:44">
      <c r="B95" s="1174"/>
      <c r="C95" s="276"/>
      <c r="D95" s="276"/>
      <c r="E95" s="276"/>
      <c r="F95" s="276"/>
      <c r="G95" s="276"/>
      <c r="H95" s="276"/>
      <c r="I95" s="276"/>
      <c r="J95" s="276"/>
      <c r="K95" s="276"/>
      <c r="L95" s="276"/>
      <c r="M95" s="276"/>
      <c r="N95" s="276"/>
      <c r="O95" s="276"/>
      <c r="P95" s="276"/>
      <c r="Q95" s="276"/>
      <c r="R95" s="278"/>
      <c r="S95" s="278"/>
      <c r="T95" s="278"/>
      <c r="U95" s="278"/>
      <c r="V95" s="278"/>
      <c r="W95" s="278"/>
      <c r="X95" s="278"/>
      <c r="Y95" s="278"/>
      <c r="Z95" s="278"/>
      <c r="AA95" s="278"/>
      <c r="AB95" s="278"/>
      <c r="AC95" s="278"/>
      <c r="AD95" s="278"/>
      <c r="AE95" s="278"/>
      <c r="AF95" s="747"/>
      <c r="AG95" s="747"/>
      <c r="AH95" s="747"/>
      <c r="AI95" s="747"/>
      <c r="AJ95" s="747"/>
      <c r="AK95" s="747"/>
      <c r="AL95" s="747"/>
      <c r="AM95" s="747"/>
      <c r="AN95" s="747"/>
      <c r="AO95" s="747"/>
      <c r="AP95" s="747"/>
      <c r="AQ95" s="747"/>
      <c r="AR95" s="747"/>
    </row>
    <row r="96" spans="2:44">
      <c r="B96" s="1174" t="s">
        <v>54</v>
      </c>
      <c r="C96" s="276"/>
      <c r="D96" s="276"/>
      <c r="E96" s="276"/>
      <c r="F96" s="276"/>
      <c r="G96" s="276"/>
      <c r="H96" s="276"/>
      <c r="I96" s="276"/>
      <c r="J96" s="276"/>
      <c r="K96" s="276"/>
      <c r="L96" s="276"/>
      <c r="M96" s="276"/>
      <c r="N96" s="276"/>
      <c r="O96" s="276"/>
      <c r="P96" s="276"/>
      <c r="Q96" s="276"/>
      <c r="R96" s="278"/>
      <c r="S96" s="278"/>
      <c r="T96" s="278"/>
      <c r="U96" s="278"/>
      <c r="V96" s="278"/>
      <c r="W96" s="278"/>
      <c r="X96" s="278"/>
      <c r="Y96" s="278"/>
      <c r="Z96" s="278"/>
      <c r="AA96" s="278"/>
      <c r="AB96" s="278"/>
      <c r="AC96" s="278"/>
      <c r="AD96" s="278"/>
      <c r="AE96" s="278"/>
      <c r="AF96" s="747"/>
      <c r="AG96" s="747"/>
      <c r="AH96" s="747"/>
      <c r="AI96" s="747"/>
      <c r="AJ96" s="747"/>
      <c r="AK96" s="747"/>
      <c r="AL96" s="747"/>
      <c r="AM96" s="747"/>
      <c r="AN96" s="747"/>
      <c r="AO96" s="747"/>
      <c r="AP96" s="747"/>
      <c r="AQ96" s="747"/>
      <c r="AR96" s="747"/>
    </row>
    <row r="97" spans="2:44">
      <c r="B97" s="1181" t="s">
        <v>505</v>
      </c>
      <c r="C97" s="1182"/>
      <c r="D97" s="276"/>
      <c r="E97" s="276"/>
      <c r="F97" s="276"/>
      <c r="G97" s="276"/>
      <c r="H97" s="276"/>
      <c r="I97" s="276"/>
      <c r="J97" s="276"/>
      <c r="K97" s="276"/>
      <c r="L97" s="276"/>
      <c r="M97" s="276"/>
      <c r="N97" s="276"/>
      <c r="O97" s="276"/>
      <c r="P97" s="276"/>
      <c r="Q97" s="276"/>
      <c r="R97" s="278"/>
      <c r="S97" s="278"/>
      <c r="T97" s="278"/>
      <c r="U97" s="278"/>
      <c r="V97" s="278"/>
      <c r="W97" s="278"/>
      <c r="X97" s="278"/>
      <c r="Y97" s="278"/>
      <c r="Z97" s="278"/>
      <c r="AA97" s="278"/>
      <c r="AB97" s="278"/>
      <c r="AC97" s="278"/>
      <c r="AD97" s="278"/>
      <c r="AE97" s="278"/>
      <c r="AF97" s="1522">
        <v>1180</v>
      </c>
      <c r="AG97" s="1522">
        <v>1500</v>
      </c>
      <c r="AH97" s="1522">
        <v>1120</v>
      </c>
      <c r="AI97" s="1522">
        <v>1440</v>
      </c>
      <c r="AJ97" s="1522">
        <v>2740</v>
      </c>
      <c r="AK97" s="1522">
        <v>3060</v>
      </c>
      <c r="AL97" s="1522">
        <v>2980</v>
      </c>
      <c r="AM97" s="1522">
        <v>3020</v>
      </c>
      <c r="AN97" s="1522">
        <v>4800</v>
      </c>
      <c r="AO97" s="1522">
        <v>5210</v>
      </c>
      <c r="AP97" s="1522">
        <v>5530</v>
      </c>
      <c r="AQ97" s="1522">
        <v>5640</v>
      </c>
      <c r="AR97" s="1522">
        <v>6750</v>
      </c>
    </row>
    <row r="98" spans="2:44" ht="15" customHeight="1">
      <c r="B98" s="1175" t="s">
        <v>531</v>
      </c>
      <c r="C98" s="1176"/>
      <c r="D98" s="276"/>
      <c r="E98" s="276"/>
      <c r="F98" s="276"/>
      <c r="G98" s="276"/>
      <c r="H98" s="276"/>
      <c r="I98" s="276"/>
      <c r="J98" s="276"/>
      <c r="K98" s="276"/>
      <c r="L98" s="276"/>
      <c r="M98" s="276"/>
      <c r="N98" s="276"/>
      <c r="O98" s="276"/>
      <c r="P98" s="276"/>
      <c r="Q98" s="276"/>
      <c r="R98" s="278"/>
      <c r="S98" s="278"/>
      <c r="T98" s="278"/>
      <c r="U98" s="278"/>
      <c r="V98" s="278"/>
      <c r="W98" s="278"/>
      <c r="X98" s="278"/>
      <c r="Y98" s="278"/>
      <c r="Z98" s="278"/>
      <c r="AA98" s="278"/>
      <c r="AB98" s="278"/>
      <c r="AC98" s="278"/>
      <c r="AD98" s="278"/>
      <c r="AE98" s="278"/>
      <c r="AF98" s="1522">
        <v>2</v>
      </c>
      <c r="AG98" s="1522">
        <v>3</v>
      </c>
      <c r="AH98" s="1522">
        <v>5</v>
      </c>
      <c r="AI98" s="1522">
        <v>8</v>
      </c>
      <c r="AJ98" s="1522">
        <v>32</v>
      </c>
      <c r="AK98" s="1522">
        <v>38</v>
      </c>
      <c r="AL98" s="1522">
        <v>67</v>
      </c>
      <c r="AM98" s="1522">
        <v>70</v>
      </c>
      <c r="AN98" s="1522">
        <v>0</v>
      </c>
      <c r="AO98" s="1522">
        <v>0</v>
      </c>
      <c r="AP98" s="1522">
        <v>0</v>
      </c>
      <c r="AQ98" s="1522">
        <v>0</v>
      </c>
      <c r="AR98" s="1522">
        <v>0</v>
      </c>
    </row>
    <row r="99" spans="2:44">
      <c r="B99" s="1181" t="s">
        <v>72</v>
      </c>
      <c r="C99" s="1182"/>
      <c r="D99" s="276"/>
      <c r="E99" s="276"/>
      <c r="F99" s="276"/>
      <c r="G99" s="276"/>
      <c r="H99" s="276"/>
      <c r="I99" s="276"/>
      <c r="J99" s="276"/>
      <c r="K99" s="276"/>
      <c r="L99" s="276"/>
      <c r="M99" s="276"/>
      <c r="N99" s="276"/>
      <c r="O99" s="276"/>
      <c r="P99" s="276"/>
      <c r="Q99" s="276"/>
      <c r="R99" s="278"/>
      <c r="S99" s="278"/>
      <c r="T99" s="278"/>
      <c r="U99" s="278"/>
      <c r="V99" s="278"/>
      <c r="W99" s="278"/>
      <c r="X99" s="278"/>
      <c r="Y99" s="278"/>
      <c r="Z99" s="278"/>
      <c r="AA99" s="278"/>
      <c r="AB99" s="278"/>
      <c r="AC99" s="278"/>
      <c r="AD99" s="278"/>
      <c r="AE99" s="278"/>
      <c r="AF99" s="1522"/>
      <c r="AG99" s="1522"/>
      <c r="AH99" s="1522"/>
      <c r="AI99" s="1522"/>
      <c r="AJ99" s="1522"/>
      <c r="AK99" s="1522"/>
      <c r="AL99" s="1522"/>
      <c r="AM99" s="1522"/>
      <c r="AN99" s="1522"/>
      <c r="AO99" s="1522"/>
      <c r="AP99" s="1522"/>
      <c r="AQ99" s="1522"/>
      <c r="AR99" s="1522"/>
    </row>
    <row r="100" spans="2:44">
      <c r="B100" s="1181" t="s">
        <v>75</v>
      </c>
      <c r="C100" s="1182"/>
      <c r="D100" s="276"/>
      <c r="E100" s="276"/>
      <c r="F100" s="276"/>
      <c r="G100" s="276"/>
      <c r="H100" s="276"/>
      <c r="I100" s="276"/>
      <c r="J100" s="276"/>
      <c r="K100" s="276"/>
      <c r="L100" s="276"/>
      <c r="M100" s="276"/>
      <c r="N100" s="276"/>
      <c r="O100" s="276"/>
      <c r="P100" s="276"/>
      <c r="Q100" s="276"/>
      <c r="R100" s="278"/>
      <c r="S100" s="278"/>
      <c r="T100" s="278"/>
      <c r="U100" s="278"/>
      <c r="V100" s="278"/>
      <c r="W100" s="278"/>
      <c r="X100" s="278"/>
      <c r="Y100" s="278"/>
      <c r="Z100" s="278"/>
      <c r="AA100" s="278"/>
      <c r="AB100" s="278"/>
      <c r="AC100" s="278"/>
      <c r="AD100" s="278"/>
      <c r="AE100" s="278"/>
      <c r="AF100" s="1522"/>
      <c r="AG100" s="1522"/>
      <c r="AH100" s="1522"/>
      <c r="AI100" s="1522"/>
      <c r="AJ100" s="1522"/>
      <c r="AK100" s="1522"/>
      <c r="AL100" s="1522"/>
      <c r="AM100" s="1522"/>
      <c r="AN100" s="1522"/>
      <c r="AO100" s="1522"/>
      <c r="AP100" s="1522"/>
      <c r="AQ100" s="1522"/>
      <c r="AR100" s="1522"/>
    </row>
    <row r="101" spans="2:44">
      <c r="B101" s="1181" t="s">
        <v>76</v>
      </c>
      <c r="C101" s="1182"/>
      <c r="D101" s="276"/>
      <c r="E101" s="276"/>
      <c r="F101" s="276"/>
      <c r="G101" s="276"/>
      <c r="H101" s="276"/>
      <c r="I101" s="276"/>
      <c r="J101" s="276"/>
      <c r="K101" s="276"/>
      <c r="L101" s="276"/>
      <c r="M101" s="276"/>
      <c r="N101" s="276"/>
      <c r="O101" s="276"/>
      <c r="P101" s="276"/>
      <c r="Q101" s="276"/>
      <c r="R101" s="278"/>
      <c r="S101" s="278"/>
      <c r="T101" s="278"/>
      <c r="U101" s="278"/>
      <c r="V101" s="278"/>
      <c r="W101" s="278"/>
      <c r="X101" s="278"/>
      <c r="Y101" s="278"/>
      <c r="Z101" s="278"/>
      <c r="AA101" s="278"/>
      <c r="AB101" s="278"/>
      <c r="AC101" s="278"/>
      <c r="AD101" s="278"/>
      <c r="AE101" s="278"/>
      <c r="AF101" s="1522">
        <v>80</v>
      </c>
      <c r="AG101" s="1522">
        <v>80</v>
      </c>
      <c r="AH101" s="1522">
        <v>100</v>
      </c>
      <c r="AI101" s="1522">
        <v>100</v>
      </c>
      <c r="AJ101" s="1522">
        <v>110</v>
      </c>
      <c r="AK101" s="1522">
        <v>120</v>
      </c>
      <c r="AL101" s="1522">
        <v>120</v>
      </c>
      <c r="AM101" s="1522">
        <v>120</v>
      </c>
      <c r="AN101" s="1522">
        <v>140</v>
      </c>
      <c r="AO101" s="1522">
        <v>150</v>
      </c>
      <c r="AP101" s="1522">
        <v>160</v>
      </c>
      <c r="AQ101" s="1522">
        <v>170</v>
      </c>
      <c r="AR101" s="1522">
        <v>210</v>
      </c>
    </row>
    <row r="102" spans="2:44">
      <c r="B102" s="1181"/>
      <c r="C102" s="1182"/>
      <c r="D102" s="276"/>
      <c r="E102" s="276"/>
      <c r="F102" s="276"/>
      <c r="G102" s="276"/>
      <c r="H102" s="276"/>
      <c r="I102" s="276"/>
      <c r="J102" s="276"/>
      <c r="K102" s="276"/>
      <c r="L102" s="276"/>
      <c r="M102" s="276"/>
      <c r="N102" s="276"/>
      <c r="O102" s="276"/>
      <c r="P102" s="276"/>
      <c r="Q102" s="276"/>
      <c r="R102" s="278"/>
      <c r="S102" s="278"/>
      <c r="T102" s="278"/>
      <c r="U102" s="278"/>
      <c r="V102" s="278"/>
      <c r="W102" s="278"/>
      <c r="X102" s="278"/>
      <c r="Y102" s="278"/>
      <c r="Z102" s="278"/>
      <c r="AA102" s="278"/>
      <c r="AB102" s="278"/>
      <c r="AC102" s="278"/>
      <c r="AD102" s="278"/>
      <c r="AE102" s="278"/>
      <c r="AF102" s="1522"/>
      <c r="AG102" s="1522"/>
      <c r="AH102" s="1522"/>
      <c r="AI102" s="1522"/>
      <c r="AJ102" s="1522"/>
      <c r="AK102" s="1522"/>
      <c r="AL102" s="1522"/>
      <c r="AM102" s="1522"/>
      <c r="AN102" s="1522"/>
      <c r="AO102" s="1522"/>
      <c r="AP102" s="1522"/>
      <c r="AQ102" s="1522"/>
      <c r="AR102" s="1522"/>
    </row>
    <row r="103" spans="2:44" ht="14.25">
      <c r="B103" s="1181" t="s">
        <v>77</v>
      </c>
      <c r="C103" s="1182"/>
      <c r="D103" s="276"/>
      <c r="E103" s="276"/>
      <c r="F103" s="276"/>
      <c r="G103" s="276"/>
      <c r="H103" s="276"/>
      <c r="I103" s="276"/>
      <c r="J103" s="276"/>
      <c r="K103" s="276"/>
      <c r="L103" s="276"/>
      <c r="M103" s="276"/>
      <c r="N103" s="276"/>
      <c r="O103" s="276"/>
      <c r="P103" s="276"/>
      <c r="Q103" s="276"/>
      <c r="R103" s="278"/>
      <c r="S103" s="278"/>
      <c r="T103" s="278"/>
      <c r="U103" s="278"/>
      <c r="V103" s="278"/>
      <c r="W103" s="278"/>
      <c r="X103" s="278"/>
      <c r="Y103" s="278"/>
      <c r="Z103" s="278"/>
      <c r="AA103" s="278"/>
      <c r="AB103" s="278"/>
      <c r="AC103" s="278"/>
      <c r="AD103" s="278"/>
      <c r="AE103" s="278"/>
      <c r="AF103" s="1522"/>
      <c r="AG103" s="1522"/>
      <c r="AH103" s="1522"/>
      <c r="AI103" s="1522"/>
      <c r="AJ103" s="1522"/>
      <c r="AK103" s="1522"/>
      <c r="AL103" s="1522"/>
      <c r="AM103" s="1522"/>
      <c r="AN103" s="1522"/>
      <c r="AO103" s="1522"/>
      <c r="AP103" s="1522"/>
      <c r="AQ103" s="1522"/>
      <c r="AR103" s="1522"/>
    </row>
    <row r="104" spans="2:44">
      <c r="B104" s="1523" t="s">
        <v>532</v>
      </c>
      <c r="C104" s="1182"/>
      <c r="D104" s="276"/>
      <c r="E104" s="276"/>
      <c r="F104" s="276"/>
      <c r="G104" s="276"/>
      <c r="H104" s="276"/>
      <c r="I104" s="276"/>
      <c r="J104" s="276"/>
      <c r="K104" s="276"/>
      <c r="L104" s="276"/>
      <c r="M104" s="276"/>
      <c r="N104" s="276"/>
      <c r="O104" s="276"/>
      <c r="P104" s="276"/>
      <c r="Q104" s="276"/>
      <c r="R104" s="278"/>
      <c r="S104" s="278"/>
      <c r="T104" s="278"/>
      <c r="U104" s="278"/>
      <c r="V104" s="278"/>
      <c r="W104" s="278"/>
      <c r="X104" s="278"/>
      <c r="Y104" s="278"/>
      <c r="Z104" s="278"/>
      <c r="AA104" s="278"/>
      <c r="AB104" s="278"/>
      <c r="AC104" s="278"/>
      <c r="AD104" s="278"/>
      <c r="AE104" s="278"/>
      <c r="AF104" s="1522"/>
      <c r="AG104" s="1522"/>
      <c r="AH104" s="1522"/>
      <c r="AI104" s="1522"/>
      <c r="AJ104" s="1522"/>
      <c r="AK104" s="1522"/>
      <c r="AL104" s="1522"/>
      <c r="AM104" s="1522"/>
      <c r="AN104" s="1522"/>
      <c r="AO104" s="1522"/>
      <c r="AP104" s="1522"/>
      <c r="AQ104" s="1522"/>
      <c r="AR104" s="1522"/>
    </row>
    <row r="105" spans="2:44">
      <c r="B105" s="1181" t="s">
        <v>73</v>
      </c>
      <c r="C105" s="1182"/>
      <c r="D105" s="276"/>
      <c r="E105" s="276"/>
      <c r="F105" s="276"/>
      <c r="G105" s="276"/>
      <c r="H105" s="276"/>
      <c r="I105" s="276"/>
      <c r="J105" s="276"/>
      <c r="K105" s="276"/>
      <c r="L105" s="276"/>
      <c r="M105" s="276"/>
      <c r="N105" s="276"/>
      <c r="O105" s="276"/>
      <c r="P105" s="276"/>
      <c r="Q105" s="276"/>
      <c r="R105" s="278"/>
      <c r="S105" s="278"/>
      <c r="T105" s="278"/>
      <c r="U105" s="278"/>
      <c r="V105" s="278"/>
      <c r="W105" s="278"/>
      <c r="X105" s="278"/>
      <c r="Y105" s="278"/>
      <c r="Z105" s="278"/>
      <c r="AA105" s="278"/>
      <c r="AB105" s="278"/>
      <c r="AC105" s="278"/>
      <c r="AD105" s="278"/>
      <c r="AE105" s="278"/>
      <c r="AF105" s="1522"/>
      <c r="AG105" s="1522"/>
      <c r="AH105" s="1522"/>
      <c r="AI105" s="1522"/>
      <c r="AJ105" s="1522"/>
      <c r="AK105" s="1522"/>
      <c r="AL105" s="1522"/>
      <c r="AM105" s="1522"/>
      <c r="AN105" s="1522"/>
      <c r="AO105" s="1522"/>
      <c r="AP105" s="1522"/>
      <c r="AQ105" s="1522"/>
      <c r="AR105" s="1522"/>
    </row>
    <row r="106" spans="2:44">
      <c r="B106" s="1181" t="s">
        <v>74</v>
      </c>
      <c r="C106" s="1182"/>
      <c r="D106" s="276"/>
      <c r="E106" s="276"/>
      <c r="F106" s="276"/>
      <c r="G106" s="276"/>
      <c r="H106" s="276"/>
      <c r="I106" s="276"/>
      <c r="J106" s="276"/>
      <c r="K106" s="276"/>
      <c r="L106" s="276"/>
      <c r="M106" s="276"/>
      <c r="N106" s="276"/>
      <c r="O106" s="276"/>
      <c r="P106" s="276"/>
      <c r="Q106" s="276"/>
      <c r="R106" s="278"/>
      <c r="S106" s="278"/>
      <c r="T106" s="278"/>
      <c r="U106" s="278"/>
      <c r="V106" s="278"/>
      <c r="W106" s="278"/>
      <c r="X106" s="278"/>
      <c r="Y106" s="278"/>
      <c r="Z106" s="278"/>
      <c r="AA106" s="278"/>
      <c r="AB106" s="278"/>
      <c r="AC106" s="278"/>
      <c r="AD106" s="278"/>
      <c r="AE106" s="278"/>
      <c r="AF106" s="1522">
        <v>30</v>
      </c>
      <c r="AG106" s="1522">
        <v>30</v>
      </c>
      <c r="AH106" s="1522">
        <v>30</v>
      </c>
      <c r="AI106" s="1522">
        <v>30</v>
      </c>
      <c r="AJ106" s="1522">
        <v>40</v>
      </c>
      <c r="AK106" s="1522">
        <v>40</v>
      </c>
      <c r="AL106" s="1522">
        <v>40</v>
      </c>
      <c r="AM106" s="1522">
        <v>50</v>
      </c>
      <c r="AN106" s="1522">
        <v>50</v>
      </c>
      <c r="AO106" s="1522">
        <v>50</v>
      </c>
      <c r="AP106" s="1522">
        <v>50</v>
      </c>
      <c r="AQ106" s="1522">
        <v>30</v>
      </c>
      <c r="AR106" s="1522">
        <v>30</v>
      </c>
    </row>
    <row r="107" spans="2:44">
      <c r="B107" s="1181" t="s">
        <v>533</v>
      </c>
      <c r="C107" s="1182"/>
      <c r="D107" s="276"/>
      <c r="E107" s="276"/>
      <c r="F107" s="276"/>
      <c r="G107" s="276"/>
      <c r="H107" s="276"/>
      <c r="I107" s="276"/>
      <c r="J107" s="276"/>
      <c r="K107" s="276"/>
      <c r="L107" s="276"/>
      <c r="M107" s="276"/>
      <c r="N107" s="276"/>
      <c r="O107" s="276"/>
      <c r="P107" s="276"/>
      <c r="Q107" s="276"/>
      <c r="R107" s="278"/>
      <c r="S107" s="278"/>
      <c r="T107" s="278"/>
      <c r="U107" s="278"/>
      <c r="V107" s="278"/>
      <c r="W107" s="278"/>
      <c r="X107" s="278"/>
      <c r="Y107" s="278"/>
      <c r="Z107" s="278"/>
      <c r="AA107" s="278"/>
      <c r="AB107" s="278"/>
      <c r="AC107" s="278"/>
      <c r="AD107" s="278"/>
      <c r="AE107" s="278"/>
      <c r="AF107" s="1522">
        <v>30</v>
      </c>
      <c r="AG107" s="1522">
        <v>30</v>
      </c>
      <c r="AH107" s="1522">
        <v>30</v>
      </c>
      <c r="AI107" s="1522">
        <v>30</v>
      </c>
      <c r="AJ107" s="1522">
        <v>50</v>
      </c>
      <c r="AK107" s="1522">
        <v>50</v>
      </c>
      <c r="AL107" s="1522">
        <v>50</v>
      </c>
      <c r="AM107" s="1522">
        <v>50</v>
      </c>
      <c r="AN107" s="1522">
        <v>60</v>
      </c>
      <c r="AO107" s="1522">
        <v>70</v>
      </c>
      <c r="AP107" s="1522">
        <v>80</v>
      </c>
      <c r="AQ107" s="1522">
        <v>110</v>
      </c>
      <c r="AR107" s="1522">
        <v>130</v>
      </c>
    </row>
    <row r="108" spans="2:44">
      <c r="B108" s="1187"/>
      <c r="C108" s="276"/>
      <c r="D108" s="276"/>
      <c r="E108" s="276"/>
      <c r="F108" s="276"/>
      <c r="G108" s="276"/>
      <c r="H108" s="276"/>
      <c r="I108" s="276"/>
      <c r="J108" s="276"/>
      <c r="K108" s="276"/>
      <c r="L108" s="276"/>
      <c r="M108" s="276"/>
      <c r="N108" s="276"/>
      <c r="O108" s="276"/>
      <c r="P108" s="276"/>
      <c r="Q108" s="276"/>
      <c r="R108" s="278"/>
      <c r="S108" s="278"/>
      <c r="T108" s="278"/>
      <c r="U108" s="278"/>
      <c r="V108" s="278"/>
      <c r="W108" s="278"/>
      <c r="X108" s="278"/>
      <c r="Y108" s="278"/>
      <c r="Z108" s="278"/>
      <c r="AA108" s="278"/>
      <c r="AB108" s="278"/>
      <c r="AC108" s="278"/>
      <c r="AD108" s="278"/>
      <c r="AE108" s="278"/>
      <c r="AF108" s="1522"/>
      <c r="AG108" s="1522"/>
      <c r="AH108" s="1522"/>
      <c r="AI108" s="1522"/>
      <c r="AJ108" s="1522"/>
      <c r="AK108" s="1522"/>
      <c r="AL108" s="1522"/>
      <c r="AM108" s="1522"/>
      <c r="AN108" s="1522"/>
      <c r="AO108" s="1522"/>
      <c r="AP108" s="1522"/>
      <c r="AQ108" s="1522"/>
      <c r="AR108" s="1522"/>
    </row>
    <row r="109" spans="2:44">
      <c r="B109" s="1187" t="s">
        <v>78</v>
      </c>
      <c r="C109" s="285"/>
      <c r="D109" s="276"/>
      <c r="E109" s="276"/>
      <c r="F109" s="276"/>
      <c r="G109" s="276"/>
      <c r="H109" s="276"/>
      <c r="I109" s="276"/>
      <c r="J109" s="276"/>
      <c r="K109" s="276"/>
      <c r="L109" s="276"/>
      <c r="M109" s="276"/>
      <c r="N109" s="276"/>
      <c r="O109" s="276"/>
      <c r="P109" s="276"/>
      <c r="Q109" s="276"/>
      <c r="R109" s="302" t="e">
        <f>#REF!</f>
        <v>#REF!</v>
      </c>
      <c r="S109" s="302" t="e">
        <f>#REF!</f>
        <v>#REF!</v>
      </c>
      <c r="T109" s="302" t="e">
        <f>#REF!</f>
        <v>#REF!</v>
      </c>
      <c r="U109" s="302" t="e">
        <f>#REF!</f>
        <v>#REF!</v>
      </c>
      <c r="V109" s="302" t="e">
        <f>#REF!</f>
        <v>#REF!</v>
      </c>
      <c r="W109" s="302" t="e">
        <f>#REF!</f>
        <v>#REF!</v>
      </c>
      <c r="X109" s="302"/>
      <c r="Y109" s="302"/>
      <c r="Z109" s="302"/>
      <c r="AA109" s="302"/>
      <c r="AB109" s="302"/>
      <c r="AC109" s="302"/>
      <c r="AD109" s="302"/>
      <c r="AE109" s="302"/>
      <c r="AF109" s="1521">
        <v>170</v>
      </c>
      <c r="AG109" s="1521">
        <v>180</v>
      </c>
      <c r="AH109" s="1521">
        <v>220</v>
      </c>
      <c r="AI109" s="1521">
        <v>230</v>
      </c>
      <c r="AJ109" s="1521">
        <v>250</v>
      </c>
      <c r="AK109" s="1521">
        <v>270</v>
      </c>
      <c r="AL109" s="1521">
        <v>390</v>
      </c>
      <c r="AM109" s="1521">
        <v>460</v>
      </c>
      <c r="AN109" s="1521">
        <v>460</v>
      </c>
      <c r="AO109" s="1521">
        <v>460</v>
      </c>
      <c r="AP109" s="1521">
        <v>480</v>
      </c>
      <c r="AQ109" s="1521">
        <v>470</v>
      </c>
      <c r="AR109" s="1521">
        <v>550</v>
      </c>
    </row>
    <row r="110" spans="2:44">
      <c r="B110" s="1187"/>
      <c r="C110" s="285"/>
      <c r="D110" s="276"/>
      <c r="E110" s="276"/>
      <c r="F110" s="276"/>
      <c r="G110" s="276"/>
      <c r="H110" s="276"/>
      <c r="I110" s="276"/>
      <c r="J110" s="276"/>
      <c r="K110" s="276"/>
      <c r="L110" s="276"/>
      <c r="M110" s="276"/>
      <c r="N110" s="276"/>
      <c r="O110" s="276"/>
      <c r="P110" s="276"/>
      <c r="Q110" s="276"/>
      <c r="R110" s="278"/>
      <c r="S110" s="278"/>
      <c r="T110" s="278"/>
      <c r="U110" s="278"/>
      <c r="V110" s="278"/>
      <c r="W110" s="278"/>
      <c r="X110" s="278"/>
      <c r="Y110" s="278"/>
      <c r="Z110" s="278"/>
      <c r="AA110" s="278"/>
      <c r="AB110" s="278"/>
      <c r="AC110" s="278"/>
      <c r="AD110" s="278"/>
      <c r="AE110" s="278"/>
      <c r="AF110" s="1522"/>
      <c r="AG110" s="1522"/>
      <c r="AH110" s="1522"/>
      <c r="AI110" s="1522"/>
      <c r="AJ110" s="1522"/>
      <c r="AK110" s="1522"/>
      <c r="AL110" s="1522"/>
      <c r="AM110" s="1522"/>
      <c r="AN110" s="1522"/>
      <c r="AO110" s="1522"/>
      <c r="AP110" s="1522"/>
      <c r="AQ110" s="1522"/>
      <c r="AR110" s="1522"/>
    </row>
    <row r="111" spans="2:44">
      <c r="B111" s="1181" t="s">
        <v>84</v>
      </c>
      <c r="C111" s="1182"/>
      <c r="D111" s="276"/>
      <c r="E111" s="276"/>
      <c r="F111" s="276"/>
      <c r="G111" s="276"/>
      <c r="H111" s="276"/>
      <c r="I111" s="276"/>
      <c r="J111" s="276"/>
      <c r="K111" s="276"/>
      <c r="L111" s="276"/>
      <c r="M111" s="276"/>
      <c r="N111" s="276"/>
      <c r="O111" s="276"/>
      <c r="P111" s="276"/>
      <c r="Q111" s="276"/>
      <c r="R111" s="278"/>
      <c r="S111" s="278"/>
      <c r="T111" s="278"/>
      <c r="U111" s="278"/>
      <c r="V111" s="278"/>
      <c r="W111" s="278"/>
      <c r="X111" s="278"/>
      <c r="Y111" s="278"/>
      <c r="Z111" s="278"/>
      <c r="AA111" s="278"/>
      <c r="AB111" s="278"/>
      <c r="AC111" s="278"/>
      <c r="AD111" s="278"/>
      <c r="AE111" s="278"/>
      <c r="AF111" s="1522"/>
      <c r="AG111" s="1522"/>
      <c r="AH111" s="1522"/>
      <c r="AI111" s="1522"/>
      <c r="AJ111" s="1522"/>
      <c r="AK111" s="1522"/>
      <c r="AL111" s="1522"/>
      <c r="AM111" s="1522"/>
      <c r="AN111" s="1522"/>
      <c r="AO111" s="1522"/>
      <c r="AP111" s="1522"/>
      <c r="AQ111" s="1522"/>
      <c r="AR111" s="1522"/>
    </row>
    <row r="112" spans="2:44" ht="12.75" customHeight="1">
      <c r="B112" s="1524" t="s">
        <v>85</v>
      </c>
      <c r="C112" s="1176"/>
      <c r="D112" s="276"/>
      <c r="E112" s="276"/>
      <c r="F112" s="276"/>
      <c r="G112" s="276"/>
      <c r="H112" s="276"/>
      <c r="I112" s="276"/>
      <c r="J112" s="276"/>
      <c r="K112" s="276"/>
      <c r="L112" s="276"/>
      <c r="M112" s="276"/>
      <c r="N112" s="276"/>
      <c r="O112" s="276"/>
      <c r="P112" s="276"/>
      <c r="Q112" s="276"/>
      <c r="R112" s="278"/>
      <c r="S112" s="278"/>
      <c r="T112" s="278"/>
      <c r="U112" s="278"/>
      <c r="V112" s="278"/>
      <c r="W112" s="278"/>
      <c r="X112" s="278"/>
      <c r="Y112" s="278"/>
      <c r="Z112" s="278"/>
      <c r="AA112" s="278"/>
      <c r="AB112" s="278"/>
      <c r="AC112" s="278"/>
      <c r="AD112" s="278"/>
      <c r="AE112" s="278"/>
      <c r="AF112" s="1522"/>
      <c r="AG112" s="1522"/>
      <c r="AH112" s="1522"/>
      <c r="AI112" s="1522"/>
      <c r="AJ112" s="1522"/>
      <c r="AK112" s="1522"/>
      <c r="AL112" s="1522"/>
      <c r="AM112" s="1522"/>
      <c r="AN112" s="1522"/>
      <c r="AO112" s="1522"/>
      <c r="AP112" s="1522"/>
      <c r="AQ112" s="1522"/>
      <c r="AR112" s="1522"/>
    </row>
    <row r="113" spans="1:44">
      <c r="B113" s="1181" t="s">
        <v>86</v>
      </c>
      <c r="C113" s="1182"/>
      <c r="D113" s="276"/>
      <c r="E113" s="276"/>
      <c r="F113" s="276"/>
      <c r="G113" s="276"/>
      <c r="H113" s="276"/>
      <c r="I113" s="276"/>
      <c r="J113" s="276"/>
      <c r="K113" s="276"/>
      <c r="L113" s="276"/>
      <c r="M113" s="276"/>
      <c r="N113" s="276"/>
      <c r="O113" s="276"/>
      <c r="P113" s="276"/>
      <c r="Q113" s="276"/>
      <c r="R113" s="278"/>
      <c r="S113" s="278"/>
      <c r="T113" s="278"/>
      <c r="U113" s="278"/>
      <c r="V113" s="278"/>
      <c r="W113" s="278"/>
      <c r="X113" s="278"/>
      <c r="Y113" s="278"/>
      <c r="Z113" s="278"/>
      <c r="AA113" s="278"/>
      <c r="AB113" s="278"/>
      <c r="AC113" s="278"/>
      <c r="AD113" s="278"/>
      <c r="AE113" s="278"/>
      <c r="AF113" s="1522">
        <v>170</v>
      </c>
      <c r="AG113" s="1522">
        <v>180</v>
      </c>
      <c r="AH113" s="1522">
        <v>220</v>
      </c>
      <c r="AI113" s="1522">
        <v>230</v>
      </c>
      <c r="AJ113" s="1522">
        <v>250</v>
      </c>
      <c r="AK113" s="1522">
        <v>270</v>
      </c>
      <c r="AL113" s="1522">
        <v>390</v>
      </c>
      <c r="AM113" s="1522">
        <v>460</v>
      </c>
      <c r="AN113" s="1522">
        <v>460</v>
      </c>
      <c r="AO113" s="1522">
        <v>460</v>
      </c>
      <c r="AP113" s="1522">
        <v>480</v>
      </c>
      <c r="AQ113" s="1522">
        <v>470</v>
      </c>
      <c r="AR113" s="1522">
        <v>550</v>
      </c>
    </row>
    <row r="114" spans="1:44">
      <c r="B114" s="1181" t="s">
        <v>87</v>
      </c>
      <c r="C114" s="1182"/>
      <c r="D114" s="276"/>
      <c r="E114" s="276"/>
      <c r="F114" s="276"/>
      <c r="G114" s="276"/>
      <c r="H114" s="276"/>
      <c r="I114" s="276"/>
      <c r="J114" s="276"/>
      <c r="K114" s="276"/>
      <c r="L114" s="276"/>
      <c r="M114" s="276"/>
      <c r="N114" s="276"/>
      <c r="O114" s="276"/>
      <c r="P114" s="276"/>
      <c r="Q114" s="276"/>
      <c r="R114" s="278"/>
      <c r="S114" s="278"/>
      <c r="T114" s="278"/>
      <c r="U114" s="278"/>
      <c r="V114" s="278"/>
      <c r="W114" s="278"/>
      <c r="X114" s="278"/>
      <c r="Y114" s="278"/>
      <c r="Z114" s="278"/>
      <c r="AA114" s="278"/>
      <c r="AB114" s="278"/>
      <c r="AC114" s="278"/>
      <c r="AD114" s="278"/>
      <c r="AE114" s="278"/>
      <c r="AF114" s="747"/>
      <c r="AG114" s="747"/>
      <c r="AH114" s="747"/>
      <c r="AI114" s="747"/>
      <c r="AJ114" s="747"/>
      <c r="AK114" s="747"/>
      <c r="AL114" s="747"/>
      <c r="AM114" s="747"/>
      <c r="AN114" s="747"/>
      <c r="AO114" s="747"/>
      <c r="AP114" s="747"/>
      <c r="AQ114" s="747"/>
      <c r="AR114" s="747"/>
    </row>
    <row r="115" spans="1:44">
      <c r="B115" s="1181" t="s">
        <v>88</v>
      </c>
      <c r="C115" s="1182"/>
      <c r="D115" s="276"/>
      <c r="E115" s="276"/>
      <c r="F115" s="276"/>
      <c r="G115" s="276"/>
      <c r="H115" s="276"/>
      <c r="I115" s="276"/>
      <c r="J115" s="276"/>
      <c r="K115" s="276"/>
      <c r="L115" s="276"/>
      <c r="M115" s="276"/>
      <c r="N115" s="276"/>
      <c r="O115" s="276"/>
      <c r="P115" s="276"/>
      <c r="Q115" s="276"/>
      <c r="R115" s="278"/>
      <c r="S115" s="278"/>
      <c r="T115" s="278"/>
      <c r="U115" s="278"/>
      <c r="V115" s="278"/>
      <c r="W115" s="278"/>
      <c r="X115" s="278"/>
      <c r="Y115" s="278"/>
      <c r="Z115" s="278"/>
      <c r="AA115" s="278"/>
      <c r="AB115" s="278"/>
      <c r="AC115" s="278"/>
      <c r="AD115" s="278"/>
      <c r="AE115" s="278"/>
      <c r="AF115" s="747"/>
      <c r="AG115" s="747"/>
      <c r="AH115" s="747"/>
      <c r="AI115" s="747"/>
      <c r="AJ115" s="747"/>
      <c r="AK115" s="747"/>
      <c r="AL115" s="747"/>
      <c r="AM115" s="747"/>
      <c r="AN115" s="747"/>
      <c r="AO115" s="747"/>
      <c r="AP115" s="747"/>
      <c r="AQ115" s="747"/>
      <c r="AR115" s="747"/>
    </row>
    <row r="116" spans="1:44" ht="12.75" customHeight="1">
      <c r="B116" s="1524" t="s">
        <v>89</v>
      </c>
      <c r="C116" s="1176"/>
      <c r="D116" s="276"/>
      <c r="E116" s="276"/>
      <c r="F116" s="276"/>
      <c r="G116" s="276"/>
      <c r="H116" s="276"/>
      <c r="I116" s="276"/>
      <c r="J116" s="276"/>
      <c r="K116" s="276"/>
      <c r="L116" s="276"/>
      <c r="M116" s="276"/>
      <c r="N116" s="276"/>
      <c r="O116" s="276"/>
      <c r="P116" s="276"/>
      <c r="Q116" s="276"/>
      <c r="R116" s="278"/>
      <c r="S116" s="278"/>
      <c r="T116" s="278"/>
      <c r="U116" s="278"/>
      <c r="V116" s="278"/>
      <c r="W116" s="278"/>
      <c r="X116" s="278"/>
      <c r="Y116" s="278"/>
      <c r="Z116" s="278"/>
      <c r="AA116" s="278"/>
      <c r="AB116" s="278"/>
      <c r="AC116" s="278"/>
      <c r="AD116" s="278"/>
      <c r="AE116" s="278"/>
      <c r="AF116" s="783"/>
      <c r="AG116" s="783"/>
      <c r="AH116" s="783"/>
      <c r="AI116" s="783"/>
      <c r="AJ116" s="783"/>
      <c r="AK116" s="783"/>
      <c r="AL116" s="783"/>
      <c r="AM116" s="783"/>
      <c r="AN116" s="783"/>
      <c r="AO116" s="783"/>
      <c r="AP116" s="783"/>
      <c r="AQ116" s="783"/>
      <c r="AR116" s="783"/>
    </row>
    <row r="117" spans="1:44">
      <c r="B117" s="1187"/>
      <c r="C117" s="285"/>
      <c r="D117" s="276"/>
      <c r="E117" s="276"/>
      <c r="F117" s="276"/>
      <c r="G117" s="276"/>
      <c r="H117" s="276"/>
      <c r="I117" s="276"/>
      <c r="J117" s="276"/>
      <c r="K117" s="276"/>
      <c r="L117" s="276"/>
      <c r="M117" s="276"/>
      <c r="N117" s="276"/>
      <c r="O117" s="276"/>
      <c r="P117" s="276"/>
      <c r="Q117" s="276"/>
      <c r="R117" s="278"/>
      <c r="S117" s="278"/>
      <c r="T117" s="278"/>
      <c r="U117" s="278"/>
      <c r="V117" s="278"/>
      <c r="W117" s="278"/>
      <c r="X117" s="278"/>
      <c r="Y117" s="278"/>
      <c r="Z117" s="278"/>
      <c r="AA117" s="278"/>
      <c r="AB117" s="278"/>
      <c r="AC117" s="278"/>
      <c r="AD117" s="278"/>
      <c r="AE117" s="278"/>
      <c r="AF117" s="747"/>
      <c r="AG117" s="747"/>
      <c r="AH117" s="747"/>
      <c r="AI117" s="747"/>
      <c r="AJ117" s="747"/>
      <c r="AK117" s="747"/>
      <c r="AL117" s="747"/>
      <c r="AM117" s="747"/>
      <c r="AN117" s="747"/>
      <c r="AO117" s="747"/>
      <c r="AP117" s="747"/>
      <c r="AQ117" s="747"/>
      <c r="AR117" s="747"/>
    </row>
    <row r="118" spans="1:44" ht="13.5">
      <c r="A118" s="311"/>
      <c r="B118" s="1525" t="s">
        <v>90</v>
      </c>
      <c r="C118" s="848"/>
      <c r="D118" s="276"/>
      <c r="E118" s="276"/>
      <c r="F118" s="276"/>
      <c r="G118" s="276"/>
      <c r="H118" s="276"/>
      <c r="I118" s="276"/>
      <c r="J118" s="276"/>
      <c r="K118" s="276"/>
      <c r="L118" s="276"/>
      <c r="M118" s="276"/>
      <c r="N118" s="276"/>
      <c r="O118" s="276"/>
      <c r="P118" s="276"/>
      <c r="Q118" s="276"/>
      <c r="R118" s="276"/>
      <c r="S118" s="276"/>
      <c r="T118" s="276"/>
      <c r="U118" s="276"/>
      <c r="V118" s="278"/>
      <c r="W118" s="278"/>
      <c r="X118" s="278"/>
      <c r="Y118" s="278"/>
      <c r="Z118" s="278"/>
      <c r="AA118" s="278"/>
      <c r="AB118" s="278"/>
      <c r="AC118" s="278"/>
      <c r="AD118" s="278"/>
      <c r="AE118" s="278"/>
      <c r="AF118" s="747"/>
      <c r="AG118" s="747"/>
      <c r="AH118" s="747"/>
      <c r="AI118" s="747"/>
      <c r="AJ118" s="747"/>
      <c r="AK118" s="747"/>
      <c r="AL118" s="747"/>
      <c r="AM118" s="747"/>
      <c r="AN118" s="747"/>
      <c r="AO118" s="747"/>
      <c r="AP118" s="747"/>
      <c r="AQ118" s="747"/>
      <c r="AR118" s="747"/>
    </row>
    <row r="119" spans="1:44" ht="15">
      <c r="B119" s="1187" t="s">
        <v>91</v>
      </c>
      <c r="C119" s="1174"/>
      <c r="D119" s="1192"/>
      <c r="E119" s="1192"/>
      <c r="F119" s="1192"/>
      <c r="G119" s="1192"/>
      <c r="H119" s="1192"/>
      <c r="I119" s="1192"/>
      <c r="J119" s="1192"/>
      <c r="K119" s="1192"/>
      <c r="L119" s="1192"/>
      <c r="M119" s="1192"/>
      <c r="N119" s="1192"/>
      <c r="O119" s="1192"/>
      <c r="P119" s="1192"/>
      <c r="Q119" s="1192"/>
      <c r="R119" s="1192"/>
      <c r="S119" s="1192"/>
      <c r="T119" s="1192"/>
      <c r="U119" s="1192"/>
      <c r="V119" s="1192"/>
      <c r="W119" s="1192"/>
      <c r="X119" s="302"/>
      <c r="Y119" s="1192"/>
      <c r="Z119" s="302"/>
      <c r="AA119" s="1192"/>
      <c r="AB119" s="302"/>
      <c r="AC119" s="302"/>
      <c r="AD119" s="302"/>
      <c r="AE119" s="1192"/>
      <c r="AF119" s="1521">
        <v>11000</v>
      </c>
      <c r="AG119" s="1521">
        <v>10800</v>
      </c>
      <c r="AH119" s="1521">
        <v>12000</v>
      </c>
      <c r="AI119" s="1521">
        <v>12800</v>
      </c>
      <c r="AJ119" s="1521">
        <v>12900</v>
      </c>
      <c r="AK119" s="1521">
        <v>13200</v>
      </c>
      <c r="AL119" s="1521">
        <v>13140</v>
      </c>
      <c r="AM119" s="1521">
        <v>13900</v>
      </c>
      <c r="AN119" s="1521">
        <v>15000</v>
      </c>
      <c r="AO119" s="1521">
        <v>15760</v>
      </c>
      <c r="AP119" s="1521">
        <v>16860</v>
      </c>
      <c r="AQ119" s="1521">
        <v>18610</v>
      </c>
      <c r="AR119" s="1521">
        <v>18430</v>
      </c>
    </row>
    <row r="120" spans="1:44" ht="15" customHeight="1">
      <c r="B120" s="1174"/>
      <c r="C120" s="1174"/>
      <c r="D120" s="1192"/>
      <c r="E120" s="1192"/>
      <c r="F120" s="1192"/>
      <c r="G120" s="1192"/>
      <c r="H120" s="1192"/>
      <c r="I120" s="1192"/>
      <c r="J120" s="1192"/>
      <c r="K120" s="1192"/>
      <c r="L120" s="1192"/>
      <c r="M120" s="1192"/>
      <c r="N120" s="1192"/>
      <c r="O120" s="1192"/>
      <c r="P120" s="1192"/>
      <c r="Q120" s="1192"/>
      <c r="R120" s="1192"/>
      <c r="S120" s="1192"/>
      <c r="T120" s="1192"/>
      <c r="U120" s="1192"/>
      <c r="V120" s="1192"/>
      <c r="W120" s="1192"/>
      <c r="X120" s="1192"/>
      <c r="Y120" s="1192"/>
      <c r="Z120" s="1526"/>
      <c r="AA120" s="1192"/>
      <c r="AB120" s="1526"/>
      <c r="AC120" s="1526"/>
      <c r="AD120" s="1526"/>
      <c r="AE120" s="1192"/>
      <c r="AF120" s="1527"/>
      <c r="AG120" s="1527"/>
      <c r="AH120" s="1527"/>
      <c r="AI120" s="1527"/>
      <c r="AJ120" s="1527"/>
      <c r="AK120" s="1527"/>
      <c r="AL120" s="1527"/>
      <c r="AM120" s="1527"/>
      <c r="AN120" s="1527"/>
      <c r="AO120" s="1527"/>
      <c r="AP120" s="1527"/>
      <c r="AQ120" s="1527"/>
      <c r="AR120" s="1527"/>
    </row>
    <row r="121" spans="1:44" ht="19.5" customHeight="1">
      <c r="B121" s="1986" t="s">
        <v>534</v>
      </c>
      <c r="C121" s="1986"/>
      <c r="D121" s="1192"/>
      <c r="E121" s="1192"/>
      <c r="F121" s="1192"/>
      <c r="G121" s="1192"/>
      <c r="H121" s="1192"/>
      <c r="I121" s="1192"/>
      <c r="J121" s="1192"/>
      <c r="K121" s="1192"/>
      <c r="L121" s="1192"/>
      <c r="M121" s="1192"/>
      <c r="N121" s="1192"/>
      <c r="O121" s="1192"/>
      <c r="P121" s="1192"/>
      <c r="Q121" s="1192"/>
      <c r="R121" s="1192"/>
      <c r="S121" s="1192"/>
      <c r="T121" s="1192"/>
      <c r="U121" s="1192"/>
      <c r="V121" s="1192"/>
      <c r="W121" s="1192"/>
      <c r="X121" s="1192"/>
      <c r="Y121" s="1192"/>
      <c r="Z121" s="1526"/>
      <c r="AA121" s="1192"/>
      <c r="AB121" s="1526"/>
      <c r="AC121" s="1526"/>
      <c r="AD121" s="1526"/>
      <c r="AE121" s="1192"/>
      <c r="AF121" s="1522">
        <v>9000</v>
      </c>
      <c r="AG121" s="1522">
        <v>8800</v>
      </c>
      <c r="AH121" s="1522">
        <v>10000</v>
      </c>
      <c r="AI121" s="1522">
        <v>10300</v>
      </c>
      <c r="AJ121" s="1522">
        <v>10000</v>
      </c>
      <c r="AK121" s="1522">
        <v>10500</v>
      </c>
      <c r="AL121" s="1522">
        <v>10100</v>
      </c>
      <c r="AM121" s="1522">
        <v>10300</v>
      </c>
      <c r="AN121" s="1522">
        <v>10800</v>
      </c>
      <c r="AO121" s="1522">
        <v>11400</v>
      </c>
      <c r="AP121" s="1522">
        <v>12400</v>
      </c>
      <c r="AQ121" s="1522">
        <v>12300</v>
      </c>
      <c r="AR121" s="1522">
        <v>13000</v>
      </c>
    </row>
    <row r="122" spans="1:44" ht="15" customHeight="1">
      <c r="B122" s="1181" t="s">
        <v>94</v>
      </c>
      <c r="C122" s="118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526"/>
      <c r="AA122" s="1192"/>
      <c r="AB122" s="1526"/>
      <c r="AC122" s="1526"/>
      <c r="AD122" s="1526"/>
      <c r="AE122" s="1192"/>
      <c r="AF122" s="1522">
        <v>2000</v>
      </c>
      <c r="AG122" s="1522">
        <v>2000</v>
      </c>
      <c r="AH122" s="1522">
        <v>2000</v>
      </c>
      <c r="AI122" s="1522">
        <v>2500</v>
      </c>
      <c r="AJ122" s="1522">
        <v>2900</v>
      </c>
      <c r="AK122" s="1522">
        <v>2700</v>
      </c>
      <c r="AL122" s="1522">
        <v>3040</v>
      </c>
      <c r="AM122" s="1522">
        <v>3600</v>
      </c>
      <c r="AN122" s="1522">
        <v>4200</v>
      </c>
      <c r="AO122" s="1522">
        <v>4360</v>
      </c>
      <c r="AP122" s="1522">
        <v>4460</v>
      </c>
      <c r="AQ122" s="1522">
        <v>6310</v>
      </c>
      <c r="AR122" s="1522">
        <v>5430</v>
      </c>
    </row>
    <row r="123" spans="1:44" ht="15">
      <c r="B123" s="1174"/>
      <c r="C123" s="1174"/>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526"/>
      <c r="AA123" s="1192"/>
      <c r="AB123" s="1526"/>
      <c r="AC123" s="1526"/>
      <c r="AD123" s="1526"/>
      <c r="AE123" s="1192"/>
      <c r="AF123" s="1528"/>
      <c r="AG123" s="1529"/>
      <c r="AH123" s="1529"/>
      <c r="AI123" s="1529"/>
      <c r="AJ123" s="1529"/>
      <c r="AK123" s="1529"/>
      <c r="AL123" s="1192"/>
      <c r="AM123" s="276"/>
      <c r="AN123" s="276"/>
      <c r="AO123" s="276"/>
      <c r="AP123" s="276"/>
    </row>
    <row r="124" spans="1:44">
      <c r="B124" s="563"/>
      <c r="C124" s="563"/>
      <c r="D124" s="563"/>
      <c r="E124" s="563"/>
      <c r="F124" s="563"/>
      <c r="G124" s="563"/>
      <c r="H124" s="563"/>
      <c r="I124" s="563"/>
      <c r="J124" s="563"/>
      <c r="K124" s="563"/>
      <c r="L124" s="563"/>
      <c r="M124" s="563"/>
      <c r="N124" s="563"/>
      <c r="O124" s="563"/>
      <c r="P124" s="563"/>
      <c r="Q124" s="563"/>
      <c r="R124" s="563"/>
      <c r="S124" s="563"/>
      <c r="T124" s="563"/>
      <c r="U124" s="563"/>
      <c r="V124" s="563"/>
      <c r="W124" s="563"/>
      <c r="X124" s="563"/>
      <c r="Y124" s="563"/>
      <c r="Z124" s="563"/>
      <c r="AA124" s="563"/>
      <c r="AB124" s="563"/>
      <c r="AC124" s="563"/>
      <c r="AD124" s="563"/>
      <c r="AE124" s="563"/>
      <c r="AF124" s="563"/>
      <c r="AG124" s="563"/>
      <c r="AH124" s="563"/>
      <c r="AI124" s="563"/>
      <c r="AJ124" s="563"/>
      <c r="AK124" s="563"/>
      <c r="AL124" s="563"/>
      <c r="AM124" s="563"/>
      <c r="AN124" s="563"/>
      <c r="AO124" s="563"/>
      <c r="AP124" s="563"/>
      <c r="AQ124" s="563"/>
      <c r="AR124" s="563"/>
    </row>
    <row r="125" spans="1:44">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AL125" s="276"/>
      <c r="AM125" s="276"/>
      <c r="AN125" s="276"/>
      <c r="AO125" s="276"/>
    </row>
    <row r="126" spans="1:44">
      <c r="A126" s="1193"/>
      <c r="B126" s="309" t="s">
        <v>535</v>
      </c>
      <c r="C126" s="276"/>
      <c r="D126" s="276"/>
      <c r="E126" s="276"/>
      <c r="F126" s="276"/>
      <c r="G126" s="276"/>
      <c r="H126" s="276"/>
      <c r="I126" s="276"/>
      <c r="J126" s="276"/>
      <c r="K126" s="276"/>
      <c r="L126" s="276"/>
      <c r="M126" s="276"/>
      <c r="N126" s="276"/>
      <c r="O126" s="276"/>
      <c r="P126" s="276"/>
      <c r="Q126" s="276"/>
      <c r="R126" s="276"/>
      <c r="S126" s="276"/>
      <c r="T126" s="276"/>
      <c r="U126" s="276"/>
      <c r="V126" s="276"/>
      <c r="W126" s="276"/>
      <c r="AL126" s="276"/>
      <c r="AM126" s="276"/>
      <c r="AN126" s="276"/>
    </row>
    <row r="127" spans="1:44">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AL127" s="276"/>
      <c r="AM127" s="276"/>
      <c r="AN127" s="276"/>
    </row>
    <row r="128" spans="1:44">
      <c r="B128" s="1197" t="s">
        <v>536</v>
      </c>
      <c r="C128" s="1530"/>
      <c r="D128" s="1530"/>
      <c r="E128" s="1530"/>
      <c r="F128" s="276"/>
      <c r="G128" s="276"/>
      <c r="H128" s="276"/>
      <c r="I128" s="276"/>
      <c r="J128" s="276"/>
      <c r="K128" s="276"/>
      <c r="L128" s="276"/>
      <c r="M128" s="276"/>
      <c r="N128" s="276"/>
      <c r="O128" s="276"/>
      <c r="P128" s="276"/>
      <c r="Q128" s="276"/>
      <c r="R128" s="276"/>
      <c r="S128" s="276"/>
      <c r="T128" s="276"/>
      <c r="U128" s="276"/>
      <c r="V128" s="276"/>
      <c r="W128" s="276"/>
      <c r="AL128" s="276"/>
      <c r="AM128" s="276"/>
      <c r="AN128" s="276"/>
    </row>
    <row r="129" spans="2:40" ht="12.75" customHeight="1">
      <c r="B129" s="1983" t="s">
        <v>99</v>
      </c>
      <c r="C129" s="1983"/>
      <c r="D129" s="1983"/>
      <c r="E129" s="1983"/>
      <c r="F129" s="276"/>
      <c r="G129" s="276"/>
      <c r="H129" s="276"/>
      <c r="I129" s="276"/>
      <c r="J129" s="276"/>
      <c r="K129" s="276"/>
      <c r="L129" s="276"/>
      <c r="M129" s="276"/>
      <c r="N129" s="276"/>
      <c r="O129" s="276"/>
      <c r="P129" s="276"/>
      <c r="Q129" s="276"/>
      <c r="R129" s="276"/>
      <c r="S129" s="276"/>
      <c r="T129" s="276"/>
      <c r="U129" s="276"/>
      <c r="V129" s="276"/>
      <c r="W129" s="276"/>
      <c r="AL129" s="276"/>
      <c r="AM129" s="276"/>
      <c r="AN129" s="276"/>
    </row>
    <row r="130" spans="2:40" ht="44.25" customHeight="1">
      <c r="B130" s="1983" t="s">
        <v>100</v>
      </c>
      <c r="C130" s="1983"/>
      <c r="D130" s="1983"/>
      <c r="E130" s="1983"/>
      <c r="F130" s="1984"/>
      <c r="G130" s="1984"/>
      <c r="H130" s="1984"/>
      <c r="I130" s="1984"/>
      <c r="J130" s="1984"/>
      <c r="K130" s="1984"/>
      <c r="L130" s="1984"/>
      <c r="M130" s="1984"/>
      <c r="N130" s="1984"/>
      <c r="O130" s="1984"/>
      <c r="P130" s="1984"/>
      <c r="Q130" s="1984"/>
      <c r="R130" s="1984"/>
      <c r="S130" s="1984"/>
      <c r="T130" s="1984"/>
      <c r="U130" s="1984"/>
      <c r="V130" s="1984"/>
      <c r="W130" s="1984"/>
      <c r="X130" s="1984"/>
      <c r="Y130" s="1984"/>
      <c r="Z130" s="1984"/>
      <c r="AA130" s="1984"/>
      <c r="AB130" s="1984"/>
      <c r="AC130" s="1984"/>
      <c r="AD130" s="1984"/>
      <c r="AE130" s="1984"/>
      <c r="AF130" s="1984"/>
      <c r="AG130" s="1985"/>
      <c r="AH130" s="1985"/>
      <c r="AI130" s="1985"/>
      <c r="AJ130" s="1985"/>
      <c r="AK130" s="1985"/>
      <c r="AL130" s="276"/>
      <c r="AM130" s="276"/>
      <c r="AN130" s="276"/>
    </row>
    <row r="131" spans="2:40">
      <c r="B131" s="311"/>
    </row>
    <row r="135" spans="2:40">
      <c r="B135" s="951"/>
      <c r="C135" s="963"/>
      <c r="R135" s="1152"/>
      <c r="S135" s="1152"/>
      <c r="T135" s="1152"/>
      <c r="U135" s="1152"/>
      <c r="V135" s="1152"/>
      <c r="W135" s="1152"/>
      <c r="X135" s="1153"/>
      <c r="Y135" s="1153"/>
      <c r="Z135" s="1153"/>
      <c r="AA135" s="1153"/>
      <c r="AB135" s="1153"/>
      <c r="AC135" s="1153"/>
      <c r="AD135" s="1153"/>
      <c r="AE135" s="1153"/>
      <c r="AF135" s="1153"/>
      <c r="AG135" s="1153"/>
      <c r="AH135" s="1153"/>
      <c r="AI135" s="1153"/>
      <c r="AJ135" s="1153"/>
      <c r="AK135" s="1153"/>
      <c r="AL135" s="1152"/>
    </row>
    <row r="136" spans="2:40">
      <c r="B136" s="1038"/>
      <c r="C136" s="283"/>
      <c r="R136" s="1152"/>
      <c r="S136" s="1152"/>
      <c r="T136" s="1152"/>
      <c r="U136" s="1152"/>
      <c r="V136" s="1152"/>
      <c r="W136" s="1152"/>
      <c r="X136" s="1153"/>
      <c r="Y136" s="1153"/>
      <c r="Z136" s="1153"/>
      <c r="AA136" s="1153"/>
      <c r="AB136" s="1153"/>
      <c r="AC136" s="1153"/>
      <c r="AD136" s="1153"/>
      <c r="AE136" s="1153"/>
      <c r="AF136" s="1153"/>
      <c r="AG136" s="1153"/>
      <c r="AH136" s="1153"/>
      <c r="AI136" s="1153"/>
      <c r="AJ136" s="1153"/>
      <c r="AK136" s="1153"/>
      <c r="AL136" s="1152"/>
    </row>
    <row r="137" spans="2:40">
      <c r="B137" s="951"/>
      <c r="C137" s="963"/>
      <c r="R137" s="1152"/>
      <c r="S137" s="1152"/>
      <c r="T137" s="1152"/>
      <c r="U137" s="1152"/>
      <c r="V137" s="1152"/>
      <c r="W137" s="1152"/>
      <c r="X137" s="1153"/>
      <c r="Y137" s="1153"/>
      <c r="Z137" s="1153"/>
      <c r="AA137" s="1153"/>
      <c r="AB137" s="1153"/>
      <c r="AC137" s="1153"/>
      <c r="AD137" s="1153"/>
      <c r="AE137" s="1153"/>
      <c r="AF137" s="1153"/>
      <c r="AG137" s="1153"/>
      <c r="AH137" s="1153"/>
      <c r="AI137" s="1153"/>
      <c r="AJ137" s="1153"/>
      <c r="AK137" s="1153"/>
      <c r="AL137" s="1152"/>
    </row>
    <row r="145" spans="2:38">
      <c r="C145" s="283"/>
      <c r="R145" s="282"/>
      <c r="S145" s="282"/>
      <c r="T145" s="282"/>
      <c r="U145" s="282"/>
      <c r="V145" s="282"/>
      <c r="W145" s="282"/>
      <c r="X145" s="278"/>
      <c r="Y145" s="278"/>
      <c r="Z145" s="278"/>
      <c r="AA145" s="278"/>
      <c r="AB145" s="278"/>
      <c r="AC145" s="278"/>
      <c r="AD145" s="278"/>
      <c r="AE145" s="278"/>
      <c r="AF145" s="278"/>
      <c r="AG145" s="278"/>
      <c r="AH145" s="278"/>
      <c r="AI145" s="278"/>
      <c r="AJ145" s="278"/>
      <c r="AK145" s="278"/>
      <c r="AL145" s="282"/>
    </row>
    <row r="146" spans="2:38">
      <c r="C146" s="283"/>
      <c r="R146" s="282"/>
      <c r="S146" s="282"/>
      <c r="T146" s="282"/>
      <c r="U146" s="282"/>
      <c r="V146" s="282"/>
      <c r="W146" s="282"/>
      <c r="X146" s="278"/>
      <c r="Y146" s="278"/>
      <c r="Z146" s="278"/>
      <c r="AA146" s="278"/>
      <c r="AB146" s="278"/>
      <c r="AC146" s="278"/>
      <c r="AD146" s="278"/>
      <c r="AE146" s="278"/>
      <c r="AF146" s="278"/>
      <c r="AG146" s="278"/>
      <c r="AH146" s="278"/>
      <c r="AI146" s="278"/>
      <c r="AJ146" s="278"/>
      <c r="AK146" s="278"/>
      <c r="AL146" s="282"/>
    </row>
    <row r="151" spans="2:38">
      <c r="B151" s="830"/>
      <c r="X151" s="158"/>
      <c r="Y151" s="158"/>
      <c r="Z151" s="158"/>
      <c r="AA151" s="158"/>
      <c r="AB151" s="158"/>
      <c r="AC151" s="158"/>
      <c r="AD151" s="158"/>
      <c r="AE151" s="158"/>
      <c r="AF151" s="158"/>
      <c r="AG151" s="158"/>
      <c r="AH151" s="158"/>
      <c r="AI151" s="158"/>
      <c r="AJ151" s="158"/>
      <c r="AK151" s="158"/>
    </row>
  </sheetData>
  <mergeCells count="6">
    <mergeCell ref="B15:AR15"/>
    <mergeCell ref="B130:AK130"/>
    <mergeCell ref="B48:AF48"/>
    <mergeCell ref="B87:AF87"/>
    <mergeCell ref="B121:C121"/>
    <mergeCell ref="B129:E129"/>
  </mergeCells>
  <pageMargins left="0.70866141732283472" right="0.70866141732283472" top="0.74803149606299213" bottom="0.74803149606299213" header="0.31496062992125984" footer="0.31496062992125984"/>
  <pageSetup paperSize="9" scale="4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Q148"/>
  <sheetViews>
    <sheetView topLeftCell="B15" zoomScale="80" zoomScaleNormal="80" workbookViewId="0">
      <selection activeCell="B15" sqref="A1:XFD1048576"/>
    </sheetView>
  </sheetViews>
  <sheetFormatPr defaultColWidth="8.88671875" defaultRowHeight="12.75" outlineLevelRow="1"/>
  <cols>
    <col min="1" max="1" width="0" style="228" hidden="1" customWidth="1"/>
    <col min="2" max="2" width="3" style="228" customWidth="1"/>
    <col min="3" max="3" width="52.33203125" style="228" customWidth="1"/>
    <col min="4" max="15" width="1.77734375" style="228" hidden="1" customWidth="1"/>
    <col min="16" max="16" width="4.109375" style="228" hidden="1" customWidth="1"/>
    <col min="17" max="17" width="1.77734375" style="228" hidden="1" customWidth="1"/>
    <col min="18" max="18" width="4.44140625" style="228" hidden="1" customWidth="1"/>
    <col min="19" max="19" width="1.77734375" style="228" hidden="1" customWidth="1"/>
    <col min="20" max="20" width="4.44140625" style="228" hidden="1" customWidth="1"/>
    <col min="21" max="21" width="4" style="228" hidden="1" customWidth="1"/>
    <col min="22" max="22" width="4.109375" style="228" hidden="1" customWidth="1"/>
    <col min="23" max="23" width="4" style="228" hidden="1" customWidth="1"/>
    <col min="24" max="24" width="8" style="229" customWidth="1"/>
    <col min="25" max="25" width="2.109375" style="229" hidden="1" customWidth="1"/>
    <col min="26" max="26" width="8.21875" style="229" customWidth="1"/>
    <col min="27" max="27" width="1.6640625" style="229" hidden="1" customWidth="1"/>
    <col min="28" max="28" width="7.77734375" style="229" customWidth="1"/>
    <col min="29" max="29" width="1.5546875" style="229" hidden="1" customWidth="1"/>
    <col min="30" max="30" width="8.88671875" style="229"/>
    <col min="31" max="31" width="1.109375" style="229" hidden="1" customWidth="1"/>
    <col min="32" max="36" width="7.88671875" style="229" customWidth="1"/>
    <col min="37" max="43" width="7.88671875" style="228" customWidth="1"/>
    <col min="44" max="16384" width="8.88671875" style="228"/>
  </cols>
  <sheetData>
    <row r="1" spans="1:43" hidden="1" outlineLevel="1"/>
    <row r="2" spans="1:43" hidden="1" outlineLevel="1">
      <c r="B2" s="228" t="s">
        <v>537</v>
      </c>
    </row>
    <row r="3" spans="1:43" hidden="1" outlineLevel="1"/>
    <row r="4" spans="1:43" hidden="1" outlineLevel="1">
      <c r="B4" s="1531"/>
      <c r="C4" s="1531"/>
      <c r="P4" s="228">
        <v>1993</v>
      </c>
      <c r="R4" s="228">
        <v>1995</v>
      </c>
      <c r="T4" s="228">
        <v>1997</v>
      </c>
      <c r="V4" s="228">
        <v>1999</v>
      </c>
      <c r="X4" s="371">
        <v>2001</v>
      </c>
      <c r="Y4" s="371"/>
      <c r="Z4" s="371">
        <v>2003</v>
      </c>
      <c r="AA4" s="371"/>
      <c r="AB4" s="371">
        <v>2005</v>
      </c>
      <c r="AC4" s="371"/>
      <c r="AD4" s="371">
        <v>2007</v>
      </c>
      <c r="AE4" s="371"/>
      <c r="AF4" s="371">
        <v>2009</v>
      </c>
      <c r="AG4" s="371">
        <v>2010</v>
      </c>
      <c r="AH4" s="371">
        <v>2011</v>
      </c>
      <c r="AI4" s="371">
        <v>2012</v>
      </c>
      <c r="AJ4" s="371">
        <v>2013</v>
      </c>
      <c r="AK4" s="371">
        <v>2014</v>
      </c>
      <c r="AL4" s="371">
        <v>2015</v>
      </c>
      <c r="AM4" s="371">
        <v>2016</v>
      </c>
      <c r="AN4" s="371">
        <v>2017</v>
      </c>
      <c r="AO4" s="371">
        <v>2018</v>
      </c>
      <c r="AP4" s="371">
        <v>2019</v>
      </c>
      <c r="AQ4" s="371">
        <v>2020</v>
      </c>
    </row>
    <row r="5" spans="1:43" hidden="1" outlineLevel="1"/>
    <row r="6" spans="1:43" hidden="1" outlineLevel="1">
      <c r="A6" s="228" t="s">
        <v>2</v>
      </c>
      <c r="B6" s="228" t="s">
        <v>3</v>
      </c>
      <c r="P6" s="367"/>
      <c r="Q6" s="367"/>
      <c r="R6" s="367"/>
      <c r="S6" s="367"/>
      <c r="T6" s="367">
        <v>0</v>
      </c>
      <c r="U6" s="367"/>
      <c r="V6" s="367">
        <v>0</v>
      </c>
      <c r="W6" s="367"/>
      <c r="X6" s="241">
        <f>X94</f>
        <v>1729.9999999999998</v>
      </c>
      <c r="Y6" s="241"/>
      <c r="Z6" s="241">
        <f>Z94</f>
        <v>2064.2676493302292</v>
      </c>
      <c r="AA6" s="241"/>
      <c r="AB6" s="241">
        <f>AB94</f>
        <v>2400.3344665083978</v>
      </c>
      <c r="AC6" s="241"/>
      <c r="AD6" s="241">
        <f>AD94</f>
        <v>2766.5480610488535</v>
      </c>
      <c r="AE6" s="241"/>
      <c r="AF6" s="241">
        <f t="shared" ref="AF6:AL6" si="0">AF94</f>
        <v>10310.408496581613</v>
      </c>
      <c r="AG6" s="241">
        <f t="shared" si="0"/>
        <v>10526.689564840461</v>
      </c>
      <c r="AH6" s="241">
        <f t="shared" si="0"/>
        <v>10642.05590656467</v>
      </c>
      <c r="AI6" s="241">
        <f t="shared" si="0"/>
        <v>10957.999599150853</v>
      </c>
      <c r="AJ6" s="241">
        <f t="shared" si="0"/>
        <v>12547.88346805141</v>
      </c>
      <c r="AK6" s="241">
        <f>AK94</f>
        <v>12513.327553858524</v>
      </c>
      <c r="AL6" s="241">
        <f t="shared" si="0"/>
        <v>12730.1093038292</v>
      </c>
      <c r="AM6" s="241">
        <f>AM94</f>
        <v>12933.893614490516</v>
      </c>
      <c r="AN6" s="241">
        <f>AN94</f>
        <v>12838.825812528778</v>
      </c>
      <c r="AO6" s="241">
        <f t="shared" ref="AO6:AP6" si="1">AO94</f>
        <v>13141.707783307502</v>
      </c>
      <c r="AP6" s="241">
        <f t="shared" si="1"/>
        <v>12952.601959172966</v>
      </c>
      <c r="AQ6" s="241"/>
    </row>
    <row r="7" spans="1:43" hidden="1" outlineLevel="1">
      <c r="A7" s="228" t="s">
        <v>4</v>
      </c>
      <c r="B7" s="228" t="s">
        <v>5</v>
      </c>
      <c r="P7" s="367"/>
      <c r="Q7" s="367"/>
      <c r="R7" s="367"/>
      <c r="S7" s="367"/>
      <c r="T7" s="367">
        <v>0</v>
      </c>
      <c r="U7" s="367"/>
      <c r="V7" s="367">
        <v>0</v>
      </c>
      <c r="W7" s="367"/>
      <c r="X7" s="1532">
        <f>X120</f>
        <v>1691.9</v>
      </c>
      <c r="Y7" s="1532">
        <f t="shared" ref="Y7:AP7" si="2">Y120</f>
        <v>0</v>
      </c>
      <c r="Z7" s="1532">
        <f t="shared" si="2"/>
        <v>1458.2146600000001</v>
      </c>
      <c r="AA7" s="1532">
        <f t="shared" si="2"/>
        <v>0</v>
      </c>
      <c r="AB7" s="1532">
        <f t="shared" si="2"/>
        <v>1235.9906600000004</v>
      </c>
      <c r="AC7" s="1532">
        <f t="shared" si="2"/>
        <v>0</v>
      </c>
      <c r="AD7" s="1532">
        <f t="shared" si="2"/>
        <v>1064.3534</v>
      </c>
      <c r="AE7" s="1532">
        <f t="shared" si="2"/>
        <v>0</v>
      </c>
      <c r="AF7" s="1532">
        <f t="shared" si="2"/>
        <v>864.19637999999998</v>
      </c>
      <c r="AG7" s="1532">
        <f t="shared" si="2"/>
        <v>787.14377999999999</v>
      </c>
      <c r="AH7" s="1532">
        <f t="shared" si="2"/>
        <v>792.81714673999988</v>
      </c>
      <c r="AI7" s="1532">
        <f t="shared" si="2"/>
        <v>736.50731803999997</v>
      </c>
      <c r="AJ7" s="1532">
        <f t="shared" si="2"/>
        <v>479.55316540999996</v>
      </c>
      <c r="AK7" s="1532">
        <f t="shared" si="2"/>
        <v>412.91607162000003</v>
      </c>
      <c r="AL7" s="1532">
        <f t="shared" si="2"/>
        <v>412.79057258999995</v>
      </c>
      <c r="AM7" s="1532">
        <f t="shared" si="2"/>
        <v>409.89128849000002</v>
      </c>
      <c r="AN7" s="1532">
        <f t="shared" si="2"/>
        <v>411.37401272999995</v>
      </c>
      <c r="AO7" s="1532">
        <f t="shared" si="2"/>
        <v>433.42328041000002</v>
      </c>
      <c r="AP7" s="1532">
        <f t="shared" si="2"/>
        <v>432.34146912</v>
      </c>
      <c r="AQ7" s="1532"/>
    </row>
    <row r="8" spans="1:43" hidden="1" outlineLevel="1">
      <c r="A8" s="228" t="s">
        <v>6</v>
      </c>
      <c r="P8" s="367"/>
      <c r="Q8" s="367"/>
      <c r="R8" s="367"/>
      <c r="S8" s="367"/>
      <c r="T8" s="367"/>
      <c r="U8" s="367"/>
      <c r="V8" s="367"/>
      <c r="W8" s="367"/>
      <c r="X8" s="241">
        <f>X6+X7</f>
        <v>3421.8999999999996</v>
      </c>
      <c r="Y8" s="241"/>
      <c r="Z8" s="241">
        <f>Z6+Z7</f>
        <v>3522.4823093302293</v>
      </c>
      <c r="AA8" s="241"/>
      <c r="AB8" s="241">
        <f>AB6+AB7</f>
        <v>3636.3251265083982</v>
      </c>
      <c r="AC8" s="241"/>
      <c r="AD8" s="241">
        <f>AD6+AD7</f>
        <v>3830.9014610488534</v>
      </c>
      <c r="AE8" s="241"/>
      <c r="AF8" s="1533">
        <f t="shared" ref="AF8:AN8" si="3">AF6+AF7</f>
        <v>11174.604876581612</v>
      </c>
      <c r="AG8" s="241">
        <f t="shared" si="3"/>
        <v>11313.833344840461</v>
      </c>
      <c r="AH8" s="241">
        <f t="shared" si="3"/>
        <v>11434.873053304671</v>
      </c>
      <c r="AI8" s="241">
        <f t="shared" si="3"/>
        <v>11694.506917190853</v>
      </c>
      <c r="AJ8" s="241">
        <f t="shared" si="3"/>
        <v>13027.43663346141</v>
      </c>
      <c r="AK8" s="241">
        <f t="shared" si="3"/>
        <v>12926.243625478524</v>
      </c>
      <c r="AL8" s="241">
        <f t="shared" si="3"/>
        <v>13142.8998764192</v>
      </c>
      <c r="AM8" s="241">
        <f t="shared" si="3"/>
        <v>13343.784902980517</v>
      </c>
      <c r="AN8" s="241">
        <f t="shared" si="3"/>
        <v>13250.199825258778</v>
      </c>
      <c r="AO8" s="241">
        <f t="shared" ref="AO8:AP8" si="4">AO6+AO7</f>
        <v>13575.131063717501</v>
      </c>
      <c r="AP8" s="241">
        <f t="shared" si="4"/>
        <v>13384.943428292965</v>
      </c>
      <c r="AQ8" s="241"/>
    </row>
    <row r="9" spans="1:43" hidden="1" outlineLevel="1">
      <c r="P9" s="367"/>
      <c r="Q9" s="367"/>
      <c r="R9" s="367"/>
      <c r="S9" s="367"/>
      <c r="T9" s="367"/>
      <c r="U9" s="367"/>
      <c r="V9" s="367"/>
      <c r="W9" s="367"/>
      <c r="X9" s="241"/>
      <c r="Y9" s="241"/>
      <c r="Z9" s="241"/>
      <c r="AA9" s="241"/>
      <c r="AB9" s="241"/>
      <c r="AC9" s="241"/>
      <c r="AD9" s="241"/>
      <c r="AE9" s="241"/>
      <c r="AF9" s="241"/>
      <c r="AG9" s="241"/>
      <c r="AH9" s="241"/>
      <c r="AI9" s="241"/>
      <c r="AJ9" s="241"/>
      <c r="AK9" s="241"/>
      <c r="AL9" s="241"/>
      <c r="AM9" s="241"/>
      <c r="AN9" s="241"/>
      <c r="AO9" s="241"/>
      <c r="AP9" s="241"/>
      <c r="AQ9" s="241"/>
    </row>
    <row r="10" spans="1:43" hidden="1" outlineLevel="1">
      <c r="B10" s="228" t="s">
        <v>110</v>
      </c>
      <c r="P10" s="367"/>
      <c r="Q10" s="367"/>
      <c r="R10" s="367"/>
      <c r="S10" s="367"/>
      <c r="T10" s="367"/>
      <c r="U10" s="367"/>
      <c r="V10" s="367"/>
      <c r="W10" s="367"/>
      <c r="X10" s="241">
        <f>X137+X138</f>
        <v>106.60000000000001</v>
      </c>
      <c r="Y10" s="241"/>
      <c r="Z10" s="241">
        <f>Z137+Z138</f>
        <v>190.59208822896045</v>
      </c>
      <c r="AA10" s="241"/>
      <c r="AB10" s="241">
        <f>AB137+AB138</f>
        <v>260.51513826555544</v>
      </c>
      <c r="AC10" s="241"/>
      <c r="AD10" s="241">
        <f>AD137+AD138</f>
        <v>276.20099258791271</v>
      </c>
      <c r="AE10" s="241"/>
      <c r="AF10" s="241">
        <f t="shared" ref="AF10:AL10" si="5">AF137+AF138</f>
        <v>326.32461453769645</v>
      </c>
      <c r="AG10" s="241">
        <f t="shared" si="5"/>
        <v>397.13397201867417</v>
      </c>
      <c r="AH10" s="241">
        <f t="shared" si="5"/>
        <v>433.22776049936908</v>
      </c>
      <c r="AI10" s="241">
        <f t="shared" si="5"/>
        <v>456.19959065819791</v>
      </c>
      <c r="AJ10" s="241">
        <f t="shared" si="5"/>
        <v>569.65845829040586</v>
      </c>
      <c r="AK10" s="241">
        <f t="shared" si="5"/>
        <v>625.84781344888324</v>
      </c>
      <c r="AL10" s="241">
        <f t="shared" si="5"/>
        <v>2000.5881062693238</v>
      </c>
      <c r="AM10" s="241">
        <f>AM137+AM138</f>
        <v>2010.2219585970829</v>
      </c>
      <c r="AN10" s="241">
        <f>AN137+AN138</f>
        <v>2139.9153695721911</v>
      </c>
      <c r="AO10" s="241">
        <f t="shared" ref="AO10:AP10" si="6">AO137+AO138</f>
        <v>2277.370202794099</v>
      </c>
      <c r="AP10" s="241">
        <f t="shared" si="6"/>
        <v>2228.4734441060709</v>
      </c>
      <c r="AQ10" s="241"/>
    </row>
    <row r="11" spans="1:43" hidden="1" outlineLevel="1">
      <c r="P11" s="367"/>
      <c r="Q11" s="367"/>
      <c r="R11" s="367"/>
      <c r="S11" s="367"/>
      <c r="T11" s="367"/>
      <c r="U11" s="367"/>
      <c r="V11" s="367"/>
      <c r="W11" s="367"/>
      <c r="X11" s="241"/>
      <c r="Y11" s="241"/>
      <c r="Z11" s="241"/>
      <c r="AA11" s="241"/>
      <c r="AB11" s="241"/>
      <c r="AC11" s="241"/>
      <c r="AD11" s="241"/>
      <c r="AE11" s="241"/>
      <c r="AF11" s="241"/>
      <c r="AG11" s="241"/>
      <c r="AH11" s="241"/>
      <c r="AI11" s="241"/>
      <c r="AJ11" s="241"/>
      <c r="AK11" s="241"/>
      <c r="AL11" s="241"/>
      <c r="AM11" s="241"/>
      <c r="AN11" s="241"/>
      <c r="AO11" s="241"/>
      <c r="AP11" s="241"/>
      <c r="AQ11" s="241"/>
    </row>
    <row r="12" spans="1:43" hidden="1" outlineLevel="1">
      <c r="B12" s="228" t="s">
        <v>450</v>
      </c>
      <c r="P12" s="367"/>
      <c r="Q12" s="367"/>
      <c r="R12" s="367"/>
      <c r="S12" s="367"/>
      <c r="T12" s="367"/>
      <c r="U12" s="367"/>
      <c r="V12" s="367"/>
      <c r="W12" s="367"/>
      <c r="X12" s="241">
        <v>0</v>
      </c>
      <c r="Y12" s="241"/>
      <c r="Z12" s="241">
        <v>0</v>
      </c>
      <c r="AA12" s="241"/>
      <c r="AB12" s="241">
        <v>0</v>
      </c>
      <c r="AC12" s="241"/>
      <c r="AD12" s="241">
        <v>0</v>
      </c>
      <c r="AE12" s="241"/>
      <c r="AF12" s="241">
        <f>AF104+AF106+AF109+AF113+AF114</f>
        <v>7480.0325046678736</v>
      </c>
      <c r="AG12" s="241">
        <f t="shared" ref="AG12:AP12" si="7">AG104+AG106+AG109+AG113+AG114</f>
        <v>7479.9203682164652</v>
      </c>
      <c r="AH12" s="241">
        <f t="shared" si="7"/>
        <v>7774.9945667683696</v>
      </c>
      <c r="AI12" s="241">
        <f t="shared" si="7"/>
        <v>7680.525102960135</v>
      </c>
      <c r="AJ12" s="241">
        <f t="shared" si="7"/>
        <v>9040</v>
      </c>
      <c r="AK12" s="241">
        <f t="shared" si="7"/>
        <v>8913.965046170817</v>
      </c>
      <c r="AL12" s="241">
        <f t="shared" si="7"/>
        <v>8861.5370032661904</v>
      </c>
      <c r="AM12" s="241">
        <f t="shared" si="7"/>
        <v>8684.9538231205152</v>
      </c>
      <c r="AN12" s="241">
        <f t="shared" si="7"/>
        <v>8377.0574272487793</v>
      </c>
      <c r="AO12" s="241">
        <f t="shared" si="7"/>
        <v>8458.9570924975014</v>
      </c>
      <c r="AP12" s="241">
        <f t="shared" si="7"/>
        <v>8115.2015124829659</v>
      </c>
      <c r="AQ12" s="241"/>
    </row>
    <row r="13" spans="1:43" hidden="1" outlineLevel="1">
      <c r="P13" s="367"/>
      <c r="Q13" s="367"/>
      <c r="R13" s="367"/>
      <c r="S13" s="367"/>
      <c r="T13" s="367"/>
      <c r="U13" s="367"/>
      <c r="V13" s="367"/>
      <c r="W13" s="367"/>
      <c r="X13" s="241"/>
      <c r="Y13" s="241"/>
      <c r="Z13" s="241"/>
      <c r="AA13" s="241"/>
      <c r="AB13" s="241"/>
      <c r="AC13" s="241"/>
      <c r="AD13" s="241"/>
      <c r="AE13" s="241"/>
      <c r="AF13" s="241"/>
      <c r="AG13" s="241"/>
      <c r="AH13" s="241"/>
      <c r="AI13" s="241"/>
      <c r="AJ13" s="241"/>
    </row>
    <row r="14" spans="1:43" hidden="1" outlineLevel="1">
      <c r="P14" s="367"/>
      <c r="Q14" s="367"/>
      <c r="R14" s="367"/>
      <c r="S14" s="367"/>
      <c r="T14" s="367"/>
      <c r="U14" s="367"/>
      <c r="V14" s="367"/>
      <c r="W14" s="367"/>
      <c r="X14" s="241"/>
      <c r="Y14" s="241"/>
      <c r="Z14" s="241"/>
      <c r="AA14" s="241"/>
      <c r="AB14" s="241"/>
      <c r="AC14" s="241"/>
      <c r="AD14" s="241"/>
      <c r="AE14" s="241"/>
      <c r="AF14" s="241"/>
      <c r="AG14" s="241"/>
      <c r="AH14" s="241"/>
      <c r="AI14" s="241"/>
      <c r="AJ14" s="241"/>
    </row>
    <row r="15" spans="1:43" ht="27" customHeight="1" collapsed="1">
      <c r="B15" s="1957" t="s">
        <v>431</v>
      </c>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57"/>
      <c r="AQ15" s="1957"/>
    </row>
    <row r="16" spans="1:43">
      <c r="B16" s="1987"/>
      <c r="C16" s="1987"/>
      <c r="D16" s="1987"/>
      <c r="E16" s="1987"/>
      <c r="F16" s="1987"/>
      <c r="G16" s="1987"/>
      <c r="H16" s="1987"/>
      <c r="I16" s="1987"/>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7"/>
      <c r="AK16" s="1987"/>
      <c r="AL16" s="1987"/>
      <c r="AM16" s="1987"/>
      <c r="AN16" s="1987"/>
      <c r="AO16" s="1987"/>
      <c r="AP16" s="1987"/>
      <c r="AQ16" s="1987"/>
    </row>
    <row r="17" spans="2:43">
      <c r="B17" s="232" t="s">
        <v>537</v>
      </c>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row>
    <row r="18" spans="2:43">
      <c r="O18" s="239"/>
      <c r="P18" s="239"/>
      <c r="Q18" s="239"/>
      <c r="R18" s="239"/>
      <c r="S18" s="239"/>
      <c r="T18" s="239"/>
      <c r="U18" s="239"/>
      <c r="V18" s="239"/>
      <c r="W18" s="239"/>
      <c r="X18" s="233"/>
      <c r="Y18" s="231"/>
      <c r="Z18" s="231"/>
      <c r="AA18" s="231"/>
      <c r="AB18" s="231"/>
      <c r="AC18" s="231"/>
      <c r="AD18" s="231"/>
      <c r="AE18" s="231"/>
      <c r="AF18" s="231"/>
      <c r="AG18" s="231"/>
      <c r="AH18" s="231"/>
      <c r="AI18" s="228"/>
      <c r="AJ18" s="228"/>
    </row>
    <row r="19" spans="2:43">
      <c r="B19" s="232" t="s">
        <v>259</v>
      </c>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28"/>
      <c r="AJ19" s="228"/>
    </row>
    <row r="20" spans="2:43">
      <c r="B20" s="238"/>
      <c r="C20" s="238"/>
      <c r="D20" s="238"/>
      <c r="E20" s="238"/>
      <c r="F20" s="238"/>
      <c r="G20" s="238"/>
      <c r="H20" s="238"/>
      <c r="I20" s="238"/>
      <c r="J20" s="238"/>
      <c r="K20" s="238"/>
      <c r="L20" s="238"/>
      <c r="M20" s="238"/>
      <c r="N20" s="238"/>
      <c r="O20" s="359"/>
      <c r="P20" s="359"/>
      <c r="Q20" s="359"/>
      <c r="R20" s="359"/>
      <c r="S20" s="359"/>
      <c r="T20" s="359"/>
      <c r="U20" s="359"/>
      <c r="V20" s="359"/>
      <c r="W20" s="359"/>
      <c r="X20" s="360"/>
      <c r="Y20" s="360"/>
      <c r="Z20" s="360"/>
      <c r="AA20" s="360"/>
      <c r="AB20" s="360"/>
      <c r="AC20" s="360"/>
      <c r="AD20" s="360"/>
      <c r="AE20" s="360"/>
      <c r="AF20" s="360"/>
      <c r="AG20" s="360"/>
      <c r="AH20" s="360"/>
      <c r="AI20" s="228"/>
      <c r="AJ20" s="228"/>
    </row>
    <row r="21" spans="2:43">
      <c r="O21" s="239"/>
      <c r="P21" s="239"/>
      <c r="Q21" s="239"/>
      <c r="R21" s="239"/>
      <c r="S21" s="239"/>
      <c r="T21" s="239"/>
      <c r="U21" s="239"/>
      <c r="V21" s="239"/>
      <c r="W21" s="239"/>
      <c r="X21" s="361">
        <v>2001</v>
      </c>
      <c r="Y21" s="363"/>
      <c r="Z21" s="362">
        <v>2003</v>
      </c>
      <c r="AA21" s="363"/>
      <c r="AB21" s="362">
        <v>2005</v>
      </c>
      <c r="AC21" s="363"/>
      <c r="AD21" s="362">
        <v>2007</v>
      </c>
      <c r="AE21" s="363"/>
      <c r="AF21" s="362">
        <v>2009</v>
      </c>
      <c r="AG21" s="362">
        <v>2010</v>
      </c>
      <c r="AH21" s="362">
        <v>2011</v>
      </c>
      <c r="AI21" s="362">
        <v>2012</v>
      </c>
      <c r="AJ21" s="362">
        <v>2013</v>
      </c>
      <c r="AK21" s="362">
        <v>2014</v>
      </c>
      <c r="AL21" s="362">
        <v>2015</v>
      </c>
      <c r="AM21" s="362">
        <v>2016</v>
      </c>
      <c r="AN21" s="362">
        <v>2017</v>
      </c>
      <c r="AO21" s="362">
        <v>2018</v>
      </c>
      <c r="AP21" s="362">
        <v>2019</v>
      </c>
      <c r="AQ21" s="362">
        <v>2020</v>
      </c>
    </row>
    <row r="22" spans="2:43">
      <c r="B22" s="1535"/>
      <c r="C22" s="1536"/>
      <c r="O22" s="239"/>
      <c r="P22" s="239"/>
      <c r="Q22" s="239"/>
      <c r="R22" s="239"/>
      <c r="S22" s="239"/>
      <c r="T22" s="239"/>
      <c r="U22" s="239"/>
      <c r="V22" s="239"/>
      <c r="W22" s="239"/>
      <c r="X22" s="233"/>
      <c r="Y22" s="233"/>
      <c r="Z22" s="233"/>
      <c r="AA22" s="233"/>
      <c r="AB22" s="233"/>
      <c r="AC22" s="233"/>
      <c r="AD22" s="233"/>
      <c r="AE22" s="233"/>
      <c r="AF22" s="233"/>
      <c r="AG22" s="233"/>
      <c r="AH22" s="233"/>
      <c r="AI22" s="228"/>
      <c r="AJ22" s="228"/>
    </row>
    <row r="23" spans="2:43">
      <c r="B23" s="235">
        <v>1</v>
      </c>
      <c r="C23" s="237" t="s">
        <v>410</v>
      </c>
      <c r="O23" s="239"/>
      <c r="P23" s="239"/>
      <c r="Q23" s="239"/>
      <c r="R23" s="239"/>
      <c r="S23" s="239"/>
      <c r="T23" s="239"/>
      <c r="U23" s="239"/>
      <c r="V23" s="239"/>
      <c r="W23" s="239"/>
      <c r="X23" s="241"/>
      <c r="Y23" s="241"/>
      <c r="Z23" s="241"/>
      <c r="AA23" s="241"/>
      <c r="AB23" s="241"/>
      <c r="AC23" s="241"/>
      <c r="AD23" s="241"/>
      <c r="AE23" s="241"/>
      <c r="AF23" s="241"/>
      <c r="AG23" s="241"/>
      <c r="AH23" s="241"/>
      <c r="AI23" s="241"/>
      <c r="AJ23" s="228"/>
    </row>
    <row r="24" spans="2:43">
      <c r="B24" s="236" t="s">
        <v>289</v>
      </c>
      <c r="C24" s="237" t="s">
        <v>538</v>
      </c>
      <c r="O24" s="239"/>
      <c r="P24" s="239"/>
      <c r="Q24" s="239"/>
      <c r="R24" s="239"/>
      <c r="S24" s="239"/>
      <c r="T24" s="239"/>
      <c r="U24" s="239"/>
      <c r="V24" s="239"/>
      <c r="W24" s="239"/>
      <c r="X24" s="231">
        <v>17777.210805261901</v>
      </c>
      <c r="Y24" s="231"/>
      <c r="Z24" s="231">
        <v>19868.194271822202</v>
      </c>
      <c r="AA24" s="231"/>
      <c r="AB24" s="231">
        <v>23540.581468404402</v>
      </c>
      <c r="AC24" s="231"/>
      <c r="AD24" s="231">
        <v>27458.805131085399</v>
      </c>
      <c r="AE24" s="231"/>
      <c r="AF24" s="231">
        <v>32458.145215329496</v>
      </c>
      <c r="AG24" s="231">
        <v>34380.386206563118</v>
      </c>
      <c r="AH24" s="231">
        <v>37369.091406308304</v>
      </c>
      <c r="AI24" s="231">
        <v>37737.812792174482</v>
      </c>
      <c r="AJ24" s="231">
        <v>38734.026991082181</v>
      </c>
      <c r="AK24" s="231">
        <v>40902.476857875052</v>
      </c>
      <c r="AL24" s="231">
        <v>43564.210267311311</v>
      </c>
      <c r="AM24" s="231">
        <v>44307.23745345456</v>
      </c>
      <c r="AN24" s="231">
        <v>44682.242969972765</v>
      </c>
      <c r="AO24" s="231">
        <v>46716.205298350884</v>
      </c>
      <c r="AP24" s="231">
        <v>49036.051337965837</v>
      </c>
    </row>
    <row r="25" spans="2:43">
      <c r="B25" s="236" t="s">
        <v>291</v>
      </c>
      <c r="C25" s="237" t="s">
        <v>506</v>
      </c>
      <c r="O25" s="239"/>
      <c r="P25" s="239"/>
      <c r="Q25" s="239"/>
      <c r="R25" s="239"/>
      <c r="S25" s="239"/>
      <c r="T25" s="239"/>
      <c r="U25" s="239"/>
      <c r="V25" s="239"/>
      <c r="W25" s="239"/>
      <c r="X25" s="231"/>
      <c r="Y25" s="231"/>
      <c r="Z25" s="231"/>
      <c r="AA25" s="231"/>
      <c r="AB25" s="231"/>
      <c r="AC25" s="231"/>
      <c r="AD25" s="231"/>
      <c r="AE25" s="231"/>
      <c r="AF25" s="231"/>
      <c r="AG25" s="231"/>
      <c r="AH25" s="231"/>
      <c r="AI25" s="231"/>
      <c r="AJ25" s="231"/>
      <c r="AK25" s="231"/>
      <c r="AL25" s="231"/>
      <c r="AM25" s="231"/>
      <c r="AN25" s="231"/>
      <c r="AO25" s="231"/>
      <c r="AP25" s="231"/>
    </row>
    <row r="26" spans="2:43">
      <c r="B26" s="236" t="s">
        <v>411</v>
      </c>
      <c r="C26" s="237" t="s">
        <v>539</v>
      </c>
      <c r="O26" s="239"/>
      <c r="P26" s="239"/>
      <c r="Q26" s="239"/>
      <c r="R26" s="239"/>
      <c r="S26" s="239"/>
      <c r="T26" s="239"/>
      <c r="U26" s="239"/>
      <c r="V26" s="239"/>
      <c r="W26" s="239"/>
      <c r="X26" s="231">
        <v>501.76510812472901</v>
      </c>
      <c r="Y26" s="231"/>
      <c r="Z26" s="231">
        <v>536.60405281364899</v>
      </c>
      <c r="AA26" s="231"/>
      <c r="AB26" s="231">
        <v>585.38372680259397</v>
      </c>
      <c r="AC26" s="231"/>
      <c r="AD26" s="231">
        <v>648.92685257502603</v>
      </c>
      <c r="AE26" s="231"/>
      <c r="AF26" s="231">
        <v>606.91361173185589</v>
      </c>
      <c r="AG26" s="231">
        <v>646.32890666079118</v>
      </c>
      <c r="AH26" s="231">
        <v>727.85925814326811</v>
      </c>
      <c r="AI26" s="231">
        <v>591.2522893123388</v>
      </c>
      <c r="AJ26" s="231">
        <v>556.64623090644557</v>
      </c>
      <c r="AK26" s="231">
        <v>605.47902872227382</v>
      </c>
      <c r="AL26" s="231">
        <v>658.03463280185144</v>
      </c>
      <c r="AM26" s="231">
        <v>716.48981817363938</v>
      </c>
      <c r="AN26" s="231">
        <v>846.70067119570547</v>
      </c>
      <c r="AO26" s="231">
        <v>965.02971914339093</v>
      </c>
      <c r="AP26" s="231">
        <v>1130.9994183518706</v>
      </c>
    </row>
    <row r="27" spans="2:43">
      <c r="B27" s="235">
        <v>2</v>
      </c>
      <c r="C27" s="237" t="s">
        <v>413</v>
      </c>
      <c r="O27" s="239"/>
      <c r="P27" s="239"/>
      <c r="Q27" s="239"/>
      <c r="R27" s="239"/>
      <c r="S27" s="239"/>
      <c r="T27" s="239"/>
      <c r="U27" s="239"/>
      <c r="V27" s="239"/>
      <c r="W27" s="239"/>
      <c r="X27" s="231"/>
      <c r="Y27" s="231"/>
      <c r="Z27" s="231"/>
      <c r="AA27" s="231"/>
      <c r="AB27" s="231"/>
      <c r="AC27" s="231"/>
      <c r="AD27" s="231"/>
      <c r="AE27" s="231"/>
      <c r="AF27" s="231"/>
      <c r="AG27" s="231"/>
      <c r="AH27" s="231"/>
      <c r="AI27" s="231"/>
      <c r="AJ27" s="231"/>
      <c r="AK27" s="231"/>
      <c r="AL27" s="231"/>
      <c r="AM27" s="231"/>
      <c r="AN27" s="231"/>
      <c r="AO27" s="231"/>
      <c r="AP27" s="231"/>
    </row>
    <row r="28" spans="2:43">
      <c r="B28" s="236" t="s">
        <v>414</v>
      </c>
      <c r="C28" s="237" t="s">
        <v>1568</v>
      </c>
      <c r="O28" s="239"/>
      <c r="P28" s="239"/>
      <c r="Q28" s="239"/>
      <c r="R28" s="239"/>
      <c r="S28" s="239"/>
      <c r="T28" s="239"/>
      <c r="U28" s="239"/>
      <c r="V28" s="239"/>
      <c r="W28" s="239"/>
      <c r="X28" s="231">
        <v>4342.62585841893</v>
      </c>
      <c r="Y28" s="231"/>
      <c r="Z28" s="231">
        <v>4644.8260812562803</v>
      </c>
      <c r="AA28" s="231"/>
      <c r="AB28" s="231">
        <v>5360.6896505875802</v>
      </c>
      <c r="AC28" s="231"/>
      <c r="AD28" s="231">
        <v>5939.4166237572599</v>
      </c>
      <c r="AE28" s="231"/>
      <c r="AF28" s="231">
        <v>6841.3246622051265</v>
      </c>
      <c r="AG28" s="231">
        <v>7166.5303476294139</v>
      </c>
      <c r="AH28" s="231">
        <v>7610.3062823129148</v>
      </c>
      <c r="AI28" s="231">
        <v>7893.1639680321077</v>
      </c>
      <c r="AJ28" s="231">
        <v>8177.1825679430449</v>
      </c>
      <c r="AK28" s="231">
        <v>8650.440233489433</v>
      </c>
      <c r="AL28" s="231">
        <v>9100.1504870676054</v>
      </c>
      <c r="AM28" s="231">
        <v>9209.8276316230349</v>
      </c>
      <c r="AN28" s="231">
        <v>9192.4079712949242</v>
      </c>
      <c r="AO28" s="231">
        <v>9473.6601056746385</v>
      </c>
      <c r="AP28" s="231">
        <v>9762.8530650278535</v>
      </c>
    </row>
    <row r="29" spans="2:43">
      <c r="B29" s="236" t="s">
        <v>507</v>
      </c>
      <c r="C29" s="237" t="s">
        <v>539</v>
      </c>
      <c r="O29" s="239"/>
      <c r="P29" s="239"/>
      <c r="Q29" s="239"/>
      <c r="R29" s="239"/>
      <c r="S29" s="239"/>
      <c r="T29" s="239"/>
      <c r="U29" s="239"/>
      <c r="V29" s="239"/>
      <c r="W29" s="239"/>
      <c r="X29" s="231">
        <v>142.10583825444101</v>
      </c>
      <c r="Y29" s="231"/>
      <c r="Z29" s="231">
        <v>151.68108497325699</v>
      </c>
      <c r="AA29" s="231"/>
      <c r="AB29" s="231">
        <v>167.40575240619299</v>
      </c>
      <c r="AC29" s="231"/>
      <c r="AD29" s="231">
        <v>182.459763982292</v>
      </c>
      <c r="AE29" s="231"/>
      <c r="AF29" s="231">
        <v>186.46748165878023</v>
      </c>
      <c r="AG29" s="231">
        <v>198.64637282550197</v>
      </c>
      <c r="AH29" s="231">
        <v>215.18700280868853</v>
      </c>
      <c r="AI29" s="231">
        <v>182.04631081880984</v>
      </c>
      <c r="AJ29" s="231">
        <v>173.2201300416319</v>
      </c>
      <c r="AK29" s="231">
        <v>179.36025041492303</v>
      </c>
      <c r="AL29" s="231">
        <v>186.49158807156272</v>
      </c>
      <c r="AM29" s="231">
        <v>190.53225337657923</v>
      </c>
      <c r="AN29" s="231">
        <v>225.90889318395497</v>
      </c>
      <c r="AO29" s="231">
        <v>230.84525623762468</v>
      </c>
      <c r="AP29" s="231">
        <v>232.55614673797183</v>
      </c>
    </row>
    <row r="30" spans="2:43">
      <c r="B30" s="235">
        <v>3</v>
      </c>
      <c r="C30" s="237" t="s">
        <v>14</v>
      </c>
      <c r="O30" s="239"/>
      <c r="P30" s="239"/>
      <c r="Q30" s="239"/>
      <c r="R30" s="239"/>
      <c r="S30" s="239"/>
      <c r="T30" s="239"/>
      <c r="U30" s="239"/>
      <c r="V30" s="239"/>
      <c r="W30" s="239"/>
      <c r="X30" s="231"/>
      <c r="Y30" s="231"/>
      <c r="Z30" s="231"/>
      <c r="AA30" s="231"/>
      <c r="AB30" s="231"/>
      <c r="AC30" s="231"/>
      <c r="AD30" s="231"/>
      <c r="AE30" s="231"/>
      <c r="AF30" s="231"/>
      <c r="AG30" s="231"/>
      <c r="AH30" s="231"/>
      <c r="AI30" s="231"/>
      <c r="AJ30" s="231"/>
      <c r="AK30" s="231"/>
      <c r="AL30" s="231"/>
      <c r="AM30" s="231"/>
      <c r="AN30" s="231"/>
    </row>
    <row r="31" spans="2:43">
      <c r="B31" s="236" t="s">
        <v>540</v>
      </c>
      <c r="C31" s="237" t="s">
        <v>541</v>
      </c>
      <c r="O31" s="239"/>
      <c r="P31" s="239"/>
      <c r="Q31" s="239"/>
      <c r="R31" s="239"/>
      <c r="S31" s="239"/>
      <c r="T31" s="239"/>
      <c r="U31" s="239"/>
      <c r="V31" s="239"/>
      <c r="W31" s="239"/>
      <c r="X31" s="231">
        <v>2347.3386969088601</v>
      </c>
      <c r="Y31" s="231"/>
      <c r="Z31" s="231">
        <v>2276.2863629006365</v>
      </c>
      <c r="AA31" s="231"/>
      <c r="AB31" s="231">
        <v>2258.01653645837</v>
      </c>
      <c r="AC31" s="231"/>
      <c r="AD31" s="231">
        <v>2196.4403372591401</v>
      </c>
      <c r="AE31" s="231"/>
      <c r="AF31" s="231">
        <v>2242.8500052857426</v>
      </c>
      <c r="AG31" s="231">
        <v>2194.8015294089414</v>
      </c>
      <c r="AH31" s="231">
        <v>2214.3779960228371</v>
      </c>
      <c r="AI31" s="231">
        <v>3245.6199016158425</v>
      </c>
      <c r="AJ31" s="231">
        <v>3236.9886681680055</v>
      </c>
      <c r="AK31" s="231">
        <v>3282.4492188594104</v>
      </c>
      <c r="AL31" s="231">
        <v>3321.4944229176963</v>
      </c>
      <c r="AM31" s="231">
        <v>3264.3311855907446</v>
      </c>
      <c r="AN31" s="231">
        <v>3185.6901790209927</v>
      </c>
      <c r="AO31" s="231">
        <v>3190.2655267761047</v>
      </c>
      <c r="AP31" s="231">
        <v>3130.8429513703254</v>
      </c>
    </row>
    <row r="32" spans="2:43">
      <c r="B32" s="236" t="s">
        <v>542</v>
      </c>
      <c r="C32" s="237" t="s">
        <v>543</v>
      </c>
      <c r="O32" s="239"/>
      <c r="P32" s="239"/>
      <c r="Q32" s="239"/>
      <c r="R32" s="239"/>
      <c r="S32" s="239"/>
      <c r="T32" s="239"/>
      <c r="U32" s="239"/>
      <c r="V32" s="239"/>
      <c r="W32" s="239"/>
      <c r="X32" s="231">
        <v>16.653693031156902</v>
      </c>
      <c r="Y32" s="231"/>
      <c r="Z32" s="231">
        <v>15.512146233988604</v>
      </c>
      <c r="AA32" s="231"/>
      <c r="AB32" s="231">
        <v>15.798865340821401</v>
      </c>
      <c r="AC32" s="231"/>
      <c r="AD32" s="231">
        <v>16.384291340933402</v>
      </c>
      <c r="AE32" s="231"/>
      <c r="AF32" s="231">
        <v>16.933023788996998</v>
      </c>
      <c r="AG32" s="231">
        <v>18.170636912234642</v>
      </c>
      <c r="AH32" s="231">
        <v>18.037054403990236</v>
      </c>
      <c r="AI32" s="231">
        <v>15.962738046422052</v>
      </c>
      <c r="AJ32" s="231">
        <v>13.83141185869875</v>
      </c>
      <c r="AK32" s="231">
        <v>14.468133431760876</v>
      </c>
      <c r="AL32" s="231">
        <v>15.588148453299421</v>
      </c>
      <c r="AM32" s="231">
        <v>15.78546225845122</v>
      </c>
      <c r="AN32" s="231">
        <v>22.762677775184596</v>
      </c>
      <c r="AO32" s="231">
        <v>24.985089255098689</v>
      </c>
      <c r="AP32" s="231">
        <v>27.060345147044856</v>
      </c>
    </row>
    <row r="33" spans="2:43">
      <c r="B33" s="230"/>
      <c r="C33" s="238"/>
      <c r="O33" s="239"/>
      <c r="P33" s="239"/>
      <c r="Q33" s="239"/>
      <c r="R33" s="239"/>
      <c r="S33" s="239"/>
      <c r="T33" s="239"/>
      <c r="U33" s="239"/>
      <c r="V33" s="239"/>
      <c r="W33" s="239"/>
      <c r="X33" s="231"/>
      <c r="Y33" s="231"/>
      <c r="Z33" s="231"/>
      <c r="AA33" s="231"/>
      <c r="AB33" s="231"/>
      <c r="AC33" s="231"/>
      <c r="AD33" s="231"/>
      <c r="AE33" s="231"/>
      <c r="AF33" s="231"/>
      <c r="AG33" s="231"/>
      <c r="AH33" s="231"/>
      <c r="AI33" s="241"/>
      <c r="AJ33" s="228"/>
      <c r="AO33" s="231"/>
      <c r="AP33" s="231"/>
    </row>
    <row r="34" spans="2:43">
      <c r="B34" s="1537" t="s">
        <v>24</v>
      </c>
      <c r="C34" s="237"/>
      <c r="O34" s="239"/>
      <c r="P34" s="239"/>
      <c r="Q34" s="239"/>
      <c r="R34" s="239"/>
      <c r="S34" s="239"/>
      <c r="T34" s="239"/>
      <c r="U34" s="239"/>
      <c r="V34" s="239"/>
      <c r="W34" s="239"/>
      <c r="X34" s="1538">
        <v>25127.700000000015</v>
      </c>
      <c r="Y34" s="231"/>
      <c r="Z34" s="1538">
        <v>27493.10400000001</v>
      </c>
      <c r="AA34" s="231"/>
      <c r="AB34" s="1538">
        <v>31927.87599999996</v>
      </c>
      <c r="AC34" s="231"/>
      <c r="AD34" s="1538">
        <v>36442.433000000048</v>
      </c>
      <c r="AE34" s="231"/>
      <c r="AF34" s="1538">
        <v>42352.633999999991</v>
      </c>
      <c r="AG34" s="1538">
        <v>44604.864000000001</v>
      </c>
      <c r="AH34" s="1538">
        <v>48154.858999999997</v>
      </c>
      <c r="AI34" s="1538">
        <v>49665.858000000007</v>
      </c>
      <c r="AJ34" s="1538">
        <v>50891.896000000015</v>
      </c>
      <c r="AK34" s="1538">
        <v>53634.673722792846</v>
      </c>
      <c r="AL34" s="1538">
        <v>56845.969546623332</v>
      </c>
      <c r="AM34" s="1538">
        <v>57704.203804477009</v>
      </c>
      <c r="AN34" s="1538">
        <v>58155.713362443537</v>
      </c>
      <c r="AO34" s="1538">
        <f>SUM(AO24:AO32)</f>
        <v>60600.990995437744</v>
      </c>
      <c r="AP34" s="1538">
        <f>SUM(AP24:AP32)</f>
        <v>63320.363264600906</v>
      </c>
      <c r="AQ34" s="1538" t="s">
        <v>234</v>
      </c>
    </row>
    <row r="35" spans="2:43">
      <c r="B35" s="957"/>
      <c r="C35" s="904"/>
      <c r="D35" s="238"/>
      <c r="E35" s="238"/>
      <c r="F35" s="238"/>
      <c r="G35" s="238"/>
      <c r="H35" s="238"/>
      <c r="I35" s="238"/>
      <c r="J35" s="238"/>
      <c r="K35" s="238"/>
      <c r="L35" s="238"/>
      <c r="M35" s="238"/>
      <c r="N35" s="238"/>
      <c r="O35" s="359"/>
      <c r="P35" s="359"/>
      <c r="Q35" s="359"/>
      <c r="R35" s="359"/>
      <c r="S35" s="359"/>
      <c r="T35" s="359"/>
      <c r="U35" s="359"/>
      <c r="V35" s="359"/>
      <c r="W35" s="359"/>
      <c r="X35" s="360"/>
      <c r="Y35" s="360"/>
      <c r="Z35" s="360"/>
      <c r="AA35" s="360"/>
      <c r="AB35" s="360"/>
      <c r="AC35" s="360"/>
      <c r="AD35" s="360"/>
      <c r="AE35" s="360"/>
      <c r="AF35" s="360"/>
      <c r="AG35" s="360"/>
      <c r="AH35" s="360"/>
      <c r="AI35" s="360"/>
      <c r="AJ35" s="360"/>
      <c r="AK35" s="360"/>
      <c r="AL35" s="360"/>
      <c r="AM35" s="360"/>
      <c r="AN35" s="360"/>
      <c r="AO35" s="360"/>
      <c r="AP35" s="360"/>
      <c r="AQ35" s="360"/>
    </row>
    <row r="36" spans="2:43">
      <c r="O36" s="239"/>
      <c r="P36" s="239"/>
      <c r="Q36" s="239"/>
      <c r="R36" s="239"/>
      <c r="S36" s="239"/>
      <c r="T36" s="239"/>
      <c r="U36" s="239"/>
      <c r="V36" s="239"/>
      <c r="W36" s="239"/>
      <c r="X36" s="233"/>
      <c r="Y36" s="233"/>
      <c r="Z36" s="233"/>
      <c r="AA36" s="233"/>
      <c r="AB36" s="233"/>
      <c r="AC36" s="233"/>
      <c r="AD36" s="233"/>
      <c r="AE36" s="233"/>
      <c r="AF36" s="233"/>
      <c r="AG36" s="233"/>
      <c r="AH36" s="233"/>
      <c r="AI36" s="228"/>
      <c r="AJ36" s="228"/>
    </row>
    <row r="37" spans="2:43">
      <c r="B37" s="228" t="s">
        <v>544</v>
      </c>
      <c r="O37" s="239"/>
      <c r="P37" s="239"/>
      <c r="Q37" s="239"/>
      <c r="R37" s="239"/>
      <c r="S37" s="239"/>
      <c r="T37" s="239"/>
      <c r="U37" s="239"/>
      <c r="V37" s="239"/>
      <c r="W37" s="239"/>
      <c r="X37" s="233"/>
      <c r="Y37" s="233"/>
      <c r="Z37" s="233"/>
      <c r="AA37" s="233"/>
      <c r="AB37" s="233"/>
      <c r="AC37" s="233"/>
      <c r="AD37" s="233"/>
      <c r="AE37" s="233"/>
      <c r="AF37" s="233"/>
      <c r="AG37" s="233"/>
      <c r="AH37" s="233"/>
      <c r="AI37" s="228"/>
      <c r="AJ37" s="228"/>
    </row>
    <row r="38" spans="2:43">
      <c r="B38" s="369"/>
      <c r="C38" s="369"/>
      <c r="D38" s="369"/>
      <c r="E38" s="369"/>
      <c r="F38" s="369"/>
      <c r="G38" s="369"/>
      <c r="H38" s="369"/>
      <c r="I38" s="369"/>
      <c r="J38" s="369"/>
      <c r="K38" s="369"/>
      <c r="L38" s="369"/>
      <c r="M38" s="369"/>
      <c r="N38" s="369"/>
      <c r="O38" s="369"/>
      <c r="P38" s="369"/>
      <c r="Q38" s="369"/>
      <c r="R38" s="1084"/>
      <c r="S38" s="1084"/>
      <c r="T38" s="1084"/>
      <c r="U38" s="1084"/>
      <c r="V38" s="1084"/>
      <c r="W38" s="1084"/>
      <c r="X38" s="1090"/>
      <c r="Y38" s="1090"/>
      <c r="Z38" s="1090"/>
      <c r="AA38" s="1090"/>
      <c r="AB38" s="1090"/>
      <c r="AC38" s="1090"/>
      <c r="AD38" s="1090"/>
      <c r="AE38" s="1090"/>
      <c r="AF38" s="1090"/>
      <c r="AG38" s="1090"/>
      <c r="AH38" s="1090"/>
      <c r="AI38" s="228"/>
      <c r="AJ38" s="228"/>
    </row>
    <row r="39" spans="2:43" hidden="1">
      <c r="B39" s="369"/>
      <c r="C39" s="369"/>
      <c r="D39" s="369"/>
      <c r="E39" s="369"/>
      <c r="F39" s="369"/>
      <c r="G39" s="369"/>
      <c r="H39" s="369"/>
      <c r="I39" s="369"/>
      <c r="J39" s="369"/>
      <c r="K39" s="369"/>
      <c r="L39" s="369"/>
      <c r="M39" s="369"/>
      <c r="N39" s="369"/>
      <c r="O39" s="369"/>
      <c r="P39" s="369"/>
      <c r="Q39" s="369"/>
      <c r="R39" s="1084"/>
      <c r="S39" s="1084"/>
      <c r="T39" s="1084"/>
      <c r="U39" s="1084"/>
      <c r="V39" s="1084"/>
      <c r="W39" s="1084"/>
      <c r="X39" s="1090"/>
      <c r="Y39" s="1090"/>
      <c r="Z39" s="1090"/>
      <c r="AA39" s="1090"/>
      <c r="AB39" s="1090"/>
      <c r="AC39" s="1090"/>
      <c r="AD39" s="1090"/>
      <c r="AE39" s="1090"/>
      <c r="AF39" s="1090"/>
      <c r="AG39" s="1090"/>
      <c r="AH39" s="1090"/>
      <c r="AI39" s="228"/>
      <c r="AJ39" s="228"/>
    </row>
    <row r="40" spans="2:43" hidden="1">
      <c r="B40" s="369"/>
      <c r="C40" s="369"/>
      <c r="D40" s="369"/>
      <c r="E40" s="369"/>
      <c r="F40" s="369"/>
      <c r="G40" s="369"/>
      <c r="H40" s="369"/>
      <c r="I40" s="369"/>
      <c r="J40" s="369"/>
      <c r="K40" s="369"/>
      <c r="L40" s="369"/>
      <c r="M40" s="369"/>
      <c r="N40" s="369"/>
      <c r="O40" s="369"/>
      <c r="P40" s="369"/>
      <c r="Q40" s="369"/>
      <c r="R40" s="1084"/>
      <c r="S40" s="1084"/>
      <c r="T40" s="1084"/>
      <c r="U40" s="1084"/>
      <c r="V40" s="1084"/>
      <c r="W40" s="1084"/>
      <c r="X40" s="1090"/>
      <c r="Y40" s="1090"/>
      <c r="Z40" s="1090"/>
      <c r="AA40" s="1090"/>
      <c r="AB40" s="1090"/>
      <c r="AC40" s="1090"/>
      <c r="AD40" s="1090"/>
      <c r="AE40" s="1090"/>
      <c r="AF40" s="1090"/>
      <c r="AG40" s="1090"/>
      <c r="AH40" s="1090"/>
      <c r="AI40" s="1090"/>
      <c r="AJ40" s="228"/>
    </row>
    <row r="41" spans="2:43" hidden="1">
      <c r="B41" s="369"/>
      <c r="C41" s="369"/>
      <c r="D41" s="369"/>
      <c r="E41" s="369"/>
      <c r="F41" s="369"/>
      <c r="G41" s="369"/>
      <c r="H41" s="369"/>
      <c r="I41" s="369"/>
      <c r="J41" s="369"/>
      <c r="K41" s="369"/>
      <c r="L41" s="369"/>
      <c r="M41" s="369"/>
      <c r="N41" s="369"/>
      <c r="O41" s="369"/>
      <c r="P41" s="369"/>
      <c r="Q41" s="369"/>
      <c r="R41" s="1084"/>
      <c r="S41" s="1084"/>
      <c r="T41" s="1084"/>
      <c r="U41" s="1084"/>
      <c r="V41" s="1084"/>
      <c r="W41" s="1084"/>
      <c r="X41" s="1090"/>
      <c r="Y41" s="1090"/>
      <c r="Z41" s="1090"/>
      <c r="AA41" s="1090"/>
      <c r="AB41" s="1090"/>
      <c r="AC41" s="1090"/>
      <c r="AD41" s="1090"/>
      <c r="AE41" s="1090"/>
      <c r="AF41" s="1090"/>
      <c r="AG41" s="1090"/>
      <c r="AH41" s="1090"/>
      <c r="AI41" s="1090"/>
      <c r="AJ41" s="228"/>
    </row>
    <row r="42" spans="2:43" hidden="1">
      <c r="B42" s="369"/>
      <c r="C42" s="369"/>
      <c r="D42" s="369"/>
      <c r="E42" s="369"/>
      <c r="F42" s="369"/>
      <c r="G42" s="369"/>
      <c r="H42" s="369"/>
      <c r="I42" s="369"/>
      <c r="J42" s="369"/>
      <c r="K42" s="369"/>
      <c r="L42" s="369"/>
      <c r="M42" s="369"/>
      <c r="N42" s="369"/>
      <c r="O42" s="369"/>
      <c r="P42" s="369"/>
      <c r="Q42" s="369"/>
      <c r="R42" s="1084"/>
      <c r="S42" s="1084"/>
      <c r="T42" s="1084"/>
      <c r="U42" s="1084"/>
      <c r="V42" s="1084"/>
      <c r="W42" s="1084"/>
      <c r="X42" s="1090"/>
      <c r="Y42" s="1090"/>
      <c r="Z42" s="1090"/>
      <c r="AA42" s="1090"/>
      <c r="AB42" s="1090"/>
      <c r="AC42" s="1090"/>
      <c r="AD42" s="1090"/>
      <c r="AE42" s="1090"/>
      <c r="AF42" s="1090"/>
      <c r="AG42" s="1090"/>
      <c r="AH42" s="1090"/>
      <c r="AI42" s="1090"/>
      <c r="AJ42" s="1090"/>
    </row>
    <row r="43" spans="2:43" hidden="1">
      <c r="B43" s="369"/>
      <c r="C43" s="369"/>
      <c r="D43" s="369"/>
      <c r="E43" s="369"/>
      <c r="F43" s="369"/>
      <c r="G43" s="369"/>
      <c r="H43" s="369"/>
      <c r="I43" s="369"/>
      <c r="J43" s="369"/>
      <c r="K43" s="369"/>
      <c r="L43" s="369"/>
      <c r="M43" s="369"/>
      <c r="N43" s="369"/>
      <c r="O43" s="369"/>
      <c r="P43" s="369"/>
      <c r="Q43" s="369"/>
      <c r="R43" s="1084"/>
      <c r="S43" s="1084"/>
      <c r="T43" s="1084"/>
      <c r="U43" s="1084"/>
      <c r="V43" s="1084"/>
      <c r="W43" s="1084"/>
      <c r="X43" s="1090"/>
      <c r="Y43" s="1090"/>
      <c r="Z43" s="1090"/>
      <c r="AA43" s="1090"/>
      <c r="AB43" s="1090"/>
      <c r="AC43" s="1090"/>
      <c r="AD43" s="1090"/>
      <c r="AE43" s="1090"/>
      <c r="AF43" s="1090"/>
      <c r="AG43" s="1090"/>
      <c r="AH43" s="1090"/>
      <c r="AI43" s="1090"/>
      <c r="AJ43" s="1090"/>
    </row>
    <row r="44" spans="2:43" hidden="1">
      <c r="B44" s="369"/>
      <c r="C44" s="369"/>
      <c r="D44" s="369"/>
      <c r="E44" s="369"/>
      <c r="F44" s="369"/>
      <c r="G44" s="369"/>
      <c r="H44" s="369"/>
      <c r="I44" s="369"/>
      <c r="J44" s="369"/>
      <c r="K44" s="369"/>
      <c r="L44" s="369"/>
      <c r="M44" s="369"/>
      <c r="N44" s="369"/>
      <c r="O44" s="369"/>
      <c r="P44" s="369"/>
      <c r="Q44" s="369"/>
      <c r="R44" s="1084"/>
      <c r="S44" s="1084"/>
      <c r="T44" s="1084"/>
      <c r="U44" s="1084"/>
      <c r="V44" s="1084"/>
      <c r="W44" s="1084"/>
      <c r="X44" s="1090"/>
      <c r="Y44" s="1090"/>
      <c r="Z44" s="1090"/>
      <c r="AA44" s="1090"/>
      <c r="AB44" s="1090"/>
      <c r="AC44" s="1090"/>
      <c r="AD44" s="1090"/>
      <c r="AE44" s="1090"/>
      <c r="AF44" s="1090"/>
      <c r="AG44" s="1090"/>
      <c r="AH44" s="1090"/>
      <c r="AI44" s="1090"/>
      <c r="AJ44" s="1090"/>
    </row>
    <row r="45" spans="2:43" hidden="1">
      <c r="B45" s="369"/>
      <c r="C45" s="369"/>
      <c r="D45" s="369"/>
      <c r="E45" s="369"/>
      <c r="F45" s="369"/>
      <c r="G45" s="369"/>
      <c r="H45" s="369"/>
      <c r="I45" s="369"/>
      <c r="J45" s="369"/>
      <c r="K45" s="369"/>
      <c r="L45" s="369"/>
      <c r="M45" s="369"/>
      <c r="N45" s="369"/>
      <c r="O45" s="369"/>
      <c r="P45" s="369"/>
      <c r="Q45" s="369"/>
      <c r="R45" s="1084"/>
      <c r="S45" s="1084"/>
      <c r="T45" s="1084"/>
      <c r="U45" s="1084"/>
      <c r="V45" s="1084"/>
      <c r="W45" s="1084"/>
      <c r="X45" s="1090"/>
      <c r="Y45" s="1090"/>
      <c r="Z45" s="1090"/>
      <c r="AA45" s="1090"/>
      <c r="AB45" s="1090"/>
      <c r="AC45" s="1090"/>
      <c r="AD45" s="1090"/>
      <c r="AE45" s="1090"/>
      <c r="AF45" s="1090"/>
      <c r="AG45" s="1090"/>
      <c r="AH45" s="1090"/>
      <c r="AI45" s="1090"/>
      <c r="AJ45" s="1090"/>
    </row>
    <row r="46" spans="2:43" hidden="1">
      <c r="B46" s="369"/>
      <c r="C46" s="369"/>
      <c r="D46" s="369"/>
      <c r="E46" s="369"/>
      <c r="F46" s="369"/>
      <c r="G46" s="369"/>
      <c r="H46" s="369"/>
      <c r="I46" s="369"/>
      <c r="J46" s="369"/>
      <c r="K46" s="369"/>
      <c r="L46" s="369"/>
      <c r="M46" s="369"/>
      <c r="N46" s="369"/>
      <c r="O46" s="369"/>
      <c r="P46" s="369"/>
      <c r="Q46" s="369"/>
      <c r="R46" s="1084"/>
      <c r="S46" s="1084"/>
      <c r="T46" s="1084"/>
      <c r="U46" s="1084"/>
      <c r="V46" s="1084"/>
      <c r="W46" s="1084"/>
      <c r="X46" s="1090"/>
      <c r="Y46" s="1090"/>
      <c r="Z46" s="1090"/>
      <c r="AA46" s="1090"/>
      <c r="AB46" s="1090"/>
      <c r="AC46" s="1090"/>
      <c r="AD46" s="1090"/>
      <c r="AE46" s="1090"/>
      <c r="AF46" s="1090"/>
      <c r="AG46" s="1090"/>
      <c r="AH46" s="1090"/>
      <c r="AI46" s="1090"/>
      <c r="AJ46" s="1090"/>
    </row>
    <row r="47" spans="2:43" hidden="1">
      <c r="B47" s="369"/>
      <c r="C47" s="369"/>
      <c r="D47" s="369"/>
      <c r="E47" s="369"/>
      <c r="F47" s="369"/>
      <c r="G47" s="369"/>
      <c r="H47" s="369"/>
      <c r="I47" s="369"/>
      <c r="J47" s="369"/>
      <c r="K47" s="369"/>
      <c r="L47" s="369"/>
      <c r="M47" s="369"/>
      <c r="N47" s="369"/>
      <c r="O47" s="369"/>
      <c r="P47" s="369"/>
      <c r="Q47" s="369"/>
      <c r="R47" s="1084"/>
      <c r="S47" s="1084"/>
      <c r="T47" s="1084"/>
      <c r="U47" s="1084"/>
      <c r="V47" s="1084"/>
      <c r="W47" s="1084"/>
      <c r="X47" s="1090"/>
      <c r="Y47" s="1090"/>
      <c r="Z47" s="1090"/>
      <c r="AA47" s="1090"/>
      <c r="AB47" s="1090"/>
      <c r="AC47" s="1090"/>
      <c r="AD47" s="1090"/>
      <c r="AE47" s="1090"/>
      <c r="AF47" s="1090"/>
      <c r="AG47" s="1090"/>
      <c r="AH47" s="1090"/>
      <c r="AI47" s="1090"/>
      <c r="AJ47" s="1090"/>
    </row>
    <row r="48" spans="2:43" ht="15" hidden="1">
      <c r="B48" s="1920"/>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090"/>
      <c r="AB48" s="1090"/>
      <c r="AC48" s="1090"/>
      <c r="AD48" s="1090"/>
      <c r="AE48" s="1090"/>
      <c r="AF48" s="1090"/>
      <c r="AG48" s="1090"/>
      <c r="AH48" s="1090"/>
      <c r="AI48" s="1090"/>
      <c r="AJ48" s="1090"/>
    </row>
    <row r="49" spans="2:43" ht="15" hidden="1">
      <c r="B49" s="1920"/>
      <c r="C49" s="1930"/>
      <c r="D49" s="1930"/>
      <c r="E49" s="1930"/>
      <c r="F49" s="1930"/>
      <c r="G49" s="1930"/>
      <c r="H49" s="1930"/>
      <c r="I49" s="1930"/>
      <c r="J49" s="1930"/>
      <c r="K49" s="1930"/>
      <c r="L49" s="1930"/>
      <c r="M49" s="1930"/>
      <c r="N49" s="1930"/>
      <c r="O49" s="1930"/>
      <c r="P49" s="1930"/>
      <c r="Q49" s="1930"/>
      <c r="R49" s="1930"/>
      <c r="S49" s="1930"/>
      <c r="T49" s="1930"/>
      <c r="U49" s="1930"/>
      <c r="V49" s="1930"/>
      <c r="W49" s="1930"/>
      <c r="X49" s="1930"/>
      <c r="Y49" s="1930"/>
      <c r="Z49" s="1930"/>
      <c r="AA49" s="1090"/>
      <c r="AB49" s="1090"/>
      <c r="AC49" s="1090"/>
      <c r="AD49" s="1090"/>
      <c r="AE49" s="1090"/>
      <c r="AF49" s="1090"/>
      <c r="AG49" s="1090"/>
      <c r="AH49" s="1090"/>
      <c r="AI49" s="1090"/>
      <c r="AJ49" s="1090"/>
    </row>
    <row r="50" spans="2:43" ht="15" hidden="1">
      <c r="B50" s="266"/>
      <c r="C50" s="1095"/>
      <c r="D50" s="1095"/>
      <c r="E50" s="1095"/>
      <c r="F50" s="1095"/>
      <c r="G50" s="1095"/>
      <c r="H50" s="1095"/>
      <c r="I50" s="1095"/>
      <c r="J50" s="1095"/>
      <c r="K50" s="1095"/>
      <c r="L50" s="1095"/>
      <c r="M50" s="1095"/>
      <c r="N50" s="1095"/>
      <c r="O50" s="1095"/>
      <c r="P50" s="1095"/>
      <c r="Q50" s="1095"/>
      <c r="R50" s="1095"/>
      <c r="S50" s="1095"/>
      <c r="T50" s="1095"/>
      <c r="U50" s="1095"/>
      <c r="V50" s="1095"/>
      <c r="W50" s="1095"/>
      <c r="X50" s="1095"/>
      <c r="Y50" s="1095"/>
      <c r="Z50" s="1095"/>
      <c r="AA50" s="1090"/>
      <c r="AB50" s="1090"/>
      <c r="AC50" s="1090"/>
      <c r="AD50" s="1090"/>
      <c r="AE50" s="1090"/>
      <c r="AF50" s="1090"/>
      <c r="AG50" s="1090"/>
      <c r="AH50" s="1090"/>
      <c r="AI50" s="1090"/>
      <c r="AJ50" s="1090"/>
    </row>
    <row r="51" spans="2:43" ht="15" hidden="1">
      <c r="B51" s="266"/>
      <c r="C51" s="109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0"/>
      <c r="AB51" s="1090"/>
      <c r="AC51" s="1090"/>
      <c r="AD51" s="1090"/>
      <c r="AE51" s="1090"/>
      <c r="AF51" s="1090"/>
      <c r="AG51" s="1090"/>
      <c r="AH51" s="1090"/>
      <c r="AI51" s="1090"/>
      <c r="AJ51" s="1090"/>
    </row>
    <row r="52" spans="2:43" ht="15" hidden="1">
      <c r="B52" s="266"/>
      <c r="C52" s="1095"/>
      <c r="D52" s="1095"/>
      <c r="E52" s="1095"/>
      <c r="F52" s="1095"/>
      <c r="G52" s="1095"/>
      <c r="H52" s="1095"/>
      <c r="I52" s="1095"/>
      <c r="J52" s="1095"/>
      <c r="K52" s="1095"/>
      <c r="L52" s="1095"/>
      <c r="M52" s="1095"/>
      <c r="N52" s="1095"/>
      <c r="O52" s="1095"/>
      <c r="P52" s="1095"/>
      <c r="Q52" s="1095"/>
      <c r="R52" s="1095"/>
      <c r="S52" s="1095"/>
      <c r="T52" s="1095"/>
      <c r="U52" s="1095"/>
      <c r="V52" s="1095"/>
      <c r="W52" s="1095"/>
      <c r="X52" s="1095"/>
      <c r="Y52" s="1095"/>
      <c r="Z52" s="1095"/>
      <c r="AA52" s="1090"/>
      <c r="AB52" s="1090"/>
      <c r="AC52" s="1090"/>
      <c r="AD52" s="1090"/>
      <c r="AE52" s="1090"/>
      <c r="AF52" s="1090"/>
      <c r="AG52" s="1090"/>
      <c r="AH52" s="1090"/>
      <c r="AI52" s="1090"/>
      <c r="AJ52" s="1090"/>
    </row>
    <row r="53" spans="2:43" ht="15" hidden="1">
      <c r="B53" s="266"/>
      <c r="C53" s="1095"/>
      <c r="D53" s="1095"/>
      <c r="E53" s="1095"/>
      <c r="F53" s="1095"/>
      <c r="G53" s="1095"/>
      <c r="H53" s="1095"/>
      <c r="I53" s="1095"/>
      <c r="J53" s="1095"/>
      <c r="K53" s="1095"/>
      <c r="L53" s="1095"/>
      <c r="M53" s="1095"/>
      <c r="N53" s="1095"/>
      <c r="O53" s="1095"/>
      <c r="P53" s="1095"/>
      <c r="Q53" s="1095"/>
      <c r="R53" s="1095"/>
      <c r="S53" s="1095"/>
      <c r="T53" s="1095"/>
      <c r="U53" s="1095"/>
      <c r="V53" s="1095"/>
      <c r="W53" s="1095"/>
      <c r="X53" s="1095"/>
      <c r="Y53" s="1095"/>
      <c r="Z53" s="1095"/>
      <c r="AA53" s="1090"/>
      <c r="AB53" s="1090"/>
      <c r="AC53" s="1090"/>
      <c r="AD53" s="1090"/>
      <c r="AE53" s="1090"/>
      <c r="AF53" s="1090"/>
      <c r="AG53" s="1090"/>
      <c r="AH53" s="1090"/>
      <c r="AI53" s="1090"/>
      <c r="AJ53" s="1090"/>
    </row>
    <row r="54" spans="2:43" ht="15" hidden="1">
      <c r="B54" s="266"/>
      <c r="C54" s="1095"/>
      <c r="D54" s="1095"/>
      <c r="E54" s="1095"/>
      <c r="F54" s="1095"/>
      <c r="G54" s="1095"/>
      <c r="H54" s="1095"/>
      <c r="I54" s="1095"/>
      <c r="J54" s="1095"/>
      <c r="K54" s="1095"/>
      <c r="L54" s="1095"/>
      <c r="M54" s="1095"/>
      <c r="N54" s="1095"/>
      <c r="O54" s="1095"/>
      <c r="P54" s="1095"/>
      <c r="Q54" s="1095"/>
      <c r="R54" s="1095"/>
      <c r="S54" s="1095"/>
      <c r="T54" s="1095"/>
      <c r="U54" s="1095"/>
      <c r="V54" s="1095"/>
      <c r="W54" s="1095"/>
      <c r="X54" s="1095"/>
      <c r="Y54" s="1095"/>
      <c r="Z54" s="1095"/>
      <c r="AA54" s="1090"/>
      <c r="AB54" s="1090"/>
      <c r="AC54" s="1090"/>
      <c r="AD54" s="1090"/>
      <c r="AE54" s="1090"/>
      <c r="AF54" s="1090"/>
      <c r="AG54" s="1090"/>
      <c r="AH54" s="1090"/>
      <c r="AI54" s="1090"/>
      <c r="AJ54" s="1090"/>
    </row>
    <row r="55" spans="2:43" ht="15" hidden="1">
      <c r="B55" s="1920"/>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090"/>
      <c r="AB55" s="1090"/>
      <c r="AC55" s="1090"/>
      <c r="AD55" s="1090"/>
      <c r="AE55" s="1090"/>
      <c r="AF55" s="1090"/>
      <c r="AG55" s="1090"/>
      <c r="AH55" s="1090"/>
      <c r="AI55" s="1090"/>
      <c r="AJ55" s="1090"/>
    </row>
    <row r="56" spans="2:43" hidden="1">
      <c r="B56" s="369"/>
      <c r="C56" s="369"/>
      <c r="D56" s="369"/>
      <c r="E56" s="369"/>
      <c r="F56" s="369"/>
      <c r="G56" s="369"/>
      <c r="H56" s="369"/>
      <c r="I56" s="369"/>
      <c r="J56" s="369"/>
      <c r="K56" s="369"/>
      <c r="L56" s="369"/>
      <c r="M56" s="369"/>
      <c r="N56" s="369"/>
      <c r="O56" s="369"/>
      <c r="P56" s="369"/>
      <c r="Q56" s="369"/>
      <c r="R56" s="1084"/>
      <c r="S56" s="1084"/>
      <c r="T56" s="1084"/>
      <c r="U56" s="1084"/>
      <c r="V56" s="1084"/>
      <c r="W56" s="1084"/>
      <c r="X56" s="1090"/>
      <c r="Y56" s="1090"/>
      <c r="Z56" s="1090"/>
      <c r="AA56" s="1090"/>
      <c r="AB56" s="1090"/>
      <c r="AC56" s="1090"/>
      <c r="AD56" s="1090"/>
      <c r="AE56" s="1090"/>
      <c r="AF56" s="1090"/>
      <c r="AG56" s="1090"/>
      <c r="AH56" s="1090"/>
      <c r="AI56" s="1090"/>
      <c r="AJ56" s="1090"/>
    </row>
    <row r="57" spans="2:43" hidden="1">
      <c r="B57" s="369"/>
      <c r="C57" s="369"/>
      <c r="D57" s="369"/>
      <c r="E57" s="369"/>
      <c r="F57" s="369"/>
      <c r="G57" s="369"/>
      <c r="H57" s="369"/>
      <c r="I57" s="369"/>
      <c r="J57" s="369"/>
      <c r="K57" s="369"/>
      <c r="L57" s="369"/>
      <c r="M57" s="369"/>
      <c r="N57" s="369"/>
      <c r="O57" s="369"/>
      <c r="P57" s="369"/>
      <c r="Q57" s="369"/>
      <c r="R57" s="1084"/>
      <c r="S57" s="1084"/>
      <c r="T57" s="1084"/>
      <c r="U57" s="1084"/>
      <c r="V57" s="1084"/>
      <c r="W57" s="1084"/>
      <c r="X57" s="1090"/>
      <c r="Y57" s="1090"/>
      <c r="Z57" s="1090"/>
      <c r="AA57" s="1090"/>
      <c r="AB57" s="1090"/>
      <c r="AC57" s="1090"/>
      <c r="AD57" s="1090"/>
      <c r="AE57" s="1090"/>
      <c r="AF57" s="1090"/>
      <c r="AG57" s="1090"/>
      <c r="AH57" s="1090"/>
      <c r="AI57" s="1090"/>
      <c r="AJ57" s="1090"/>
    </row>
    <row r="58" spans="2:43" hidden="1">
      <c r="B58" s="369"/>
      <c r="C58" s="369"/>
      <c r="D58" s="369"/>
      <c r="E58" s="369"/>
      <c r="F58" s="369"/>
      <c r="G58" s="369"/>
      <c r="H58" s="369"/>
      <c r="I58" s="369"/>
      <c r="J58" s="369"/>
      <c r="K58" s="369"/>
      <c r="L58" s="369"/>
      <c r="M58" s="369"/>
      <c r="N58" s="369"/>
      <c r="O58" s="369"/>
      <c r="P58" s="369"/>
      <c r="Q58" s="369"/>
      <c r="R58" s="1084"/>
      <c r="S58" s="1084"/>
      <c r="T58" s="1084"/>
      <c r="U58" s="1084"/>
      <c r="V58" s="1084"/>
      <c r="W58" s="1084"/>
      <c r="X58" s="1090"/>
      <c r="Y58" s="1090"/>
      <c r="Z58" s="1090"/>
      <c r="AA58" s="1090"/>
      <c r="AB58" s="1090"/>
      <c r="AC58" s="1090"/>
      <c r="AD58" s="1090"/>
      <c r="AE58" s="1090"/>
      <c r="AF58" s="1090"/>
      <c r="AG58" s="1090"/>
      <c r="AH58" s="1090"/>
      <c r="AI58" s="1090"/>
      <c r="AJ58" s="1090"/>
    </row>
    <row r="59" spans="2:43">
      <c r="P59" s="367"/>
      <c r="Q59" s="367"/>
      <c r="R59" s="367"/>
      <c r="S59" s="367"/>
      <c r="T59" s="367"/>
      <c r="U59" s="367"/>
      <c r="V59" s="367"/>
      <c r="W59" s="367"/>
      <c r="X59" s="241"/>
      <c r="Y59" s="241"/>
      <c r="Z59" s="241"/>
      <c r="AA59" s="241"/>
      <c r="AB59" s="241"/>
      <c r="AC59" s="241"/>
      <c r="AD59" s="241"/>
      <c r="AE59" s="241"/>
      <c r="AF59" s="241"/>
      <c r="AG59" s="241"/>
      <c r="AH59" s="241"/>
      <c r="AI59" s="241"/>
      <c r="AJ59" s="241"/>
    </row>
    <row r="60" spans="2:43" outlineLevel="1">
      <c r="B60" s="232" t="s">
        <v>26</v>
      </c>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row>
    <row r="61" spans="2:43"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96"/>
      <c r="AH62" s="196"/>
      <c r="AI62" s="191"/>
      <c r="AJ62" s="191"/>
      <c r="AK62" s="191"/>
    </row>
    <row r="63" spans="2:43" outlineLevel="1">
      <c r="B63" s="228" t="s">
        <v>1787</v>
      </c>
      <c r="E63" s="167"/>
      <c r="F63" s="167"/>
      <c r="G63" s="167"/>
      <c r="H63" s="167"/>
      <c r="I63" s="167"/>
      <c r="J63" s="167"/>
      <c r="K63" s="167"/>
      <c r="L63" s="167"/>
      <c r="M63" s="167"/>
      <c r="N63" s="167"/>
      <c r="O63" s="197"/>
      <c r="P63" s="198"/>
      <c r="Q63" s="199"/>
      <c r="R63" s="198"/>
      <c r="S63" s="198"/>
      <c r="T63" s="198"/>
      <c r="U63" s="198"/>
      <c r="V63" s="198"/>
      <c r="W63" s="198"/>
      <c r="X63" s="230">
        <v>2001</v>
      </c>
      <c r="Y63" s="370"/>
      <c r="Z63" s="371">
        <v>2003</v>
      </c>
      <c r="AA63" s="370"/>
      <c r="AB63" s="371">
        <v>2005</v>
      </c>
      <c r="AC63" s="370"/>
      <c r="AD63" s="371">
        <v>2007</v>
      </c>
      <c r="AE63" s="370"/>
      <c r="AF63" s="371">
        <v>2009</v>
      </c>
      <c r="AG63" s="371">
        <v>2010</v>
      </c>
      <c r="AH63" s="371">
        <v>2011</v>
      </c>
      <c r="AI63" s="371">
        <v>2012</v>
      </c>
      <c r="AJ63" s="371">
        <v>2013</v>
      </c>
      <c r="AK63" s="371">
        <v>2014</v>
      </c>
      <c r="AL63" s="371">
        <v>2015</v>
      </c>
      <c r="AM63" s="371">
        <v>2016</v>
      </c>
      <c r="AN63" s="371">
        <v>2017</v>
      </c>
      <c r="AO63" s="371">
        <v>2018</v>
      </c>
      <c r="AP63" s="371">
        <v>2019</v>
      </c>
      <c r="AQ63" s="371">
        <v>2020</v>
      </c>
    </row>
    <row r="64" spans="2:43" outlineLevel="1">
      <c r="B64" s="228" t="s">
        <v>1788</v>
      </c>
      <c r="E64" s="167"/>
      <c r="F64" s="167"/>
      <c r="G64" s="167"/>
      <c r="H64" s="167"/>
      <c r="I64" s="167"/>
      <c r="J64" s="167"/>
      <c r="K64" s="167"/>
      <c r="L64" s="167"/>
      <c r="M64" s="167"/>
      <c r="N64" s="167"/>
      <c r="O64" s="197"/>
      <c r="P64" s="198"/>
      <c r="Q64" s="199"/>
      <c r="R64" s="198"/>
      <c r="S64" s="198"/>
      <c r="T64" s="198"/>
      <c r="U64" s="198"/>
      <c r="V64" s="198"/>
      <c r="W64" s="198"/>
      <c r="Y64" s="236"/>
      <c r="AA64" s="236"/>
      <c r="AB64" s="236"/>
      <c r="AC64" s="236"/>
      <c r="AE64" s="236"/>
      <c r="AI64" s="191"/>
      <c r="AJ64" s="191"/>
      <c r="AK64" s="191"/>
      <c r="AM64" s="191"/>
    </row>
    <row r="65" spans="2:43" outlineLevel="1">
      <c r="B65" s="372" t="s">
        <v>28</v>
      </c>
      <c r="C65" s="228" t="s">
        <v>29</v>
      </c>
      <c r="E65" s="167"/>
      <c r="F65" s="167"/>
      <c r="G65" s="167"/>
      <c r="H65" s="167"/>
      <c r="I65" s="167"/>
      <c r="J65" s="167"/>
      <c r="K65" s="167"/>
      <c r="L65" s="167"/>
      <c r="M65" s="167"/>
      <c r="N65" s="167"/>
      <c r="O65" s="197"/>
      <c r="P65" s="198"/>
      <c r="Q65" s="199"/>
      <c r="R65" s="198"/>
      <c r="S65" s="198"/>
      <c r="T65" s="198"/>
      <c r="U65" s="198"/>
      <c r="V65" s="198"/>
      <c r="W65" s="198"/>
      <c r="X65" s="231">
        <v>775877.8</v>
      </c>
      <c r="Y65" s="229">
        <v>798350.8</v>
      </c>
      <c r="Z65" s="231">
        <v>828303.5</v>
      </c>
      <c r="AA65" s="229">
        <v>856706.6</v>
      </c>
      <c r="AB65" s="231">
        <v>885949.2</v>
      </c>
      <c r="AC65" s="229">
        <v>921982.5</v>
      </c>
      <c r="AD65" s="231">
        <v>953816.2</v>
      </c>
      <c r="AE65" s="229">
        <v>973266.3</v>
      </c>
      <c r="AF65" s="231">
        <v>953183.9</v>
      </c>
      <c r="AG65" s="231">
        <v>978454.3</v>
      </c>
      <c r="AH65" s="231">
        <v>1007661.3</v>
      </c>
      <c r="AI65" s="231">
        <v>995710.1</v>
      </c>
      <c r="AJ65" s="231">
        <v>982189.6</v>
      </c>
      <c r="AK65" s="231">
        <v>986309.5</v>
      </c>
      <c r="AL65" s="231">
        <v>1005936.2</v>
      </c>
      <c r="AM65" s="231">
        <v>1019578.7</v>
      </c>
      <c r="AN65" s="231">
        <v>1046341.5</v>
      </c>
      <c r="AO65" s="231">
        <v>1066167</v>
      </c>
      <c r="AP65" s="231">
        <v>1074676.1000000001</v>
      </c>
      <c r="AQ65" s="231">
        <v>958936.2</v>
      </c>
    </row>
    <row r="66" spans="2:43" ht="5.0999999999999996" customHeight="1" outlineLevel="1">
      <c r="B66" s="229"/>
      <c r="E66" s="167"/>
      <c r="F66" s="167"/>
      <c r="G66" s="167"/>
      <c r="H66" s="167"/>
      <c r="I66" s="167"/>
      <c r="J66" s="167"/>
      <c r="K66" s="167"/>
      <c r="L66" s="167"/>
      <c r="M66" s="167"/>
      <c r="N66" s="167"/>
      <c r="O66" s="197"/>
      <c r="P66" s="198"/>
      <c r="Q66" s="199"/>
      <c r="R66" s="198"/>
      <c r="S66" s="198"/>
      <c r="T66" s="198"/>
      <c r="U66" s="198"/>
      <c r="V66" s="198"/>
      <c r="W66" s="198"/>
      <c r="X66" s="231"/>
      <c r="Z66" s="231"/>
      <c r="AB66" s="231"/>
      <c r="AD66" s="231"/>
      <c r="AF66" s="231"/>
      <c r="AG66" s="231"/>
      <c r="AH66" s="231"/>
      <c r="AI66" s="231"/>
      <c r="AJ66" s="231"/>
      <c r="AK66" s="231"/>
      <c r="AL66" s="231"/>
      <c r="AM66" s="231"/>
      <c r="AN66" s="231"/>
      <c r="AO66" s="231"/>
      <c r="AP66" s="231"/>
      <c r="AQ66" s="231"/>
    </row>
    <row r="67" spans="2:43" outlineLevel="1">
      <c r="B67" s="372" t="s">
        <v>30</v>
      </c>
      <c r="C67" s="228" t="s">
        <v>31</v>
      </c>
      <c r="E67" s="167"/>
      <c r="F67" s="167"/>
      <c r="G67" s="167"/>
      <c r="H67" s="167"/>
      <c r="I67" s="167"/>
      <c r="J67" s="167"/>
      <c r="K67" s="167"/>
      <c r="L67" s="167"/>
      <c r="M67" s="167"/>
      <c r="N67" s="167"/>
      <c r="O67" s="197"/>
      <c r="P67" s="198"/>
      <c r="Q67" s="199"/>
      <c r="R67" s="198"/>
      <c r="S67" s="198"/>
      <c r="T67" s="198"/>
      <c r="U67" s="198"/>
      <c r="V67" s="198"/>
      <c r="W67" s="198"/>
      <c r="X67" s="231">
        <v>882434.8</v>
      </c>
      <c r="Y67" s="229">
        <v>909653.8</v>
      </c>
      <c r="Z67" s="231">
        <v>946495.5</v>
      </c>
      <c r="AA67" s="229">
        <v>983255.60000000009</v>
      </c>
      <c r="AB67" s="231">
        <v>1020665.2</v>
      </c>
      <c r="AC67" s="229">
        <v>1058975.5</v>
      </c>
      <c r="AD67" s="231">
        <v>1095047.2</v>
      </c>
      <c r="AE67" s="229">
        <v>1121714.3</v>
      </c>
      <c r="AF67" s="231">
        <v>1106172.8999999999</v>
      </c>
      <c r="AG67" s="231">
        <v>1135319.3</v>
      </c>
      <c r="AH67" s="231">
        <v>1163032.3</v>
      </c>
      <c r="AI67" s="231">
        <v>1149486.1000000001</v>
      </c>
      <c r="AJ67" s="231">
        <v>1134850.6000000001</v>
      </c>
      <c r="AK67" s="231">
        <v>1139060.5</v>
      </c>
      <c r="AL67" s="231">
        <v>1158361.2</v>
      </c>
      <c r="AM67" s="231">
        <v>1175841.7</v>
      </c>
      <c r="AN67" s="231">
        <v>1206122.5</v>
      </c>
      <c r="AO67" s="231">
        <v>1227979</v>
      </c>
      <c r="AP67" s="231">
        <v>1236226.1000000001</v>
      </c>
      <c r="AQ67" s="231">
        <v>1129169.2</v>
      </c>
    </row>
    <row r="68" spans="2:43" ht="5.0999999999999996" customHeight="1" outlineLevel="1">
      <c r="B68" s="229"/>
      <c r="E68" s="167"/>
      <c r="F68" s="167"/>
      <c r="G68" s="167"/>
      <c r="H68" s="167"/>
      <c r="I68" s="167"/>
      <c r="J68" s="167"/>
      <c r="K68" s="167"/>
      <c r="L68" s="167"/>
      <c r="M68" s="167"/>
      <c r="N68" s="167"/>
      <c r="O68" s="197"/>
      <c r="P68" s="198"/>
      <c r="Q68" s="199"/>
      <c r="R68" s="198"/>
      <c r="S68" s="198"/>
      <c r="T68" s="198"/>
      <c r="U68" s="198"/>
      <c r="V68" s="198"/>
      <c r="W68" s="198"/>
      <c r="AK68" s="229"/>
      <c r="AL68" s="229"/>
      <c r="AM68" s="229"/>
      <c r="AN68" s="229"/>
      <c r="AO68" s="229"/>
      <c r="AP68" s="229"/>
      <c r="AQ68" s="229"/>
    </row>
    <row r="69" spans="2:43" outlineLevel="1">
      <c r="B69" s="372" t="s">
        <v>32</v>
      </c>
      <c r="C69" s="228" t="s">
        <v>33</v>
      </c>
      <c r="E69" s="167"/>
      <c r="F69" s="167"/>
      <c r="G69" s="167"/>
      <c r="H69" s="167"/>
      <c r="I69" s="167"/>
      <c r="J69" s="167"/>
      <c r="K69" s="167"/>
      <c r="L69" s="167"/>
      <c r="M69" s="167"/>
      <c r="N69" s="167"/>
      <c r="O69" s="197"/>
      <c r="P69" s="198"/>
      <c r="Q69" s="199"/>
      <c r="R69" s="198"/>
      <c r="S69" s="198"/>
      <c r="T69" s="198"/>
      <c r="U69" s="198"/>
      <c r="V69" s="198"/>
      <c r="W69" s="198"/>
      <c r="X69" s="231">
        <f>SUM(X71:X72)</f>
        <v>109277</v>
      </c>
      <c r="Y69" s="229">
        <f t="shared" ref="Y69:AQ69" si="8">SUM(Y71:Y72)</f>
        <v>110881</v>
      </c>
      <c r="Z69" s="231">
        <f t="shared" si="8"/>
        <v>111784</v>
      </c>
      <c r="AA69" s="229">
        <f t="shared" si="8"/>
        <v>113389</v>
      </c>
      <c r="AB69" s="231">
        <f t="shared" si="8"/>
        <v>117712</v>
      </c>
      <c r="AC69" s="229">
        <f t="shared" si="8"/>
        <v>126198</v>
      </c>
      <c r="AD69" s="231">
        <f t="shared" si="8"/>
        <v>128527</v>
      </c>
      <c r="AE69" s="229">
        <f t="shared" si="8"/>
        <v>127184</v>
      </c>
      <c r="AF69" s="231">
        <f t="shared" si="8"/>
        <v>122183</v>
      </c>
      <c r="AG69" s="231">
        <f t="shared" si="8"/>
        <v>133999.9</v>
      </c>
      <c r="AH69" s="231">
        <f t="shared" si="8"/>
        <v>139738</v>
      </c>
      <c r="AI69" s="231">
        <f t="shared" si="8"/>
        <v>142966</v>
      </c>
      <c r="AJ69" s="231">
        <f t="shared" si="8"/>
        <v>139641</v>
      </c>
      <c r="AK69" s="231">
        <f t="shared" si="8"/>
        <v>145802</v>
      </c>
      <c r="AL69" s="231">
        <f t="shared" si="8"/>
        <v>146930</v>
      </c>
      <c r="AM69" s="231">
        <f t="shared" si="8"/>
        <v>151322</v>
      </c>
      <c r="AN69" s="231">
        <f t="shared" si="8"/>
        <v>155186</v>
      </c>
      <c r="AO69" s="231">
        <f t="shared" si="8"/>
        <v>156421</v>
      </c>
      <c r="AP69" s="231">
        <f t="shared" si="8"/>
        <v>158645</v>
      </c>
      <c r="AQ69" s="231">
        <f t="shared" si="8"/>
        <v>139826</v>
      </c>
    </row>
    <row r="70" spans="2:43" ht="5.0999999999999996" customHeight="1" outlineLevel="1">
      <c r="B70" s="229"/>
      <c r="E70" s="167"/>
      <c r="F70" s="167"/>
      <c r="G70" s="167"/>
      <c r="H70" s="167"/>
      <c r="I70" s="167"/>
      <c r="J70" s="167"/>
      <c r="K70" s="167"/>
      <c r="L70" s="167"/>
      <c r="M70" s="167"/>
      <c r="N70" s="167"/>
      <c r="O70" s="197"/>
      <c r="P70" s="198"/>
      <c r="Q70" s="199"/>
      <c r="R70" s="198"/>
      <c r="S70" s="198"/>
      <c r="T70" s="198"/>
      <c r="U70" s="198"/>
      <c r="V70" s="198"/>
      <c r="W70" s="198"/>
      <c r="AK70" s="229"/>
      <c r="AL70" s="229"/>
      <c r="AM70" s="229"/>
      <c r="AN70" s="229"/>
      <c r="AO70" s="229"/>
      <c r="AP70" s="229"/>
      <c r="AQ70" s="229"/>
    </row>
    <row r="71" spans="2:43" outlineLevel="1">
      <c r="B71" s="229"/>
      <c r="C71" s="228" t="s">
        <v>34</v>
      </c>
      <c r="E71" s="167"/>
      <c r="F71" s="167"/>
      <c r="G71" s="167"/>
      <c r="H71" s="167"/>
      <c r="I71" s="167"/>
      <c r="J71" s="167"/>
      <c r="K71" s="167"/>
      <c r="L71" s="167"/>
      <c r="M71" s="167"/>
      <c r="N71" s="167"/>
      <c r="O71" s="197"/>
      <c r="P71" s="198"/>
      <c r="Q71" s="199"/>
      <c r="R71" s="198"/>
      <c r="S71" s="198"/>
      <c r="T71" s="198"/>
      <c r="U71" s="198"/>
      <c r="V71" s="198"/>
      <c r="W71" s="198"/>
      <c r="X71" s="231">
        <v>78056</v>
      </c>
      <c r="Y71" s="229">
        <v>80382</v>
      </c>
      <c r="Z71" s="231">
        <v>79099</v>
      </c>
      <c r="AA71" s="229">
        <v>81515</v>
      </c>
      <c r="AB71" s="231">
        <v>85317</v>
      </c>
      <c r="AC71" s="229">
        <v>92860</v>
      </c>
      <c r="AD71" s="231">
        <v>95623</v>
      </c>
      <c r="AE71" s="229">
        <v>93753</v>
      </c>
      <c r="AF71" s="231">
        <v>86544</v>
      </c>
      <c r="AG71" s="231">
        <v>97586</v>
      </c>
      <c r="AH71" s="231">
        <v>98650</v>
      </c>
      <c r="AI71" s="231">
        <v>96170</v>
      </c>
      <c r="AJ71" s="231">
        <v>93921</v>
      </c>
      <c r="AK71" s="231">
        <v>97071</v>
      </c>
      <c r="AL71" s="231">
        <v>100692</v>
      </c>
      <c r="AM71" s="231">
        <v>102086</v>
      </c>
      <c r="AN71" s="231">
        <v>107576</v>
      </c>
      <c r="AO71" s="231">
        <v>109333</v>
      </c>
      <c r="AP71" s="231">
        <v>111533</v>
      </c>
      <c r="AQ71" s="231">
        <v>99486</v>
      </c>
    </row>
    <row r="72" spans="2:43" outlineLevel="1">
      <c r="B72" s="229"/>
      <c r="C72" s="228" t="s">
        <v>35</v>
      </c>
      <c r="E72" s="167"/>
      <c r="F72" s="167"/>
      <c r="G72" s="167"/>
      <c r="H72" s="167"/>
      <c r="I72" s="167"/>
      <c r="J72" s="167"/>
      <c r="K72" s="167"/>
      <c r="L72" s="167"/>
      <c r="M72" s="167"/>
      <c r="N72" s="167"/>
      <c r="O72" s="197"/>
      <c r="P72" s="198"/>
      <c r="Q72" s="199"/>
      <c r="R72" s="198"/>
      <c r="S72" s="198"/>
      <c r="T72" s="198"/>
      <c r="U72" s="198"/>
      <c r="V72" s="198"/>
      <c r="W72" s="198"/>
      <c r="X72" s="231">
        <v>31221</v>
      </c>
      <c r="Y72" s="229">
        <v>30499</v>
      </c>
      <c r="Z72" s="231">
        <v>32685.000000000004</v>
      </c>
      <c r="AA72" s="229">
        <v>31874</v>
      </c>
      <c r="AB72" s="231">
        <v>32395.000000000004</v>
      </c>
      <c r="AC72" s="229">
        <v>33338</v>
      </c>
      <c r="AD72" s="231">
        <v>32904</v>
      </c>
      <c r="AE72" s="229">
        <v>33431</v>
      </c>
      <c r="AF72" s="231">
        <v>35639</v>
      </c>
      <c r="AG72" s="231">
        <v>36413.9</v>
      </c>
      <c r="AH72" s="231">
        <v>41088</v>
      </c>
      <c r="AI72" s="231">
        <v>46796</v>
      </c>
      <c r="AJ72" s="231">
        <v>45720</v>
      </c>
      <c r="AK72" s="231">
        <v>48731</v>
      </c>
      <c r="AL72" s="231">
        <v>46238</v>
      </c>
      <c r="AM72" s="231">
        <v>49236</v>
      </c>
      <c r="AN72" s="231">
        <v>47610</v>
      </c>
      <c r="AO72" s="231">
        <v>47088</v>
      </c>
      <c r="AP72" s="231">
        <v>47112</v>
      </c>
      <c r="AQ72" s="231">
        <v>40340</v>
      </c>
    </row>
    <row r="73" spans="2:43" ht="5.0999999999999996" customHeight="1" outlineLevel="1">
      <c r="B73" s="229"/>
      <c r="E73" s="167"/>
      <c r="F73" s="167"/>
      <c r="G73" s="167"/>
      <c r="H73" s="167"/>
      <c r="I73" s="167"/>
      <c r="J73" s="167"/>
      <c r="K73" s="167"/>
      <c r="L73" s="167"/>
      <c r="M73" s="167"/>
      <c r="N73" s="167"/>
      <c r="O73" s="197"/>
      <c r="P73" s="198"/>
      <c r="Q73" s="199"/>
      <c r="R73" s="198"/>
      <c r="S73" s="198"/>
      <c r="T73" s="198"/>
      <c r="U73" s="198"/>
      <c r="V73" s="198"/>
      <c r="W73" s="198"/>
      <c r="X73" s="231"/>
      <c r="Z73" s="231"/>
      <c r="AB73" s="231"/>
      <c r="AD73" s="231"/>
      <c r="AF73" s="231"/>
      <c r="AG73" s="231"/>
      <c r="AH73" s="231"/>
      <c r="AI73" s="231"/>
      <c r="AJ73" s="231"/>
      <c r="AK73" s="231"/>
      <c r="AL73" s="231"/>
      <c r="AM73" s="231"/>
      <c r="AN73" s="231"/>
      <c r="AO73" s="231"/>
      <c r="AP73" s="231"/>
      <c r="AQ73" s="231"/>
    </row>
    <row r="74" spans="2:43" outlineLevel="1">
      <c r="B74" s="372" t="s">
        <v>36</v>
      </c>
      <c r="C74" s="228" t="s">
        <v>37</v>
      </c>
      <c r="E74" s="167"/>
      <c r="F74" s="167"/>
      <c r="G74" s="167"/>
      <c r="H74" s="167"/>
      <c r="I74" s="167"/>
      <c r="J74" s="167"/>
      <c r="K74" s="167"/>
      <c r="L74" s="167"/>
      <c r="M74" s="167"/>
      <c r="N74" s="167"/>
      <c r="O74" s="197"/>
      <c r="P74" s="198"/>
      <c r="Q74" s="199"/>
      <c r="R74" s="198"/>
      <c r="S74" s="198"/>
      <c r="T74" s="198"/>
      <c r="U74" s="198"/>
      <c r="V74" s="198"/>
      <c r="W74" s="198"/>
      <c r="X74" s="231">
        <v>127190</v>
      </c>
      <c r="Y74" s="229">
        <v>129857</v>
      </c>
      <c r="Z74" s="231">
        <v>130430</v>
      </c>
      <c r="AA74" s="229">
        <v>137438</v>
      </c>
      <c r="AB74" s="231">
        <v>140723</v>
      </c>
      <c r="AC74" s="229">
        <v>151275</v>
      </c>
      <c r="AD74" s="231">
        <v>155191</v>
      </c>
      <c r="AE74" s="229">
        <v>153909</v>
      </c>
      <c r="AF74" s="231">
        <v>148863</v>
      </c>
      <c r="AG74" s="231">
        <v>160774.6</v>
      </c>
      <c r="AH74" s="231">
        <v>167219</v>
      </c>
      <c r="AI74" s="231">
        <v>169389</v>
      </c>
      <c r="AJ74" s="231">
        <v>164597</v>
      </c>
      <c r="AK74" s="231">
        <v>170263</v>
      </c>
      <c r="AL74" s="231">
        <v>174443</v>
      </c>
      <c r="AM74" s="231">
        <v>179379</v>
      </c>
      <c r="AN74" s="231">
        <v>184318</v>
      </c>
      <c r="AO74" s="231">
        <v>184729</v>
      </c>
      <c r="AP74" s="231">
        <v>187723</v>
      </c>
      <c r="AQ74" s="231">
        <v>164944</v>
      </c>
    </row>
    <row r="75" spans="2:43" ht="5.0999999999999996" customHeight="1" outlineLevel="1">
      <c r="B75" s="229"/>
      <c r="E75" s="167"/>
      <c r="F75" s="167"/>
      <c r="G75" s="167"/>
      <c r="H75" s="167"/>
      <c r="I75" s="167"/>
      <c r="J75" s="167"/>
      <c r="K75" s="167"/>
      <c r="L75" s="167"/>
      <c r="M75" s="167"/>
      <c r="N75" s="167"/>
      <c r="O75" s="197"/>
      <c r="P75" s="198"/>
      <c r="Q75" s="199"/>
      <c r="R75" s="198"/>
      <c r="S75" s="198"/>
      <c r="T75" s="198"/>
      <c r="U75" s="198"/>
      <c r="V75" s="198"/>
      <c r="W75" s="198"/>
      <c r="X75" s="231"/>
      <c r="Z75" s="231"/>
      <c r="AB75" s="231"/>
      <c r="AD75" s="231"/>
      <c r="AF75" s="231"/>
      <c r="AG75" s="231"/>
      <c r="AH75" s="231"/>
      <c r="AI75" s="231"/>
      <c r="AJ75" s="231"/>
      <c r="AK75" s="231"/>
      <c r="AL75" s="231"/>
      <c r="AM75" s="231"/>
      <c r="AN75" s="231"/>
      <c r="AO75" s="231"/>
      <c r="AP75" s="231"/>
      <c r="AQ75" s="231"/>
    </row>
    <row r="76" spans="2:43" outlineLevel="1">
      <c r="B76" s="372" t="s">
        <v>38</v>
      </c>
      <c r="C76" s="228" t="s">
        <v>39</v>
      </c>
      <c r="E76" s="167"/>
      <c r="F76" s="167"/>
      <c r="G76" s="167"/>
      <c r="H76" s="167"/>
      <c r="I76" s="167"/>
      <c r="J76" s="167"/>
      <c r="K76" s="167"/>
      <c r="L76" s="167"/>
      <c r="M76" s="167"/>
      <c r="N76" s="167"/>
      <c r="O76" s="197"/>
      <c r="P76" s="198"/>
      <c r="Q76" s="199"/>
      <c r="R76" s="198"/>
      <c r="S76" s="198"/>
      <c r="T76" s="198"/>
      <c r="U76" s="198"/>
      <c r="V76" s="198"/>
      <c r="W76" s="198"/>
      <c r="X76" s="231">
        <v>141885</v>
      </c>
      <c r="Y76" s="229">
        <v>145590</v>
      </c>
      <c r="Z76" s="231">
        <v>144745</v>
      </c>
      <c r="AA76" s="229">
        <v>152064</v>
      </c>
      <c r="AB76" s="231">
        <v>155886</v>
      </c>
      <c r="AC76" s="229">
        <v>166767</v>
      </c>
      <c r="AD76" s="231">
        <v>171869</v>
      </c>
      <c r="AE76" s="229">
        <v>171038</v>
      </c>
      <c r="AF76" s="231">
        <v>166215</v>
      </c>
      <c r="AG76" s="231">
        <v>178862.59999999998</v>
      </c>
      <c r="AH76" s="231">
        <v>186594</v>
      </c>
      <c r="AI76" s="231">
        <v>189601</v>
      </c>
      <c r="AJ76" s="231">
        <v>187210</v>
      </c>
      <c r="AK76" s="231">
        <v>192957</v>
      </c>
      <c r="AL76" s="231">
        <v>196473</v>
      </c>
      <c r="AM76" s="231">
        <v>205093</v>
      </c>
      <c r="AN76" s="231">
        <v>209911</v>
      </c>
      <c r="AO76" s="231">
        <v>212057</v>
      </c>
      <c r="AP76" s="231">
        <v>214990</v>
      </c>
      <c r="AQ76" s="231">
        <v>190334</v>
      </c>
    </row>
    <row r="77" spans="2:43" outlineLevel="1">
      <c r="B77" s="372"/>
      <c r="E77" s="167"/>
      <c r="F77" s="167"/>
      <c r="G77" s="167"/>
      <c r="H77" s="167"/>
      <c r="I77" s="167"/>
      <c r="J77" s="167"/>
      <c r="K77" s="167"/>
      <c r="L77" s="167"/>
      <c r="M77" s="167"/>
      <c r="N77" s="167"/>
      <c r="O77" s="197"/>
      <c r="P77" s="198"/>
      <c r="Q77" s="199"/>
      <c r="R77" s="198"/>
      <c r="S77" s="198"/>
      <c r="T77" s="198"/>
      <c r="U77" s="198"/>
      <c r="V77" s="198"/>
      <c r="W77" s="198"/>
      <c r="X77" s="231"/>
      <c r="Z77" s="231"/>
      <c r="AB77" s="231"/>
      <c r="AD77" s="231"/>
      <c r="AF77" s="231"/>
      <c r="AG77" s="231"/>
      <c r="AH77" s="231"/>
      <c r="AI77" s="231"/>
      <c r="AJ77" s="231"/>
      <c r="AK77" s="231"/>
      <c r="AL77" s="231"/>
      <c r="AM77" s="231"/>
      <c r="AN77" s="231"/>
      <c r="AO77" s="231"/>
      <c r="AP77" s="231"/>
      <c r="AQ77" s="231"/>
    </row>
    <row r="78" spans="2:43" outlineLevel="1">
      <c r="B78" s="228" t="s">
        <v>40</v>
      </c>
      <c r="E78" s="167"/>
      <c r="F78" s="167"/>
      <c r="G78" s="167"/>
      <c r="H78" s="167"/>
      <c r="I78" s="167"/>
      <c r="J78" s="167"/>
      <c r="K78" s="167"/>
      <c r="L78" s="167"/>
      <c r="M78" s="167"/>
      <c r="N78" s="167"/>
      <c r="O78" s="197"/>
      <c r="P78" s="198"/>
      <c r="Q78" s="199"/>
      <c r="R78" s="198"/>
      <c r="S78" s="198"/>
      <c r="T78" s="198"/>
      <c r="U78" s="198"/>
      <c r="V78" s="198"/>
      <c r="W78" s="198"/>
      <c r="X78" s="231"/>
      <c r="Z78" s="231"/>
      <c r="AB78" s="231"/>
      <c r="AD78" s="231"/>
      <c r="AF78" s="231"/>
      <c r="AG78" s="231"/>
      <c r="AH78" s="231"/>
      <c r="AI78" s="231"/>
      <c r="AJ78" s="231"/>
      <c r="AK78" s="231"/>
      <c r="AL78" s="231"/>
      <c r="AM78" s="231"/>
      <c r="AN78" s="231"/>
      <c r="AO78" s="231"/>
      <c r="AP78" s="231"/>
      <c r="AQ78" s="231"/>
    </row>
    <row r="79" spans="2:43" ht="6" customHeight="1" outlineLevel="1">
      <c r="B79" s="229"/>
      <c r="E79" s="167"/>
      <c r="F79" s="167"/>
      <c r="G79" s="167"/>
      <c r="H79" s="167"/>
      <c r="I79" s="167"/>
      <c r="J79" s="167"/>
      <c r="K79" s="167"/>
      <c r="L79" s="167"/>
      <c r="M79" s="167"/>
      <c r="N79" s="167"/>
      <c r="O79" s="197"/>
      <c r="P79" s="198"/>
      <c r="Q79" s="199"/>
      <c r="R79" s="198"/>
      <c r="S79" s="198"/>
      <c r="T79" s="198"/>
      <c r="U79" s="198"/>
      <c r="V79" s="198"/>
      <c r="W79" s="198"/>
      <c r="X79" s="231"/>
      <c r="Z79" s="231"/>
      <c r="AB79" s="231"/>
      <c r="AD79" s="231"/>
      <c r="AF79" s="231"/>
      <c r="AG79" s="231"/>
      <c r="AH79" s="231"/>
      <c r="AI79" s="231"/>
      <c r="AJ79" s="231"/>
      <c r="AK79" s="231"/>
      <c r="AL79" s="231"/>
      <c r="AM79" s="231"/>
      <c r="AN79" s="231"/>
      <c r="AO79" s="231"/>
      <c r="AP79" s="231"/>
      <c r="AQ79" s="231"/>
    </row>
    <row r="80" spans="2:43" outlineLevel="1">
      <c r="B80" s="373" t="s">
        <v>41</v>
      </c>
      <c r="C80" s="240" t="s">
        <v>42</v>
      </c>
      <c r="D80" s="240"/>
      <c r="E80" s="167"/>
      <c r="F80" s="167"/>
      <c r="G80" s="167"/>
      <c r="H80" s="167"/>
      <c r="I80" s="167"/>
      <c r="J80" s="167"/>
      <c r="K80" s="167"/>
      <c r="L80" s="167"/>
      <c r="M80" s="167"/>
      <c r="N80" s="167"/>
      <c r="O80" s="197"/>
      <c r="P80" s="198"/>
      <c r="Q80" s="199"/>
      <c r="R80" s="198"/>
      <c r="S80" s="198"/>
      <c r="T80" s="198"/>
      <c r="U80" s="198"/>
      <c r="V80" s="198"/>
      <c r="W80" s="198"/>
      <c r="X80" s="374">
        <f>X69/X67</f>
        <v>0.12383577800875487</v>
      </c>
      <c r="Y80" s="242">
        <f t="shared" ref="Y80:AQ80" si="9">Y69/Y67</f>
        <v>0.12189362590471231</v>
      </c>
      <c r="Z80" s="374">
        <f t="shared" si="9"/>
        <v>0.11810304433565717</v>
      </c>
      <c r="AA80" s="242">
        <f t="shared" si="9"/>
        <v>0.11531996359847835</v>
      </c>
      <c r="AB80" s="374">
        <f t="shared" si="9"/>
        <v>0.11532870915947757</v>
      </c>
      <c r="AC80" s="242">
        <f t="shared" si="9"/>
        <v>0.11916989580967642</v>
      </c>
      <c r="AD80" s="374">
        <f t="shared" si="9"/>
        <v>0.11737119641966119</v>
      </c>
      <c r="AE80" s="242">
        <f t="shared" si="9"/>
        <v>0.11338359509190531</v>
      </c>
      <c r="AF80" s="374">
        <f t="shared" si="9"/>
        <v>0.11045560779874468</v>
      </c>
      <c r="AG80" s="374">
        <f t="shared" si="9"/>
        <v>0.11802838197148589</v>
      </c>
      <c r="AH80" s="374">
        <f t="shared" si="9"/>
        <v>0.12014971553240611</v>
      </c>
      <c r="AI80" s="374">
        <f t="shared" si="9"/>
        <v>0.12437383975326016</v>
      </c>
      <c r="AJ80" s="374">
        <f t="shared" si="9"/>
        <v>0.12304791485328552</v>
      </c>
      <c r="AK80" s="374">
        <f t="shared" si="9"/>
        <v>0.12800198057960924</v>
      </c>
      <c r="AL80" s="374">
        <f t="shared" si="9"/>
        <v>0.12684299163335236</v>
      </c>
      <c r="AM80" s="374">
        <f t="shared" si="9"/>
        <v>0.12869249321571094</v>
      </c>
      <c r="AN80" s="374">
        <f t="shared" si="9"/>
        <v>0.12866520606323156</v>
      </c>
      <c r="AO80" s="374">
        <f t="shared" si="9"/>
        <v>0.12738084283200282</v>
      </c>
      <c r="AP80" s="374">
        <f t="shared" si="9"/>
        <v>0.12833008460183778</v>
      </c>
      <c r="AQ80" s="374">
        <f t="shared" si="9"/>
        <v>0.12383086609163622</v>
      </c>
    </row>
    <row r="81" spans="2:43" ht="5.0999999999999996" customHeight="1" outlineLevel="1">
      <c r="B81" s="229"/>
      <c r="E81" s="167"/>
      <c r="F81" s="167"/>
      <c r="G81" s="167"/>
      <c r="H81" s="167"/>
      <c r="I81" s="167"/>
      <c r="J81" s="167"/>
      <c r="K81" s="167"/>
      <c r="L81" s="167"/>
      <c r="M81" s="167"/>
      <c r="N81" s="167"/>
      <c r="O81" s="197"/>
      <c r="P81" s="198"/>
      <c r="Q81" s="199"/>
      <c r="R81" s="198"/>
      <c r="S81" s="198"/>
      <c r="T81" s="198"/>
      <c r="U81" s="198"/>
      <c r="V81" s="198"/>
      <c r="W81" s="198"/>
      <c r="X81" s="231"/>
      <c r="Z81" s="231"/>
      <c r="AB81" s="231"/>
      <c r="AD81" s="231"/>
      <c r="AF81" s="231"/>
      <c r="AG81" s="231"/>
      <c r="AH81" s="231"/>
      <c r="AI81" s="231"/>
      <c r="AJ81" s="231"/>
      <c r="AK81" s="231"/>
      <c r="AL81" s="231"/>
      <c r="AM81" s="231"/>
      <c r="AN81" s="231"/>
      <c r="AO81" s="231"/>
      <c r="AP81" s="231"/>
      <c r="AQ81" s="231"/>
    </row>
    <row r="82" spans="2:43" outlineLevel="1">
      <c r="B82" s="372" t="s">
        <v>43</v>
      </c>
      <c r="C82" s="228" t="s">
        <v>44</v>
      </c>
      <c r="E82" s="167"/>
      <c r="F82" s="167"/>
      <c r="G82" s="167"/>
      <c r="H82" s="167"/>
      <c r="I82" s="167"/>
      <c r="J82" s="167"/>
      <c r="K82" s="167"/>
      <c r="L82" s="167"/>
      <c r="M82" s="167"/>
      <c r="N82" s="167"/>
      <c r="O82" s="197"/>
      <c r="P82" s="198"/>
      <c r="Q82" s="199"/>
      <c r="R82" s="198"/>
      <c r="S82" s="198"/>
      <c r="T82" s="198"/>
      <c r="U82" s="198"/>
      <c r="V82" s="198"/>
      <c r="W82" s="198"/>
      <c r="X82" s="379">
        <f>X76/X67</f>
        <v>0.16078808315356555</v>
      </c>
      <c r="Y82" s="229">
        <f t="shared" ref="Y82:AQ82" si="10">Y76/Y67</f>
        <v>0.16004990030273056</v>
      </c>
      <c r="Z82" s="379">
        <f t="shared" si="10"/>
        <v>0.15292729865065391</v>
      </c>
      <c r="AA82" s="229">
        <f t="shared" si="10"/>
        <v>0.1546535814288777</v>
      </c>
      <c r="AB82" s="379">
        <f t="shared" si="10"/>
        <v>0.15272980797229102</v>
      </c>
      <c r="AC82" s="229">
        <f t="shared" si="10"/>
        <v>0.15747956397480395</v>
      </c>
      <c r="AD82" s="379">
        <f t="shared" si="10"/>
        <v>0.15695122548142218</v>
      </c>
      <c r="AE82" s="229">
        <f t="shared" si="10"/>
        <v>0.15247911165971584</v>
      </c>
      <c r="AF82" s="379">
        <f t="shared" si="10"/>
        <v>0.15026131990758407</v>
      </c>
      <c r="AG82" s="379">
        <f t="shared" si="10"/>
        <v>0.15754387334030168</v>
      </c>
      <c r="AH82" s="379">
        <f t="shared" si="10"/>
        <v>0.16043750461616585</v>
      </c>
      <c r="AI82" s="379">
        <f t="shared" si="10"/>
        <v>0.1649441433002104</v>
      </c>
      <c r="AJ82" s="379">
        <f t="shared" si="10"/>
        <v>0.16496444554023232</v>
      </c>
      <c r="AK82" s="379">
        <f t="shared" si="10"/>
        <v>0.16940013282876545</v>
      </c>
      <c r="AL82" s="379">
        <f t="shared" si="10"/>
        <v>0.1696128979458221</v>
      </c>
      <c r="AM82" s="379">
        <f t="shared" si="10"/>
        <v>0.17442228830632558</v>
      </c>
      <c r="AN82" s="379">
        <f t="shared" si="10"/>
        <v>0.17403787757876998</v>
      </c>
      <c r="AO82" s="379">
        <f t="shared" si="10"/>
        <v>0.17268780655043775</v>
      </c>
      <c r="AP82" s="379">
        <f t="shared" si="10"/>
        <v>0.1739083166097205</v>
      </c>
      <c r="AQ82" s="379">
        <f t="shared" si="10"/>
        <v>0.16856109784078419</v>
      </c>
    </row>
    <row r="83" spans="2:43" ht="5.0999999999999996" customHeight="1" outlineLevel="1">
      <c r="B83" s="229"/>
      <c r="E83" s="167"/>
      <c r="F83" s="167"/>
      <c r="G83" s="167"/>
      <c r="H83" s="167"/>
      <c r="I83" s="167"/>
      <c r="J83" s="167"/>
      <c r="K83" s="167"/>
      <c r="L83" s="167"/>
      <c r="M83" s="167"/>
      <c r="N83" s="167"/>
      <c r="O83" s="197"/>
      <c r="P83" s="198"/>
      <c r="Q83" s="199"/>
      <c r="R83" s="198"/>
      <c r="S83" s="198"/>
      <c r="T83" s="198"/>
      <c r="U83" s="198"/>
      <c r="V83" s="198"/>
      <c r="W83" s="198"/>
      <c r="X83" s="231"/>
      <c r="Z83" s="231"/>
      <c r="AB83" s="231"/>
      <c r="AD83" s="231"/>
      <c r="AF83" s="231"/>
      <c r="AG83" s="231"/>
      <c r="AH83" s="231"/>
      <c r="AI83" s="231"/>
      <c r="AJ83" s="231"/>
      <c r="AK83" s="231"/>
      <c r="AL83" s="231"/>
      <c r="AM83" s="231"/>
      <c r="AN83" s="231"/>
      <c r="AO83" s="231"/>
      <c r="AP83" s="231"/>
      <c r="AQ83" s="231"/>
    </row>
    <row r="84" spans="2:43" outlineLevel="1">
      <c r="B84" s="372" t="s">
        <v>45</v>
      </c>
      <c r="C84" s="228" t="s">
        <v>46</v>
      </c>
      <c r="E84" s="167"/>
      <c r="F84" s="167"/>
      <c r="G84" s="167"/>
      <c r="H84" s="167"/>
      <c r="I84" s="167"/>
      <c r="J84" s="167"/>
      <c r="K84" s="167"/>
      <c r="L84" s="167"/>
      <c r="M84" s="167"/>
      <c r="N84" s="167"/>
      <c r="O84" s="197"/>
      <c r="P84" s="198"/>
      <c r="Q84" s="199"/>
      <c r="R84" s="198"/>
      <c r="S84" s="198"/>
      <c r="T84" s="198"/>
      <c r="U84" s="198"/>
      <c r="V84" s="198"/>
      <c r="W84" s="198"/>
      <c r="X84" s="379">
        <f>X76/X65</f>
        <v>0.18287029220323095</v>
      </c>
      <c r="Y84" s="229">
        <f t="shared" ref="Y84:AQ84" si="11">Y76/Y65</f>
        <v>0.18236344223616985</v>
      </c>
      <c r="Z84" s="379">
        <f t="shared" si="11"/>
        <v>0.1747487484961732</v>
      </c>
      <c r="AA84" s="229">
        <f t="shared" si="11"/>
        <v>0.1774983407388247</v>
      </c>
      <c r="AB84" s="379">
        <f t="shared" si="11"/>
        <v>0.17595365513056505</v>
      </c>
      <c r="AC84" s="229">
        <f t="shared" si="11"/>
        <v>0.18087870431380204</v>
      </c>
      <c r="AD84" s="379">
        <f t="shared" si="11"/>
        <v>0.18019090051102091</v>
      </c>
      <c r="AE84" s="229">
        <f t="shared" si="11"/>
        <v>0.17573607552218751</v>
      </c>
      <c r="AF84" s="379">
        <f t="shared" si="11"/>
        <v>0.17437873216280719</v>
      </c>
      <c r="AG84" s="379">
        <f t="shared" si="11"/>
        <v>0.18280117937035995</v>
      </c>
      <c r="AH84" s="379">
        <f t="shared" si="11"/>
        <v>0.18517531634885651</v>
      </c>
      <c r="AI84" s="379">
        <f t="shared" si="11"/>
        <v>0.19041787363611157</v>
      </c>
      <c r="AJ84" s="379">
        <f t="shared" si="11"/>
        <v>0.19060474678208769</v>
      </c>
      <c r="AK84" s="379">
        <f t="shared" si="11"/>
        <v>0.1956353457003101</v>
      </c>
      <c r="AL84" s="379">
        <f t="shared" si="11"/>
        <v>0.19531357952919878</v>
      </c>
      <c r="AM84" s="379">
        <f t="shared" si="11"/>
        <v>0.2011546533877179</v>
      </c>
      <c r="AN84" s="379">
        <f t="shared" si="11"/>
        <v>0.20061423540975867</v>
      </c>
      <c r="AO84" s="379">
        <f t="shared" si="11"/>
        <v>0.19889660812987084</v>
      </c>
      <c r="AP84" s="379">
        <f t="shared" si="11"/>
        <v>0.20005097349796835</v>
      </c>
      <c r="AQ84" s="379">
        <f t="shared" si="11"/>
        <v>0.19848452900203373</v>
      </c>
    </row>
    <row r="85" spans="2:43" ht="5.0999999999999996" customHeight="1" outlineLevel="1">
      <c r="B85" s="238"/>
      <c r="C85" s="238"/>
      <c r="D85" s="238"/>
      <c r="E85" s="562"/>
      <c r="F85" s="562"/>
      <c r="G85" s="562"/>
      <c r="H85" s="562"/>
      <c r="I85" s="562"/>
      <c r="J85" s="562"/>
      <c r="K85" s="562"/>
      <c r="L85" s="562"/>
      <c r="M85" s="562"/>
      <c r="N85" s="562"/>
      <c r="O85" s="561"/>
      <c r="P85" s="194"/>
      <c r="Q85" s="194"/>
      <c r="R85" s="194"/>
      <c r="S85" s="194"/>
      <c r="T85" s="194"/>
      <c r="U85" s="194"/>
      <c r="V85" s="194"/>
      <c r="W85" s="194"/>
      <c r="X85" s="230"/>
      <c r="Y85" s="230"/>
      <c r="Z85" s="230"/>
      <c r="AA85" s="230"/>
      <c r="AB85" s="230"/>
      <c r="AC85" s="230"/>
      <c r="AD85" s="230"/>
      <c r="AE85" s="230"/>
      <c r="AF85" s="230"/>
      <c r="AG85" s="230"/>
      <c r="AH85" s="230"/>
      <c r="AI85" s="230"/>
      <c r="AJ85" s="230"/>
      <c r="AK85" s="230"/>
      <c r="AL85" s="230"/>
      <c r="AM85" s="230"/>
      <c r="AN85" s="230"/>
      <c r="AO85" s="230"/>
      <c r="AP85" s="230"/>
      <c r="AQ85" s="230"/>
    </row>
    <row r="86" spans="2:43" ht="6" customHeight="1" outlineLevel="1">
      <c r="E86" s="167"/>
      <c r="F86" s="167"/>
      <c r="G86" s="167"/>
      <c r="H86" s="167"/>
      <c r="I86" s="167"/>
      <c r="J86" s="167"/>
      <c r="K86" s="167"/>
      <c r="L86" s="167"/>
      <c r="M86" s="167"/>
      <c r="N86" s="167"/>
      <c r="O86" s="197"/>
      <c r="P86" s="198"/>
      <c r="Q86" s="199"/>
      <c r="R86" s="198"/>
      <c r="S86" s="198"/>
      <c r="T86" s="198"/>
      <c r="U86" s="198"/>
      <c r="V86" s="198"/>
      <c r="W86" s="198"/>
      <c r="AK86" s="229"/>
      <c r="AL86" s="229"/>
    </row>
    <row r="87" spans="2:43" ht="31.5" customHeight="1" outlineLevel="1">
      <c r="B87" s="1955" t="s">
        <v>47</v>
      </c>
      <c r="C87" s="1956"/>
      <c r="D87" s="1956"/>
      <c r="E87" s="1956"/>
      <c r="F87" s="1956"/>
      <c r="G87" s="1956"/>
      <c r="H87" s="1956"/>
      <c r="I87" s="1956"/>
      <c r="J87" s="1956"/>
      <c r="K87" s="1956"/>
      <c r="L87" s="1956"/>
      <c r="M87" s="1956"/>
      <c r="N87" s="1956"/>
      <c r="O87" s="1956"/>
      <c r="P87" s="1956"/>
      <c r="Q87" s="1956"/>
      <c r="R87" s="1956"/>
      <c r="S87" s="1956"/>
      <c r="T87" s="1956"/>
      <c r="U87" s="1956"/>
      <c r="V87" s="1956"/>
      <c r="W87" s="1956"/>
      <c r="X87" s="1956"/>
      <c r="Y87" s="1956"/>
      <c r="Z87" s="1956"/>
      <c r="AA87" s="1956"/>
      <c r="AB87" s="1956"/>
      <c r="AC87" s="1956"/>
      <c r="AD87" s="1956"/>
      <c r="AE87" s="1956"/>
      <c r="AF87" s="1956"/>
      <c r="AG87" s="1539"/>
      <c r="AH87" s="1539"/>
      <c r="AI87" s="1539"/>
      <c r="AJ87" s="1539"/>
    </row>
    <row r="88" spans="2:43">
      <c r="P88" s="367"/>
      <c r="Q88" s="367"/>
      <c r="R88" s="367"/>
      <c r="S88" s="367"/>
      <c r="T88" s="367"/>
      <c r="U88" s="367"/>
      <c r="V88" s="367"/>
      <c r="W88" s="367"/>
      <c r="X88" s="241"/>
      <c r="Y88" s="241"/>
      <c r="Z88" s="241"/>
      <c r="AA88" s="241"/>
      <c r="AB88" s="241"/>
      <c r="AC88" s="241"/>
      <c r="AD88" s="241"/>
      <c r="AE88" s="241"/>
      <c r="AF88" s="241"/>
      <c r="AG88" s="241"/>
      <c r="AH88" s="241"/>
      <c r="AI88" s="241"/>
      <c r="AJ88" s="241"/>
    </row>
    <row r="89" spans="2:43">
      <c r="P89" s="367"/>
      <c r="Q89" s="367"/>
      <c r="R89" s="367"/>
      <c r="S89" s="367"/>
      <c r="T89" s="367"/>
      <c r="U89" s="367"/>
      <c r="V89" s="367"/>
      <c r="W89" s="367"/>
      <c r="X89" s="241"/>
      <c r="Y89" s="241"/>
      <c r="Z89" s="241"/>
      <c r="AA89" s="241"/>
      <c r="AB89" s="241"/>
      <c r="AC89" s="241"/>
      <c r="AD89" s="241"/>
      <c r="AE89" s="241"/>
      <c r="AF89" s="241"/>
      <c r="AG89" s="241"/>
      <c r="AH89" s="241"/>
      <c r="AI89" s="241"/>
      <c r="AJ89" s="241"/>
    </row>
    <row r="90" spans="2:43">
      <c r="B90" s="232" t="s">
        <v>48</v>
      </c>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195"/>
      <c r="AH91" s="195"/>
      <c r="AI91" s="196"/>
      <c r="AJ91" s="196"/>
    </row>
    <row r="92" spans="2:43">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196"/>
      <c r="AF92" s="211">
        <v>2009</v>
      </c>
      <c r="AG92" s="211">
        <v>2010</v>
      </c>
      <c r="AH92" s="211">
        <v>2011</v>
      </c>
      <c r="AI92" s="211">
        <v>2012</v>
      </c>
      <c r="AJ92" s="211">
        <v>2013</v>
      </c>
      <c r="AK92" s="211">
        <v>2014</v>
      </c>
      <c r="AL92" s="211">
        <v>2015</v>
      </c>
      <c r="AM92" s="211">
        <v>2016</v>
      </c>
      <c r="AN92" s="211">
        <v>2017</v>
      </c>
      <c r="AO92" s="211">
        <v>2018</v>
      </c>
      <c r="AP92" s="211">
        <v>2019</v>
      </c>
      <c r="AQ92" s="211">
        <v>2020</v>
      </c>
    </row>
    <row r="93" spans="2:43">
      <c r="R93" s="367"/>
      <c r="S93" s="367"/>
      <c r="T93" s="367"/>
      <c r="U93" s="367"/>
      <c r="V93" s="367"/>
      <c r="W93" s="367"/>
      <c r="X93" s="241"/>
      <c r="Y93" s="241"/>
      <c r="Z93" s="241"/>
      <c r="AA93" s="241"/>
      <c r="AB93" s="241"/>
      <c r="AC93" s="241"/>
      <c r="AD93" s="241"/>
      <c r="AE93" s="241"/>
      <c r="AF93" s="241"/>
      <c r="AG93" s="241"/>
      <c r="AH93" s="241"/>
      <c r="AI93" s="1540"/>
      <c r="AJ93" s="237"/>
    </row>
    <row r="94" spans="2:43">
      <c r="B94" s="240" t="s">
        <v>49</v>
      </c>
      <c r="P94" s="367"/>
      <c r="Q94" s="367"/>
      <c r="R94" s="367"/>
      <c r="S94" s="367"/>
      <c r="T94" s="367"/>
      <c r="U94" s="367"/>
      <c r="V94" s="367"/>
      <c r="W94" s="367"/>
      <c r="X94" s="243">
        <v>1729.9999999999998</v>
      </c>
      <c r="Y94" s="231"/>
      <c r="Z94" s="243">
        <v>2064.2676493302292</v>
      </c>
      <c r="AA94" s="231"/>
      <c r="AB94" s="243">
        <v>2400.3344665083978</v>
      </c>
      <c r="AC94" s="231"/>
      <c r="AD94" s="243">
        <v>2766.5480610488535</v>
      </c>
      <c r="AE94" s="231"/>
      <c r="AF94" s="243">
        <v>10310.408496581613</v>
      </c>
      <c r="AG94" s="1541">
        <v>10526.689564840461</v>
      </c>
      <c r="AH94" s="1541">
        <v>10642.05590656467</v>
      </c>
      <c r="AI94" s="1541">
        <v>10957.999599150853</v>
      </c>
      <c r="AJ94" s="1541">
        <v>12547.88346805141</v>
      </c>
      <c r="AK94" s="1541">
        <v>12513.327553858524</v>
      </c>
      <c r="AL94" s="1541">
        <v>12730.1093038292</v>
      </c>
      <c r="AM94" s="1541">
        <f>+AM97+AM98+AM99+AM100+AM101+AM102+AM103+AM104+AM105+AM113+AM114+AM116</f>
        <v>12933.893614490516</v>
      </c>
      <c r="AN94" s="1541">
        <f t="shared" ref="AN94:AP94" si="12">+AN97+AN98+AN99+AN100+AN101+AN102+AN103+AN104+AN105+AN113+AN114+AN116</f>
        <v>12838.825812528778</v>
      </c>
      <c r="AO94" s="1541">
        <f t="shared" si="12"/>
        <v>13141.707783307502</v>
      </c>
      <c r="AP94" s="1541">
        <f t="shared" si="12"/>
        <v>12952.601959172966</v>
      </c>
      <c r="AQ94" s="228" t="s">
        <v>234</v>
      </c>
    </row>
    <row r="95" spans="2:43">
      <c r="P95" s="367"/>
      <c r="Q95" s="367"/>
      <c r="R95" s="367"/>
      <c r="S95" s="367"/>
      <c r="T95" s="367"/>
      <c r="U95" s="367"/>
      <c r="V95" s="367"/>
      <c r="W95" s="367"/>
      <c r="X95" s="231"/>
      <c r="Y95" s="231"/>
      <c r="Z95" s="231"/>
      <c r="AA95" s="231"/>
      <c r="AB95" s="231"/>
      <c r="AC95" s="231"/>
      <c r="AD95" s="231"/>
      <c r="AE95" s="231"/>
      <c r="AF95" s="231"/>
      <c r="AG95" s="231"/>
      <c r="AH95" s="231"/>
      <c r="AI95" s="233"/>
      <c r="AJ95" s="233"/>
      <c r="AK95" s="231"/>
      <c r="AL95" s="231"/>
      <c r="AM95" s="231"/>
      <c r="AN95" s="1542"/>
    </row>
    <row r="96" spans="2:43">
      <c r="B96" s="228" t="s">
        <v>545</v>
      </c>
      <c r="P96" s="367"/>
      <c r="Q96" s="367"/>
      <c r="R96" s="367"/>
      <c r="S96" s="367"/>
      <c r="T96" s="367"/>
      <c r="U96" s="367"/>
      <c r="V96" s="367"/>
      <c r="W96" s="367"/>
      <c r="X96" s="231"/>
      <c r="Y96" s="231"/>
      <c r="Z96" s="231"/>
      <c r="AA96" s="231"/>
      <c r="AB96" s="231"/>
      <c r="AC96" s="231"/>
      <c r="AD96" s="231"/>
      <c r="AE96" s="231"/>
      <c r="AF96" s="231"/>
      <c r="AG96" s="231"/>
      <c r="AH96" s="231"/>
      <c r="AI96" s="233"/>
      <c r="AJ96" s="233"/>
      <c r="AK96" s="231"/>
      <c r="AL96" s="231"/>
      <c r="AM96" s="231"/>
      <c r="AN96" s="1542"/>
    </row>
    <row r="97" spans="3:43">
      <c r="C97" s="228" t="s">
        <v>546</v>
      </c>
      <c r="P97" s="367"/>
      <c r="Q97" s="367"/>
      <c r="R97" s="367"/>
      <c r="S97" s="367"/>
      <c r="T97" s="367"/>
      <c r="U97" s="367"/>
      <c r="V97" s="367"/>
      <c r="W97" s="367"/>
      <c r="X97" s="231">
        <v>1493.3</v>
      </c>
      <c r="Y97" s="231"/>
      <c r="Z97" s="231">
        <v>1803.32952</v>
      </c>
      <c r="AA97" s="231"/>
      <c r="AB97" s="231">
        <v>2092.8209299999999</v>
      </c>
      <c r="AC97" s="231"/>
      <c r="AD97" s="231">
        <v>2416.6115199999999</v>
      </c>
      <c r="AE97" s="231"/>
      <c r="AF97" s="231">
        <v>2408.8494500000002</v>
      </c>
      <c r="AG97" s="231">
        <v>2585.1190999999999</v>
      </c>
      <c r="AH97" s="231">
        <v>2732.7629700000002</v>
      </c>
      <c r="AI97" s="231">
        <v>2888.9315700000002</v>
      </c>
      <c r="AJ97" s="231">
        <v>2960.35295</v>
      </c>
      <c r="AK97" s="231">
        <v>3034.68361</v>
      </c>
      <c r="AL97" s="231">
        <v>3173.9973100000002</v>
      </c>
      <c r="AM97" s="231">
        <v>3280.8845832400002</v>
      </c>
      <c r="AN97" s="1542">
        <v>3429.2278901699997</v>
      </c>
      <c r="AO97" s="1542">
        <v>3588.8933786100001</v>
      </c>
      <c r="AP97" s="1542">
        <v>3729.7925231599997</v>
      </c>
    </row>
    <row r="98" spans="3:43">
      <c r="C98" s="228" t="s">
        <v>547</v>
      </c>
      <c r="P98" s="367"/>
      <c r="Q98" s="367"/>
      <c r="R98" s="367"/>
      <c r="S98" s="367"/>
      <c r="T98" s="367"/>
      <c r="U98" s="367"/>
      <c r="V98" s="367"/>
      <c r="W98" s="367"/>
      <c r="X98" s="231">
        <v>7.1</v>
      </c>
      <c r="Y98" s="231"/>
      <c r="Z98" s="231"/>
      <c r="AA98" s="231"/>
      <c r="AB98" s="231"/>
      <c r="AC98" s="231"/>
      <c r="AD98" s="231"/>
      <c r="AE98" s="231"/>
      <c r="AF98" s="231"/>
      <c r="AG98" s="231"/>
      <c r="AH98" s="231"/>
      <c r="AI98" s="231"/>
      <c r="AJ98" s="231"/>
      <c r="AK98" s="231"/>
      <c r="AL98" s="231"/>
      <c r="AM98" s="231">
        <v>17.393266140000001</v>
      </c>
      <c r="AN98" s="1542">
        <v>18.23980886</v>
      </c>
      <c r="AO98" s="1542">
        <v>18.179139769999999</v>
      </c>
      <c r="AP98" s="1542">
        <v>16.967008359999998</v>
      </c>
    </row>
    <row r="99" spans="3:43">
      <c r="C99" s="228" t="s">
        <v>548</v>
      </c>
      <c r="P99" s="367"/>
      <c r="Q99" s="367"/>
      <c r="R99" s="367"/>
      <c r="S99" s="367"/>
      <c r="T99" s="367"/>
      <c r="U99" s="367"/>
      <c r="V99" s="367"/>
      <c r="W99" s="367"/>
      <c r="X99" s="231">
        <v>17.8</v>
      </c>
      <c r="Y99" s="231"/>
      <c r="Z99" s="231"/>
      <c r="AA99" s="231"/>
      <c r="AB99" s="231"/>
      <c r="AC99" s="231"/>
      <c r="AD99" s="231"/>
      <c r="AE99" s="231"/>
      <c r="AF99" s="231"/>
      <c r="AG99" s="231"/>
      <c r="AH99" s="231"/>
      <c r="AI99" s="231" t="s">
        <v>234</v>
      </c>
      <c r="AJ99" s="231"/>
      <c r="AK99" s="231"/>
      <c r="AL99" s="231"/>
      <c r="AM99" s="231">
        <v>72.989685600000001</v>
      </c>
      <c r="AN99" s="1542">
        <v>80.830478299999996</v>
      </c>
      <c r="AO99" s="1542">
        <v>81.72763037</v>
      </c>
      <c r="AP99" s="1542">
        <v>79.450855050000001</v>
      </c>
    </row>
    <row r="100" spans="3:43">
      <c r="C100" s="228" t="s">
        <v>1569</v>
      </c>
      <c r="P100" s="367"/>
      <c r="Q100" s="367"/>
      <c r="R100" s="367"/>
      <c r="S100" s="367"/>
      <c r="T100" s="367"/>
      <c r="U100" s="367"/>
      <c r="V100" s="367"/>
      <c r="W100" s="367"/>
      <c r="X100" s="231"/>
      <c r="Y100" s="231"/>
      <c r="Z100" s="231"/>
      <c r="AA100" s="231"/>
      <c r="AB100" s="231"/>
      <c r="AC100" s="231"/>
      <c r="AD100" s="231"/>
      <c r="AE100" s="231"/>
      <c r="AF100" s="231"/>
      <c r="AG100" s="231"/>
      <c r="AH100" s="231"/>
      <c r="AI100" s="231"/>
      <c r="AJ100" s="231"/>
      <c r="AK100" s="231"/>
      <c r="AL100" s="231"/>
      <c r="AM100" s="231">
        <v>8.9840739999999997</v>
      </c>
      <c r="AN100" s="231">
        <v>8.2779089999999993</v>
      </c>
      <c r="AO100" s="1542">
        <v>8.9658309999999997</v>
      </c>
      <c r="AP100" s="1542">
        <v>8.0607980000000001</v>
      </c>
    </row>
    <row r="101" spans="3:43">
      <c r="C101" s="228" t="s">
        <v>1570</v>
      </c>
      <c r="P101" s="367"/>
      <c r="Q101" s="367"/>
      <c r="R101" s="367"/>
      <c r="S101" s="367"/>
      <c r="T101" s="367"/>
      <c r="U101" s="367"/>
      <c r="V101" s="367"/>
      <c r="W101" s="367"/>
      <c r="X101" s="231"/>
      <c r="Y101" s="231"/>
      <c r="Z101" s="231"/>
      <c r="AA101" s="231"/>
      <c r="AB101" s="231"/>
      <c r="AC101" s="231"/>
      <c r="AD101" s="231"/>
      <c r="AE101" s="231"/>
      <c r="AF101" s="231"/>
      <c r="AG101" s="231"/>
      <c r="AH101" s="231"/>
      <c r="AI101" s="231"/>
      <c r="AJ101" s="233"/>
      <c r="AK101" s="231"/>
      <c r="AL101" s="231"/>
      <c r="AM101" s="231">
        <v>44.842783310000002</v>
      </c>
      <c r="AN101" s="1542">
        <v>45.670103920000003</v>
      </c>
      <c r="AO101" s="1542">
        <v>45.349839920000001</v>
      </c>
      <c r="AP101" s="1542">
        <v>44.637361009999999</v>
      </c>
    </row>
    <row r="102" spans="3:43">
      <c r="C102" s="228" t="s">
        <v>549</v>
      </c>
      <c r="P102" s="367"/>
      <c r="Q102" s="367"/>
      <c r="R102" s="367"/>
      <c r="S102" s="367"/>
      <c r="T102" s="367"/>
      <c r="U102" s="367"/>
      <c r="V102" s="367"/>
      <c r="W102" s="367"/>
      <c r="X102" s="231">
        <v>188.5</v>
      </c>
      <c r="Y102" s="231"/>
      <c r="Z102" s="231">
        <v>221.58256</v>
      </c>
      <c r="AA102" s="231"/>
      <c r="AB102" s="231">
        <v>249.59083999999999</v>
      </c>
      <c r="AC102" s="231"/>
      <c r="AD102" s="231">
        <v>282.51404000000002</v>
      </c>
      <c r="AE102" s="231"/>
      <c r="AF102" s="231">
        <v>297.75166000000007</v>
      </c>
      <c r="AG102" s="231">
        <v>318.34823</v>
      </c>
      <c r="AH102" s="231">
        <v>319.89463999999998</v>
      </c>
      <c r="AI102" s="231">
        <v>337.29142000000002</v>
      </c>
      <c r="AJ102" s="233">
        <v>336.04521</v>
      </c>
      <c r="AK102" s="231">
        <v>337.87263000000002</v>
      </c>
      <c r="AL102" s="231">
        <v>446.04095999999998</v>
      </c>
      <c r="AM102" s="231">
        <v>510.26242300000007</v>
      </c>
      <c r="AN102" s="1542">
        <v>535.38601735999998</v>
      </c>
      <c r="AO102" s="1542">
        <v>574.11926251</v>
      </c>
      <c r="AP102" s="1542">
        <v>585.98694503999991</v>
      </c>
    </row>
    <row r="103" spans="3:43">
      <c r="C103" s="237" t="s">
        <v>1571</v>
      </c>
      <c r="P103" s="367"/>
      <c r="Q103" s="367"/>
      <c r="R103" s="367"/>
      <c r="S103" s="367"/>
      <c r="T103" s="367"/>
      <c r="U103" s="367"/>
      <c r="V103" s="367"/>
      <c r="W103" s="367"/>
      <c r="X103" s="231"/>
      <c r="Y103" s="231"/>
      <c r="Z103" s="231"/>
      <c r="AA103" s="231"/>
      <c r="AB103" s="231"/>
      <c r="AC103" s="231"/>
      <c r="AD103" s="231"/>
      <c r="AE103" s="231"/>
      <c r="AF103" s="231"/>
      <c r="AG103" s="231"/>
      <c r="AH103" s="231"/>
      <c r="AI103" s="233"/>
      <c r="AJ103" s="233"/>
      <c r="AK103" s="231"/>
      <c r="AL103" s="231"/>
      <c r="AM103" s="231">
        <v>81.17356509999999</v>
      </c>
      <c r="AN103" s="1542">
        <v>87</v>
      </c>
      <c r="AO103" s="1542">
        <v>91.019195620000005</v>
      </c>
      <c r="AP103" s="1542">
        <v>92.632149699999999</v>
      </c>
    </row>
    <row r="104" spans="3:43">
      <c r="C104" s="237" t="s">
        <v>1572</v>
      </c>
      <c r="P104" s="367"/>
      <c r="Q104" s="367"/>
      <c r="R104" s="367"/>
      <c r="S104" s="367"/>
      <c r="T104" s="367"/>
      <c r="U104" s="367"/>
      <c r="V104" s="367"/>
      <c r="W104" s="367"/>
      <c r="X104" s="231"/>
      <c r="Y104" s="231"/>
      <c r="Z104" s="231"/>
      <c r="AA104" s="231"/>
      <c r="AB104" s="231"/>
      <c r="AC104" s="231"/>
      <c r="AD104" s="231"/>
      <c r="AE104" s="231"/>
      <c r="AF104" s="1543"/>
      <c r="AG104" s="1543"/>
      <c r="AH104" s="1543"/>
      <c r="AI104" s="1544"/>
      <c r="AJ104" s="1544"/>
      <c r="AK104" s="1544"/>
      <c r="AL104" s="1544"/>
      <c r="AM104" s="1544">
        <v>31.06472754</v>
      </c>
      <c r="AN104" s="1545">
        <v>30.059747620000003</v>
      </c>
      <c r="AO104" s="1542">
        <v>24.144336260000003</v>
      </c>
      <c r="AP104" s="1542">
        <v>14.99790232</v>
      </c>
    </row>
    <row r="105" spans="3:43">
      <c r="C105" s="237" t="s">
        <v>1573</v>
      </c>
      <c r="P105" s="367"/>
      <c r="Q105" s="367"/>
      <c r="R105" s="367"/>
      <c r="S105" s="367"/>
      <c r="T105" s="367"/>
      <c r="U105" s="367"/>
      <c r="V105" s="367"/>
      <c r="W105" s="367"/>
      <c r="X105" s="231"/>
      <c r="Y105" s="231"/>
      <c r="Z105" s="231"/>
      <c r="AA105" s="231"/>
      <c r="AB105" s="231"/>
      <c r="AC105" s="231"/>
      <c r="AD105" s="231"/>
      <c r="AE105" s="231"/>
      <c r="AF105" s="231"/>
      <c r="AG105" s="231"/>
      <c r="AH105" s="231"/>
      <c r="AI105" s="233"/>
      <c r="AJ105" s="233"/>
      <c r="AK105" s="233"/>
      <c r="AL105" s="233"/>
      <c r="AM105" s="233">
        <v>75.594927980000008</v>
      </c>
      <c r="AN105" s="1546">
        <v>78.361492900000002</v>
      </c>
      <c r="AO105" s="1542">
        <v>80.614949330000002</v>
      </c>
      <c r="AP105" s="1542">
        <v>76.64520465999999</v>
      </c>
    </row>
    <row r="106" spans="3:43">
      <c r="C106" s="237" t="s">
        <v>550</v>
      </c>
      <c r="P106" s="367"/>
      <c r="Q106" s="367"/>
      <c r="R106" s="367"/>
      <c r="S106" s="367"/>
      <c r="T106" s="367"/>
      <c r="U106" s="367"/>
      <c r="V106" s="367"/>
      <c r="W106" s="367"/>
      <c r="X106" s="231"/>
      <c r="Y106" s="231"/>
      <c r="Z106" s="231"/>
      <c r="AA106" s="231"/>
      <c r="AB106" s="231"/>
      <c r="AC106" s="231"/>
      <c r="AD106" s="231"/>
      <c r="AE106" s="231"/>
      <c r="AF106" s="231"/>
      <c r="AG106" s="231"/>
      <c r="AH106" s="231">
        <v>350</v>
      </c>
      <c r="AI106" s="233">
        <v>135.74723261325366</v>
      </c>
      <c r="AJ106" s="233"/>
      <c r="AK106" s="233"/>
      <c r="AL106" s="233"/>
      <c r="AM106" s="233"/>
      <c r="AN106" s="1546"/>
    </row>
    <row r="107" spans="3:43">
      <c r="C107" s="1547"/>
      <c r="P107" s="367"/>
      <c r="Q107" s="367"/>
      <c r="R107" s="367"/>
      <c r="S107" s="367"/>
      <c r="T107" s="367"/>
      <c r="U107" s="367"/>
      <c r="V107" s="367"/>
      <c r="W107" s="367"/>
      <c r="X107" s="231"/>
      <c r="Y107" s="231"/>
      <c r="Z107" s="231"/>
      <c r="AA107" s="231"/>
      <c r="AB107" s="231"/>
      <c r="AC107" s="231"/>
      <c r="AD107" s="231"/>
      <c r="AE107" s="231"/>
      <c r="AF107" s="1543"/>
      <c r="AG107" s="1543"/>
      <c r="AH107" s="1543"/>
      <c r="AI107" s="1544"/>
      <c r="AJ107" s="1544"/>
      <c r="AK107" s="1544"/>
      <c r="AL107" s="1544"/>
      <c r="AM107" s="1544"/>
      <c r="AN107" s="1545"/>
    </row>
    <row r="108" spans="3:43">
      <c r="C108" s="1548" t="s">
        <v>551</v>
      </c>
      <c r="P108" s="367"/>
      <c r="Q108" s="367"/>
      <c r="R108" s="367"/>
      <c r="S108" s="367"/>
      <c r="T108" s="367"/>
      <c r="U108" s="367"/>
      <c r="V108" s="367"/>
      <c r="W108" s="367"/>
      <c r="X108" s="231"/>
      <c r="Y108" s="231"/>
      <c r="Z108" s="231"/>
      <c r="AA108" s="231"/>
      <c r="AB108" s="231"/>
      <c r="AC108" s="231"/>
      <c r="AD108" s="231"/>
      <c r="AE108" s="231">
        <v>11642</v>
      </c>
      <c r="AF108" s="231">
        <v>11379.194514000001</v>
      </c>
      <c r="AG108" s="231">
        <v>11374.912332</v>
      </c>
      <c r="AH108" s="231">
        <v>11289.653734</v>
      </c>
      <c r="AI108" s="233">
        <v>11468.969289999999</v>
      </c>
      <c r="AJ108" s="233">
        <v>13115</v>
      </c>
      <c r="AK108" s="233">
        <v>13004.215262</v>
      </c>
      <c r="AL108" s="233">
        <v>12782.870647</v>
      </c>
      <c r="AM108" s="233">
        <v>12626.871037000001</v>
      </c>
      <c r="AN108" s="1546">
        <v>12302.637930999999</v>
      </c>
      <c r="AO108" s="1546">
        <v>12173.976363</v>
      </c>
      <c r="AP108" s="1546">
        <v>11898.008936</v>
      </c>
      <c r="AQ108" s="228" t="s">
        <v>234</v>
      </c>
    </row>
    <row r="109" spans="3:43">
      <c r="C109" s="1548" t="s">
        <v>1574</v>
      </c>
      <c r="P109" s="367"/>
      <c r="Q109" s="367"/>
      <c r="R109" s="367"/>
      <c r="S109" s="367"/>
      <c r="T109" s="367"/>
      <c r="U109" s="367"/>
      <c r="V109" s="367"/>
      <c r="W109" s="367"/>
      <c r="X109" s="231"/>
      <c r="Y109" s="231"/>
      <c r="Z109" s="231"/>
      <c r="AA109" s="231"/>
      <c r="AB109" s="231"/>
      <c r="AC109" s="231"/>
      <c r="AD109" s="231"/>
      <c r="AE109" s="231">
        <v>90</v>
      </c>
      <c r="AF109" s="231">
        <v>96.113485999999995</v>
      </c>
      <c r="AG109" s="231">
        <v>103.898246</v>
      </c>
      <c r="AH109" s="231">
        <v>106.414252</v>
      </c>
      <c r="AI109" s="233">
        <v>113.46017000000001</v>
      </c>
      <c r="AJ109" s="233">
        <v>118</v>
      </c>
      <c r="AK109" s="233">
        <v>114.717147</v>
      </c>
      <c r="AL109" s="233">
        <v>117.718834</v>
      </c>
      <c r="AM109" s="233">
        <v>118.546367</v>
      </c>
      <c r="AN109" s="1546">
        <v>118.426317</v>
      </c>
      <c r="AO109" s="1546">
        <v>119.715</v>
      </c>
      <c r="AP109" s="1546">
        <v>120.515</v>
      </c>
      <c r="AQ109" s="228" t="s">
        <v>234</v>
      </c>
    </row>
    <row r="110" spans="3:43">
      <c r="C110" s="228" t="s">
        <v>552</v>
      </c>
      <c r="P110" s="367"/>
      <c r="Q110" s="367"/>
      <c r="R110" s="367"/>
      <c r="S110" s="367"/>
      <c r="T110" s="367"/>
      <c r="U110" s="367"/>
      <c r="V110" s="367"/>
      <c r="W110" s="367"/>
      <c r="X110" s="231"/>
      <c r="Y110" s="231"/>
      <c r="Z110" s="231"/>
      <c r="AA110" s="231"/>
      <c r="AB110" s="231"/>
      <c r="AC110" s="231"/>
      <c r="AD110" s="231"/>
      <c r="AE110" s="231">
        <v>11552</v>
      </c>
      <c r="AF110" s="231">
        <v>11283.081028000001</v>
      </c>
      <c r="AG110" s="231">
        <v>11271.014085999999</v>
      </c>
      <c r="AH110" s="231">
        <v>11183.239482000001</v>
      </c>
      <c r="AI110" s="233">
        <v>11355.509120000001</v>
      </c>
      <c r="AJ110" s="233">
        <v>12997</v>
      </c>
      <c r="AK110" s="231">
        <v>12889.498115</v>
      </c>
      <c r="AL110" s="231">
        <v>12665.151813</v>
      </c>
      <c r="AM110" s="231">
        <v>12508.32467</v>
      </c>
      <c r="AN110" s="1542">
        <v>12184.211614</v>
      </c>
      <c r="AO110" s="1546">
        <v>12054.261363</v>
      </c>
      <c r="AP110" s="1546">
        <v>11777.493936000001</v>
      </c>
    </row>
    <row r="111" spans="3:43">
      <c r="C111" s="228" t="s">
        <v>553</v>
      </c>
      <c r="P111" s="367"/>
      <c r="Q111" s="367"/>
      <c r="R111" s="367"/>
      <c r="S111" s="367"/>
      <c r="T111" s="367"/>
      <c r="U111" s="367"/>
      <c r="V111" s="367"/>
      <c r="W111" s="367"/>
      <c r="X111" s="231"/>
      <c r="Y111" s="231"/>
      <c r="Z111" s="231"/>
      <c r="AA111" s="231"/>
      <c r="AB111" s="231"/>
      <c r="AC111" s="231"/>
      <c r="AD111" s="231"/>
      <c r="AE111" s="231">
        <v>11055</v>
      </c>
      <c r="AF111" s="231">
        <v>10312.736059592002</v>
      </c>
      <c r="AG111" s="231">
        <v>10301.706874604</v>
      </c>
      <c r="AH111" s="231">
        <v>10221.480886548001</v>
      </c>
      <c r="AI111" s="233">
        <v>10378.93533568</v>
      </c>
      <c r="AJ111" s="233">
        <v>11801</v>
      </c>
      <c r="AK111" s="231">
        <v>11639.216797845</v>
      </c>
      <c r="AL111" s="231">
        <v>11550.618453456002</v>
      </c>
      <c r="AM111" s="231">
        <v>11363.909305258268</v>
      </c>
      <c r="AN111" s="1542">
        <v>10954.957410876028</v>
      </c>
      <c r="AO111" s="1546">
        <v>11231.641899017712</v>
      </c>
      <c r="AP111" s="1546">
        <v>10713.485689275349</v>
      </c>
    </row>
    <row r="112" spans="3:43">
      <c r="C112" s="228" t="s">
        <v>554</v>
      </c>
      <c r="P112" s="367"/>
      <c r="Q112" s="367"/>
      <c r="R112" s="367"/>
      <c r="S112" s="367"/>
      <c r="T112" s="367"/>
      <c r="U112" s="367"/>
      <c r="V112" s="367"/>
      <c r="W112" s="367"/>
      <c r="X112" s="231"/>
      <c r="Y112" s="231"/>
      <c r="Z112" s="231"/>
      <c r="AA112" s="231"/>
      <c r="AB112" s="231"/>
      <c r="AC112" s="231"/>
      <c r="AD112" s="231"/>
      <c r="AE112" s="231">
        <v>2742</v>
      </c>
      <c r="AF112" s="231">
        <v>2928.8170409241284</v>
      </c>
      <c r="AG112" s="231">
        <v>2925.6847523875363</v>
      </c>
      <c r="AH112" s="231">
        <v>2902.9005717796322</v>
      </c>
      <c r="AI112" s="233">
        <v>2947.6176353331202</v>
      </c>
      <c r="AJ112" s="233">
        <v>2879</v>
      </c>
      <c r="AK112" s="231">
        <v>2839.9688986741794</v>
      </c>
      <c r="AL112" s="231">
        <v>2806.8002841898083</v>
      </c>
      <c r="AM112" s="231">
        <v>2828.566576677752</v>
      </c>
      <c r="AN112" s="1542">
        <v>2726.3860482472487</v>
      </c>
      <c r="AO112" s="1546">
        <v>2916.5441427802107</v>
      </c>
      <c r="AP112" s="1546">
        <v>2733.7970791123839</v>
      </c>
    </row>
    <row r="113" spans="2:43">
      <c r="C113" s="228" t="s">
        <v>555</v>
      </c>
      <c r="P113" s="367"/>
      <c r="Q113" s="367"/>
      <c r="R113" s="367"/>
      <c r="S113" s="367"/>
      <c r="T113" s="367"/>
      <c r="U113" s="367"/>
      <c r="V113" s="367"/>
      <c r="W113" s="367"/>
      <c r="X113" s="231"/>
      <c r="Y113" s="231"/>
      <c r="Z113" s="231"/>
      <c r="AA113" s="231"/>
      <c r="AB113" s="231"/>
      <c r="AC113" s="231"/>
      <c r="AD113" s="231"/>
      <c r="AE113" s="231">
        <v>8170</v>
      </c>
      <c r="AF113" s="231">
        <v>7208.6025056548096</v>
      </c>
      <c r="AG113" s="231">
        <v>7200.8931053481974</v>
      </c>
      <c r="AH113" s="231">
        <v>7144.8151396970534</v>
      </c>
      <c r="AI113" s="233">
        <v>7254.875799640321</v>
      </c>
      <c r="AJ113" s="233">
        <v>8733</v>
      </c>
      <c r="AK113" s="231">
        <v>8624.6596472031433</v>
      </c>
      <c r="AL113" s="231">
        <v>8559.0082740108955</v>
      </c>
      <c r="AM113" s="231">
        <v>8339.6611092774365</v>
      </c>
      <c r="AN113" s="1542">
        <v>8038.7464078188468</v>
      </c>
      <c r="AO113" s="1546">
        <v>8093.6804701765595</v>
      </c>
      <c r="AP113" s="1546">
        <v>7778.2078215989304</v>
      </c>
    </row>
    <row r="114" spans="2:43">
      <c r="C114" s="228" t="s">
        <v>556</v>
      </c>
      <c r="P114" s="367"/>
      <c r="Q114" s="367"/>
      <c r="R114" s="367"/>
      <c r="S114" s="367"/>
      <c r="T114" s="367"/>
      <c r="U114" s="367"/>
      <c r="V114" s="367"/>
      <c r="W114" s="367"/>
      <c r="X114" s="231"/>
      <c r="Y114" s="231"/>
      <c r="Z114" s="231"/>
      <c r="AA114" s="231"/>
      <c r="AB114" s="231"/>
      <c r="AC114" s="231"/>
      <c r="AD114" s="231"/>
      <c r="AE114" s="231">
        <v>144</v>
      </c>
      <c r="AF114" s="231">
        <v>175.316513013064</v>
      </c>
      <c r="AG114" s="231">
        <v>175.12901686826802</v>
      </c>
      <c r="AH114" s="231">
        <v>173.76517507131601</v>
      </c>
      <c r="AI114" s="233">
        <v>176.44190070655998</v>
      </c>
      <c r="AJ114" s="233">
        <v>189</v>
      </c>
      <c r="AK114" s="233">
        <v>174.58825196767498</v>
      </c>
      <c r="AL114" s="233">
        <v>184.80989525529603</v>
      </c>
      <c r="AM114" s="233">
        <v>195.68161930307863</v>
      </c>
      <c r="AN114" s="1546">
        <v>189.82495480993231</v>
      </c>
      <c r="AO114" s="1546">
        <v>221.4172860609406</v>
      </c>
      <c r="AP114" s="1546">
        <v>201.48078856403549</v>
      </c>
    </row>
    <row r="115" spans="2:43">
      <c r="B115" s="228" t="s">
        <v>557</v>
      </c>
      <c r="P115" s="367"/>
      <c r="Q115" s="367"/>
      <c r="R115" s="367"/>
      <c r="S115" s="367"/>
      <c r="T115" s="367"/>
      <c r="U115" s="367"/>
      <c r="V115" s="367"/>
      <c r="W115" s="367"/>
      <c r="X115" s="231"/>
      <c r="Y115" s="231"/>
      <c r="Z115" s="231"/>
      <c r="AA115" s="231"/>
      <c r="AB115" s="231"/>
      <c r="AC115" s="231"/>
      <c r="AD115" s="231"/>
      <c r="AE115" s="231"/>
      <c r="AF115" s="231"/>
      <c r="AG115" s="231"/>
      <c r="AH115" s="231"/>
      <c r="AI115" s="233"/>
      <c r="AJ115" s="233"/>
      <c r="AK115" s="231"/>
      <c r="AL115" s="231"/>
      <c r="AM115" s="231"/>
      <c r="AN115" s="1542"/>
    </row>
    <row r="116" spans="2:43">
      <c r="B116" s="240"/>
      <c r="C116" s="228" t="s">
        <v>558</v>
      </c>
      <c r="P116" s="367"/>
      <c r="Q116" s="367"/>
      <c r="R116" s="367"/>
      <c r="S116" s="367"/>
      <c r="T116" s="367"/>
      <c r="U116" s="367"/>
      <c r="V116" s="367"/>
      <c r="W116" s="367"/>
      <c r="X116" s="231">
        <v>23.3</v>
      </c>
      <c r="Y116" s="231"/>
      <c r="Z116" s="231">
        <v>39.355569330229301</v>
      </c>
      <c r="AA116" s="231"/>
      <c r="AB116" s="231">
        <v>57.922696508398239</v>
      </c>
      <c r="AC116" s="231"/>
      <c r="AD116" s="231">
        <v>67.422501048853476</v>
      </c>
      <c r="AE116" s="231"/>
      <c r="AF116" s="231">
        <v>123.77488191373894</v>
      </c>
      <c r="AG116" s="231">
        <v>143.30186662399586</v>
      </c>
      <c r="AH116" s="231">
        <v>164.40372979630004</v>
      </c>
      <c r="AI116" s="231">
        <v>186.99873880397186</v>
      </c>
      <c r="AJ116" s="231">
        <v>211.48530805140882</v>
      </c>
      <c r="AK116" s="231">
        <v>226.80626768770645</v>
      </c>
      <c r="AL116" s="231">
        <v>248.53403056300954</v>
      </c>
      <c r="AM116" s="231">
        <v>275.36085000000008</v>
      </c>
      <c r="AN116" s="1542">
        <v>297.20100177</v>
      </c>
      <c r="AO116" s="1542">
        <v>313.59646368</v>
      </c>
      <c r="AP116" s="1542">
        <v>323.74260171000003</v>
      </c>
    </row>
    <row r="117" spans="2:43">
      <c r="P117" s="367"/>
      <c r="Q117" s="367"/>
      <c r="R117" s="367"/>
      <c r="S117" s="367"/>
      <c r="T117" s="367"/>
      <c r="U117" s="367"/>
      <c r="V117" s="367"/>
      <c r="W117" s="367"/>
      <c r="X117" s="231"/>
      <c r="Y117" s="231"/>
      <c r="Z117" s="231"/>
      <c r="AA117" s="231"/>
      <c r="AB117" s="231"/>
      <c r="AC117" s="231"/>
      <c r="AD117" s="231"/>
      <c r="AE117" s="231"/>
      <c r="AF117" s="231"/>
      <c r="AG117" s="231"/>
      <c r="AH117" s="231"/>
      <c r="AI117" s="233"/>
      <c r="AJ117" s="233"/>
      <c r="AK117" s="231"/>
      <c r="AL117" s="231"/>
      <c r="AM117" s="231"/>
      <c r="AN117" s="1542"/>
    </row>
    <row r="118" spans="2:43">
      <c r="P118" s="367"/>
      <c r="Q118" s="367"/>
      <c r="R118" s="367"/>
      <c r="S118" s="367"/>
      <c r="T118" s="367"/>
      <c r="U118" s="367"/>
      <c r="V118" s="367"/>
      <c r="W118" s="367"/>
      <c r="X118" s="231"/>
      <c r="Y118" s="231"/>
      <c r="Z118" s="231"/>
      <c r="AA118" s="231"/>
      <c r="AB118" s="231"/>
      <c r="AC118" s="231"/>
      <c r="AD118" s="231"/>
      <c r="AE118" s="231"/>
      <c r="AF118" s="231"/>
      <c r="AG118" s="231"/>
      <c r="AH118" s="231"/>
      <c r="AI118" s="233"/>
      <c r="AJ118" s="233"/>
      <c r="AK118" s="231"/>
      <c r="AL118" s="231"/>
      <c r="AM118" s="231"/>
      <c r="AN118" s="1542"/>
    </row>
    <row r="119" spans="2:43">
      <c r="C119" s="1366"/>
      <c r="P119" s="367"/>
      <c r="Q119" s="367"/>
      <c r="R119" s="367"/>
      <c r="S119" s="367"/>
      <c r="T119" s="367"/>
      <c r="U119" s="367"/>
      <c r="V119" s="367"/>
      <c r="W119" s="367"/>
      <c r="X119" s="231"/>
      <c r="Y119" s="231"/>
      <c r="Z119" s="231"/>
      <c r="AA119" s="231"/>
      <c r="AB119" s="231"/>
      <c r="AC119" s="231"/>
      <c r="AD119" s="231"/>
      <c r="AE119" s="231"/>
      <c r="AF119" s="231"/>
      <c r="AG119" s="231"/>
      <c r="AH119" s="231"/>
      <c r="AI119" s="233"/>
      <c r="AJ119" s="233"/>
      <c r="AK119" s="233"/>
      <c r="AL119" s="233"/>
      <c r="AM119" s="233"/>
      <c r="AN119" s="1546"/>
    </row>
    <row r="120" spans="2:43">
      <c r="B120" s="240" t="s">
        <v>78</v>
      </c>
      <c r="C120" s="240"/>
      <c r="D120" s="240"/>
      <c r="E120" s="240"/>
      <c r="F120" s="240"/>
      <c r="G120" s="240"/>
      <c r="H120" s="240"/>
      <c r="I120" s="240"/>
      <c r="J120" s="240"/>
      <c r="K120" s="240"/>
      <c r="L120" s="240"/>
      <c r="M120" s="240"/>
      <c r="N120" s="240"/>
      <c r="O120" s="240"/>
      <c r="P120" s="1549"/>
      <c r="Q120" s="1549"/>
      <c r="R120" s="1549"/>
      <c r="S120" s="1549"/>
      <c r="T120" s="1549"/>
      <c r="U120" s="1549"/>
      <c r="V120" s="1549"/>
      <c r="W120" s="1549"/>
      <c r="X120" s="243">
        <v>1691.9</v>
      </c>
      <c r="Y120" s="243"/>
      <c r="Z120" s="243">
        <v>1458.2146600000001</v>
      </c>
      <c r="AA120" s="243"/>
      <c r="AB120" s="243">
        <v>1235.9906600000004</v>
      </c>
      <c r="AC120" s="243"/>
      <c r="AD120" s="243">
        <v>1064.3534</v>
      </c>
      <c r="AE120" s="243"/>
      <c r="AF120" s="243">
        <v>864.19637999999998</v>
      </c>
      <c r="AG120" s="243">
        <v>787.14377999999999</v>
      </c>
      <c r="AH120" s="243">
        <v>792.81714673999988</v>
      </c>
      <c r="AI120" s="243">
        <v>736.50731803999997</v>
      </c>
      <c r="AJ120" s="1541">
        <v>479.55316540999996</v>
      </c>
      <c r="AK120" s="1541">
        <v>412.91607162000003</v>
      </c>
      <c r="AL120" s="1541">
        <v>412.79057258999995</v>
      </c>
      <c r="AM120" s="1541">
        <v>409.89128849000002</v>
      </c>
      <c r="AN120" s="1550">
        <v>411.37401272999995</v>
      </c>
      <c r="AO120" s="1550">
        <f>SUM(AO125:AO132)</f>
        <v>433.42328041000002</v>
      </c>
      <c r="AP120" s="1550">
        <f>SUM(AP125:AP132)</f>
        <v>432.34146912</v>
      </c>
      <c r="AQ120" s="228" t="s">
        <v>234</v>
      </c>
    </row>
    <row r="121" spans="2:43">
      <c r="C121" s="228" t="s">
        <v>561</v>
      </c>
      <c r="P121" s="367"/>
      <c r="Q121" s="367"/>
      <c r="R121" s="367"/>
      <c r="S121" s="367"/>
      <c r="T121" s="367"/>
      <c r="U121" s="367"/>
      <c r="V121" s="367"/>
      <c r="W121" s="367"/>
      <c r="X121" s="231">
        <v>1662.2</v>
      </c>
      <c r="Y121" s="231"/>
      <c r="Z121" s="231">
        <v>1421.8038200000001</v>
      </c>
      <c r="AA121" s="231"/>
      <c r="AB121" s="231">
        <v>1197.2711300000003</v>
      </c>
      <c r="AC121" s="231"/>
      <c r="AD121" s="231">
        <v>1025.6338699999999</v>
      </c>
      <c r="AE121" s="231"/>
      <c r="AF121" s="231">
        <v>828.02778999999998</v>
      </c>
      <c r="AG121" s="231">
        <v>750.78594999999996</v>
      </c>
      <c r="AH121" s="231">
        <v>685.40485999999999</v>
      </c>
      <c r="AI121" s="233">
        <v>630.15305000000001</v>
      </c>
      <c r="AJ121" s="233">
        <v>366.70227999999997</v>
      </c>
      <c r="AK121" s="233">
        <v>296.31754000000001</v>
      </c>
      <c r="AL121" s="233">
        <v>283.49405999999999</v>
      </c>
      <c r="AM121" s="233">
        <f>+AM127</f>
        <v>273.58013588</v>
      </c>
      <c r="AN121" s="233">
        <f t="shared" ref="AN121:AP121" si="13">+AN127</f>
        <v>273.75243642999999</v>
      </c>
      <c r="AO121" s="233">
        <f>+AO127</f>
        <v>281.29588293</v>
      </c>
      <c r="AP121" s="233">
        <f t="shared" si="13"/>
        <v>277.26503464000001</v>
      </c>
    </row>
    <row r="122" spans="2:43">
      <c r="P122" s="367"/>
      <c r="Q122" s="367"/>
      <c r="R122" s="367"/>
      <c r="S122" s="367"/>
      <c r="T122" s="367"/>
      <c r="U122" s="367"/>
      <c r="V122" s="367"/>
      <c r="W122" s="367"/>
      <c r="X122" s="231"/>
      <c r="Y122" s="231"/>
      <c r="Z122" s="231"/>
      <c r="AA122" s="231"/>
      <c r="AB122" s="231"/>
      <c r="AC122" s="231"/>
      <c r="AD122" s="231"/>
      <c r="AE122" s="231"/>
      <c r="AF122" s="231"/>
      <c r="AG122" s="231"/>
      <c r="AH122" s="231"/>
      <c r="AI122" s="233"/>
      <c r="AJ122" s="233"/>
      <c r="AK122" s="233"/>
      <c r="AL122" s="233"/>
      <c r="AM122" s="233"/>
      <c r="AN122" s="1546"/>
    </row>
    <row r="123" spans="2:43">
      <c r="P123" s="367"/>
      <c r="Q123" s="367"/>
      <c r="R123" s="367"/>
      <c r="S123" s="367"/>
      <c r="T123" s="367"/>
      <c r="U123" s="367"/>
      <c r="V123" s="367"/>
      <c r="W123" s="367"/>
      <c r="X123" s="231"/>
      <c r="Y123" s="231"/>
      <c r="Z123" s="231"/>
      <c r="AA123" s="231"/>
      <c r="AB123" s="231"/>
      <c r="AC123" s="231"/>
      <c r="AD123" s="231"/>
      <c r="AE123" s="231"/>
      <c r="AF123" s="231"/>
      <c r="AG123" s="231"/>
      <c r="AH123" s="231"/>
      <c r="AI123" s="233"/>
      <c r="AJ123" s="233"/>
      <c r="AK123" s="233"/>
      <c r="AL123" s="233"/>
      <c r="AM123" s="233"/>
      <c r="AN123" s="1546"/>
    </row>
    <row r="124" spans="2:43">
      <c r="B124" s="228" t="s">
        <v>545</v>
      </c>
      <c r="P124" s="367"/>
      <c r="Q124" s="367"/>
      <c r="R124" s="367"/>
      <c r="S124" s="367"/>
      <c r="T124" s="367"/>
      <c r="U124" s="367"/>
      <c r="V124" s="367"/>
      <c r="W124" s="367"/>
      <c r="X124" s="231"/>
      <c r="Y124" s="231"/>
      <c r="Z124" s="231"/>
      <c r="AA124" s="231"/>
      <c r="AB124" s="231"/>
      <c r="AC124" s="231"/>
      <c r="AD124" s="231"/>
      <c r="AE124" s="231"/>
      <c r="AF124" s="231"/>
      <c r="AG124" s="231"/>
      <c r="AH124" s="231"/>
      <c r="AI124" s="231"/>
      <c r="AJ124" s="231"/>
      <c r="AK124" s="231"/>
      <c r="AL124" s="231"/>
      <c r="AM124" s="231"/>
      <c r="AN124" s="231"/>
      <c r="AO124" s="231"/>
      <c r="AP124" s="231"/>
    </row>
    <row r="125" spans="2:43">
      <c r="C125" s="228" t="s">
        <v>559</v>
      </c>
      <c r="P125" s="367"/>
      <c r="Q125" s="367"/>
      <c r="R125" s="367"/>
      <c r="S125" s="367"/>
      <c r="T125" s="367"/>
      <c r="U125" s="367"/>
      <c r="V125" s="367"/>
      <c r="W125" s="367"/>
      <c r="X125" s="231">
        <v>24.9</v>
      </c>
      <c r="Y125" s="231"/>
      <c r="Z125" s="231">
        <v>36.410840000000007</v>
      </c>
      <c r="AA125" s="231"/>
      <c r="AB125" s="231">
        <v>38.719529999999999</v>
      </c>
      <c r="AC125" s="231"/>
      <c r="AD125" s="231">
        <v>38.719529999999999</v>
      </c>
      <c r="AE125" s="231"/>
      <c r="AF125" s="231">
        <v>36.168590000000009</v>
      </c>
      <c r="AG125" s="231">
        <v>36.35783</v>
      </c>
      <c r="AH125" s="231">
        <v>33.860894080000001</v>
      </c>
      <c r="AI125" s="233">
        <v>32.961317990000005</v>
      </c>
      <c r="AJ125" s="233">
        <v>37.191014160000002</v>
      </c>
      <c r="AK125" s="233">
        <v>42.056119040000006</v>
      </c>
      <c r="AL125" s="233">
        <v>52.765095499999994</v>
      </c>
      <c r="AM125" s="233">
        <v>55.429801960000006</v>
      </c>
      <c r="AN125" s="1546">
        <v>54.852108479999998</v>
      </c>
      <c r="AO125" s="1542">
        <v>70.681759600000007</v>
      </c>
      <c r="AP125" s="1542">
        <v>73.786025379999998</v>
      </c>
    </row>
    <row r="126" spans="2:43">
      <c r="C126" s="228" t="s">
        <v>560</v>
      </c>
      <c r="P126" s="367"/>
      <c r="Q126" s="367"/>
      <c r="R126" s="367"/>
      <c r="S126" s="367"/>
      <c r="T126" s="367"/>
      <c r="U126" s="367"/>
      <c r="V126" s="367"/>
      <c r="W126" s="367"/>
      <c r="X126" s="231">
        <v>4.8</v>
      </c>
      <c r="Y126" s="231"/>
      <c r="Z126" s="231" t="s">
        <v>234</v>
      </c>
      <c r="AA126" s="231"/>
      <c r="AB126" s="231"/>
      <c r="AC126" s="231"/>
      <c r="AD126" s="231"/>
      <c r="AE126" s="231"/>
      <c r="AF126" s="231"/>
      <c r="AG126" s="231"/>
      <c r="AH126" s="231">
        <v>8.1884807300000002</v>
      </c>
      <c r="AI126" s="233">
        <v>7.9627462900000001</v>
      </c>
      <c r="AJ126" s="233">
        <v>8.1491778999999998</v>
      </c>
      <c r="AK126" s="233">
        <v>8.1510341999999998</v>
      </c>
      <c r="AL126" s="233">
        <v>8.9162080899999996</v>
      </c>
      <c r="AM126" s="233">
        <v>9.9135384199999983</v>
      </c>
      <c r="AN126" s="1546">
        <v>12.04542563</v>
      </c>
      <c r="AO126" s="1542">
        <v>13.361411609999999</v>
      </c>
      <c r="AP126" s="1542">
        <v>13.984054720000001</v>
      </c>
    </row>
    <row r="127" spans="2:43">
      <c r="C127" s="228" t="s">
        <v>561</v>
      </c>
      <c r="P127" s="367"/>
      <c r="Q127" s="367"/>
      <c r="R127" s="367"/>
      <c r="S127" s="367"/>
      <c r="T127" s="367"/>
      <c r="U127" s="367"/>
      <c r="V127" s="367"/>
      <c r="W127" s="367"/>
      <c r="X127" s="231">
        <v>1662.2</v>
      </c>
      <c r="Y127" s="231"/>
      <c r="Z127" s="231">
        <v>1421.8038200000001</v>
      </c>
      <c r="AA127" s="231"/>
      <c r="AB127" s="231">
        <v>1197.2711300000003</v>
      </c>
      <c r="AC127" s="231"/>
      <c r="AD127" s="231">
        <v>1025.6338699999999</v>
      </c>
      <c r="AE127" s="231"/>
      <c r="AF127" s="231">
        <v>828.02778999999998</v>
      </c>
      <c r="AG127" s="231">
        <v>750.78594999999996</v>
      </c>
      <c r="AH127" s="231">
        <v>685.40485999999999</v>
      </c>
      <c r="AI127" s="233">
        <v>630.15305000000001</v>
      </c>
      <c r="AJ127" s="233">
        <v>366.70227999999997</v>
      </c>
      <c r="AK127" s="233">
        <v>296.31754000000001</v>
      </c>
      <c r="AL127" s="233">
        <v>283.49405999999999</v>
      </c>
      <c r="AM127" s="233">
        <v>273.58013588</v>
      </c>
      <c r="AN127" s="1546">
        <v>273.75243642999999</v>
      </c>
      <c r="AO127" s="1542">
        <v>281.29588293</v>
      </c>
      <c r="AP127" s="1542">
        <v>277.26503464000001</v>
      </c>
    </row>
    <row r="128" spans="2:43">
      <c r="P128" s="367"/>
      <c r="Q128" s="367"/>
      <c r="R128" s="367"/>
      <c r="S128" s="367"/>
      <c r="T128" s="367"/>
      <c r="U128" s="367"/>
      <c r="V128" s="367"/>
      <c r="W128" s="367"/>
      <c r="X128" s="231"/>
      <c r="Y128" s="231"/>
      <c r="Z128" s="231"/>
      <c r="AA128" s="231"/>
      <c r="AB128" s="231"/>
      <c r="AC128" s="231"/>
      <c r="AD128" s="231"/>
      <c r="AE128" s="231"/>
      <c r="AF128" s="231"/>
      <c r="AG128" s="231"/>
      <c r="AH128" s="231"/>
      <c r="AI128" s="233"/>
      <c r="AJ128" s="233"/>
      <c r="AK128" s="233"/>
      <c r="AL128" s="233"/>
      <c r="AM128" s="233"/>
      <c r="AN128" s="1546"/>
    </row>
    <row r="129" spans="2:43">
      <c r="B129" s="228" t="s">
        <v>557</v>
      </c>
      <c r="P129" s="367"/>
      <c r="Q129" s="367"/>
      <c r="R129" s="367"/>
      <c r="S129" s="367"/>
      <c r="T129" s="367"/>
      <c r="U129" s="367"/>
      <c r="V129" s="367"/>
      <c r="W129" s="367"/>
      <c r="X129" s="231"/>
      <c r="Y129" s="231"/>
      <c r="Z129" s="231"/>
      <c r="AA129" s="231"/>
      <c r="AB129" s="231"/>
      <c r="AC129" s="231"/>
      <c r="AD129" s="231"/>
      <c r="AE129" s="231"/>
      <c r="AF129" s="231"/>
      <c r="AG129" s="231"/>
      <c r="AH129" s="231"/>
      <c r="AI129" s="233"/>
      <c r="AJ129" s="233"/>
      <c r="AK129" s="233"/>
      <c r="AL129" s="233"/>
      <c r="AM129" s="233"/>
      <c r="AN129" s="1546"/>
    </row>
    <row r="130" spans="2:43">
      <c r="C130" s="228" t="s">
        <v>1575</v>
      </c>
      <c r="P130" s="367"/>
      <c r="Q130" s="367"/>
      <c r="R130" s="367"/>
      <c r="S130" s="367"/>
      <c r="T130" s="367"/>
      <c r="U130" s="367"/>
      <c r="V130" s="367"/>
      <c r="W130" s="367"/>
      <c r="X130" s="231"/>
      <c r="Y130" s="231"/>
      <c r="Z130" s="231"/>
      <c r="AA130" s="231"/>
      <c r="AB130" s="231"/>
      <c r="AC130" s="231"/>
      <c r="AD130" s="231"/>
      <c r="AE130" s="231"/>
      <c r="AF130" s="231"/>
      <c r="AG130" s="231"/>
      <c r="AH130" s="231">
        <v>3.5818299900000001</v>
      </c>
      <c r="AI130" s="233">
        <v>3.3884662500000005</v>
      </c>
      <c r="AJ130" s="233">
        <v>3.1937419800000004</v>
      </c>
      <c r="AK130" s="233">
        <v>3.0035277900000001</v>
      </c>
      <c r="AL130" s="233">
        <v>3.5039655000000001</v>
      </c>
      <c r="AM130" s="233">
        <v>3.2143921200000003</v>
      </c>
      <c r="AN130" s="1546">
        <v>3.3902847</v>
      </c>
      <c r="AO130" s="1542">
        <v>3.7907740800000003</v>
      </c>
      <c r="AP130" s="1542">
        <v>3.4984515599999999</v>
      </c>
    </row>
    <row r="131" spans="2:43">
      <c r="C131" s="228" t="s">
        <v>1576</v>
      </c>
      <c r="P131" s="367"/>
      <c r="Q131" s="367"/>
      <c r="R131" s="367"/>
      <c r="S131" s="367"/>
      <c r="T131" s="367"/>
      <c r="U131" s="367"/>
      <c r="V131" s="367"/>
      <c r="W131" s="367"/>
      <c r="X131" s="231"/>
      <c r="Y131" s="231"/>
      <c r="Z131" s="231"/>
      <c r="AA131" s="231"/>
      <c r="AB131" s="231"/>
      <c r="AC131" s="231"/>
      <c r="AD131" s="231"/>
      <c r="AE131" s="231"/>
      <c r="AF131" s="231"/>
      <c r="AG131" s="231"/>
      <c r="AH131" s="231">
        <v>59.890718250000006</v>
      </c>
      <c r="AI131" s="233">
        <v>60.814616130000005</v>
      </c>
      <c r="AJ131" s="233">
        <v>63.005863499999997</v>
      </c>
      <c r="AK131" s="233">
        <v>62.182584900000002</v>
      </c>
      <c r="AL131" s="233">
        <v>62.725139370000008</v>
      </c>
      <c r="AM131" s="233">
        <v>66.26914506</v>
      </c>
      <c r="AN131" s="1546">
        <v>65.790860850000016</v>
      </c>
      <c r="AO131" s="1542">
        <v>61.267905360000007</v>
      </c>
      <c r="AP131" s="1542">
        <v>62.143586370000001</v>
      </c>
    </row>
    <row r="132" spans="2:43">
      <c r="C132" s="228" t="s">
        <v>1577</v>
      </c>
      <c r="P132" s="367"/>
      <c r="Q132" s="367"/>
      <c r="R132" s="367"/>
      <c r="S132" s="367"/>
      <c r="T132" s="367"/>
      <c r="U132" s="367"/>
      <c r="V132" s="367"/>
      <c r="W132" s="367"/>
      <c r="X132" s="231"/>
      <c r="Y132" s="231"/>
      <c r="Z132" s="231"/>
      <c r="AA132" s="231"/>
      <c r="AB132" s="231"/>
      <c r="AC132" s="231"/>
      <c r="AD132" s="231"/>
      <c r="AE132" s="231"/>
      <c r="AF132" s="231"/>
      <c r="AG132" s="231"/>
      <c r="AH132" s="231">
        <v>1.89036369</v>
      </c>
      <c r="AI132" s="233">
        <v>1.22712138</v>
      </c>
      <c r="AJ132" s="233">
        <v>1.3110878700000002</v>
      </c>
      <c r="AK132" s="233">
        <v>1.2052656900000003</v>
      </c>
      <c r="AL132" s="233">
        <v>1.3861041300000001</v>
      </c>
      <c r="AM132" s="233">
        <v>1.4842750499999999</v>
      </c>
      <c r="AN132" s="1546">
        <v>1.5428966399999999</v>
      </c>
      <c r="AO132" s="1542">
        <v>3.0255468300000001</v>
      </c>
      <c r="AP132" s="1542">
        <v>1.6643164500000003</v>
      </c>
    </row>
    <row r="133" spans="2:43">
      <c r="P133" s="367"/>
      <c r="Q133" s="367"/>
      <c r="R133" s="367"/>
      <c r="S133" s="367"/>
      <c r="T133" s="367"/>
      <c r="U133" s="367"/>
      <c r="V133" s="367"/>
      <c r="W133" s="367"/>
      <c r="X133" s="231"/>
      <c r="Y133" s="231"/>
      <c r="Z133" s="231"/>
      <c r="AA133" s="231"/>
      <c r="AB133" s="231"/>
      <c r="AC133" s="231"/>
      <c r="AD133" s="231"/>
      <c r="AE133" s="231"/>
      <c r="AF133" s="231"/>
      <c r="AG133" s="231"/>
      <c r="AH133" s="231"/>
      <c r="AI133" s="233"/>
      <c r="AJ133" s="233"/>
      <c r="AK133" s="233"/>
      <c r="AL133" s="233"/>
      <c r="AM133" s="233"/>
      <c r="AN133" s="1546"/>
    </row>
    <row r="134" spans="2:43" ht="13.5">
      <c r="B134" s="1551" t="s">
        <v>446</v>
      </c>
      <c r="P134" s="367"/>
      <c r="Q134" s="367"/>
      <c r="R134" s="367"/>
      <c r="S134" s="367"/>
      <c r="T134" s="367"/>
      <c r="U134" s="367"/>
      <c r="V134" s="367"/>
      <c r="W134" s="367"/>
      <c r="X134" s="231"/>
      <c r="Y134" s="231"/>
      <c r="Z134" s="231"/>
      <c r="AA134" s="231"/>
      <c r="AB134" s="231"/>
      <c r="AC134" s="231"/>
      <c r="AD134" s="231"/>
      <c r="AE134" s="231"/>
      <c r="AF134" s="231"/>
      <c r="AG134" s="231"/>
      <c r="AH134" s="231"/>
      <c r="AI134" s="233"/>
      <c r="AJ134" s="233"/>
      <c r="AK134" s="231"/>
      <c r="AL134" s="231"/>
      <c r="AM134" s="231"/>
      <c r="AN134" s="1542"/>
    </row>
    <row r="135" spans="2:43">
      <c r="B135" s="240" t="s">
        <v>447</v>
      </c>
      <c r="P135" s="367"/>
      <c r="Q135" s="367"/>
      <c r="R135" s="367"/>
      <c r="S135" s="367"/>
      <c r="T135" s="367"/>
      <c r="U135" s="367"/>
      <c r="V135" s="367"/>
      <c r="W135" s="367"/>
      <c r="X135" s="243">
        <v>106.60000000000001</v>
      </c>
      <c r="Y135" s="231"/>
      <c r="Z135" s="243">
        <v>190.59208822896045</v>
      </c>
      <c r="AA135" s="231"/>
      <c r="AB135" s="243">
        <v>260.51513826555544</v>
      </c>
      <c r="AC135" s="231"/>
      <c r="AD135" s="243">
        <v>276.20099258791271</v>
      </c>
      <c r="AE135" s="231"/>
      <c r="AF135" s="243">
        <v>326.32461453769645</v>
      </c>
      <c r="AG135" s="243">
        <v>397.13397201867417</v>
      </c>
      <c r="AH135" s="243">
        <v>433.22776049936908</v>
      </c>
      <c r="AI135" s="243">
        <v>456.19959065819791</v>
      </c>
      <c r="AJ135" s="243">
        <v>569.65845829040586</v>
      </c>
      <c r="AK135" s="243">
        <v>625.84781344888324</v>
      </c>
      <c r="AL135" s="243">
        <v>2000.5881062693238</v>
      </c>
      <c r="AM135" s="243">
        <v>2010.2219585970829</v>
      </c>
      <c r="AN135" s="1552">
        <v>2139.9153695721911</v>
      </c>
      <c r="AO135" s="243">
        <f>+AO137+AO138</f>
        <v>2277.370202794099</v>
      </c>
      <c r="AP135" s="243">
        <f>+AP137+AP138</f>
        <v>2228.4734441060709</v>
      </c>
      <c r="AQ135" s="228" t="s">
        <v>234</v>
      </c>
    </row>
    <row r="136" spans="2:43">
      <c r="P136" s="367"/>
      <c r="Q136" s="367"/>
      <c r="R136" s="367"/>
      <c r="S136" s="367"/>
      <c r="T136" s="367"/>
      <c r="U136" s="367"/>
      <c r="V136" s="367"/>
      <c r="W136" s="367"/>
      <c r="X136" s="231"/>
      <c r="Y136" s="231"/>
      <c r="Z136" s="231"/>
      <c r="AA136" s="231"/>
      <c r="AB136" s="231"/>
      <c r="AC136" s="231"/>
      <c r="AD136" s="231"/>
      <c r="AE136" s="231"/>
      <c r="AF136" s="231"/>
      <c r="AG136" s="231"/>
      <c r="AH136" s="231"/>
      <c r="AI136" s="233"/>
      <c r="AJ136" s="233"/>
      <c r="AK136" s="231"/>
      <c r="AL136" s="231"/>
      <c r="AM136" s="231"/>
      <c r="AN136" s="1542"/>
    </row>
    <row r="137" spans="2:43">
      <c r="C137" s="228" t="s">
        <v>1578</v>
      </c>
      <c r="P137" s="367"/>
      <c r="Q137" s="367"/>
      <c r="R137" s="367"/>
      <c r="S137" s="367"/>
      <c r="T137" s="367"/>
      <c r="U137" s="367"/>
      <c r="V137" s="367"/>
      <c r="W137" s="367"/>
      <c r="X137" s="231">
        <v>102.9</v>
      </c>
      <c r="Y137" s="231"/>
      <c r="Z137" s="231">
        <v>178.42736095623317</v>
      </c>
      <c r="AA137" s="231"/>
      <c r="AB137" s="231">
        <v>244.88267308373725</v>
      </c>
      <c r="AC137" s="231"/>
      <c r="AD137" s="231">
        <v>256.47928631518545</v>
      </c>
      <c r="AE137" s="231"/>
      <c r="AF137" s="231">
        <v>317.30075090133283</v>
      </c>
      <c r="AG137" s="231">
        <v>373.4942447459469</v>
      </c>
      <c r="AH137" s="231">
        <v>406.68976049936907</v>
      </c>
      <c r="AI137" s="233">
        <v>443.44288893092516</v>
      </c>
      <c r="AJ137" s="233">
        <v>500.11511438131492</v>
      </c>
      <c r="AK137" s="233">
        <v>552.32312917615604</v>
      </c>
      <c r="AL137" s="233">
        <v>1838.1697200000001</v>
      </c>
      <c r="AM137" s="233">
        <v>1907.4565800000003</v>
      </c>
      <c r="AN137" s="1546">
        <v>2032.3026900000002</v>
      </c>
      <c r="AO137" s="1546">
        <v>2129.9765400000001</v>
      </c>
      <c r="AP137" s="1546">
        <v>2204.0275500000007</v>
      </c>
    </row>
    <row r="138" spans="2:43">
      <c r="C138" s="228" t="s">
        <v>1579</v>
      </c>
      <c r="P138" s="367"/>
      <c r="Q138" s="367"/>
      <c r="R138" s="367"/>
      <c r="S138" s="367"/>
      <c r="T138" s="367"/>
      <c r="U138" s="367"/>
      <c r="V138" s="367"/>
      <c r="W138" s="367"/>
      <c r="X138" s="231">
        <v>3.7</v>
      </c>
      <c r="Y138" s="231"/>
      <c r="Z138" s="231">
        <v>12.164727272727278</v>
      </c>
      <c r="AA138" s="231"/>
      <c r="AB138" s="231">
        <v>15.632465181818189</v>
      </c>
      <c r="AC138" s="231"/>
      <c r="AD138" s="231">
        <v>19.721706272727257</v>
      </c>
      <c r="AE138" s="231"/>
      <c r="AF138" s="231">
        <v>9.0238636363636324</v>
      </c>
      <c r="AG138" s="231">
        <v>23.639727272727267</v>
      </c>
      <c r="AH138" s="231">
        <v>26.538</v>
      </c>
      <c r="AI138" s="233">
        <v>12.756701727272739</v>
      </c>
      <c r="AJ138" s="233">
        <v>69.543343909090964</v>
      </c>
      <c r="AK138" s="233">
        <v>73.524684272727242</v>
      </c>
      <c r="AL138" s="233">
        <v>162.41838626932372</v>
      </c>
      <c r="AM138" s="233">
        <v>102.76537859708267</v>
      </c>
      <c r="AN138" s="1546">
        <v>107.61267957219113</v>
      </c>
      <c r="AO138" s="1546">
        <v>147.39366279409879</v>
      </c>
      <c r="AP138" s="1546">
        <v>24.445894106070284</v>
      </c>
      <c r="AQ138" s="228" t="s">
        <v>234</v>
      </c>
    </row>
    <row r="139" spans="2:43">
      <c r="B139" s="238"/>
      <c r="C139" s="238"/>
      <c r="D139" s="238"/>
      <c r="E139" s="238"/>
      <c r="F139" s="238"/>
      <c r="G139" s="238"/>
      <c r="H139" s="238"/>
      <c r="I139" s="238"/>
      <c r="J139" s="238"/>
      <c r="K139" s="238"/>
      <c r="L139" s="238"/>
      <c r="M139" s="238"/>
      <c r="N139" s="238"/>
      <c r="O139" s="238"/>
      <c r="P139" s="1553"/>
      <c r="Q139" s="1553"/>
      <c r="R139" s="1553"/>
      <c r="S139" s="1553"/>
      <c r="T139" s="1553"/>
      <c r="U139" s="1553"/>
      <c r="V139" s="1553"/>
      <c r="W139" s="1553"/>
      <c r="X139" s="1532"/>
      <c r="Y139" s="230"/>
      <c r="Z139" s="1532"/>
      <c r="AA139" s="230"/>
      <c r="AB139" s="230"/>
      <c r="AC139" s="230"/>
      <c r="AD139" s="1532"/>
      <c r="AE139" s="230"/>
      <c r="AF139" s="1532"/>
      <c r="AG139" s="230"/>
      <c r="AH139" s="1532"/>
      <c r="AI139" s="1532"/>
      <c r="AJ139" s="1532"/>
      <c r="AK139" s="1532"/>
      <c r="AL139" s="1532"/>
      <c r="AM139" s="1532"/>
      <c r="AN139" s="1554"/>
      <c r="AO139" s="238"/>
      <c r="AP139" s="238"/>
      <c r="AQ139" s="238"/>
    </row>
    <row r="140" spans="2:43">
      <c r="AK140" s="229"/>
      <c r="AL140" s="229"/>
    </row>
    <row r="141" spans="2:43">
      <c r="B141" s="369" t="s">
        <v>1580</v>
      </c>
    </row>
    <row r="143" spans="2:43" ht="30" customHeight="1">
      <c r="B143" s="1955" t="s">
        <v>1581</v>
      </c>
      <c r="C143" s="1955"/>
      <c r="D143" s="1955"/>
      <c r="E143" s="1955"/>
      <c r="F143" s="1955"/>
      <c r="G143" s="1955"/>
      <c r="H143" s="1955"/>
      <c r="I143" s="1955"/>
      <c r="J143" s="1955"/>
      <c r="K143" s="1955"/>
      <c r="L143" s="1955"/>
      <c r="M143" s="1955"/>
      <c r="N143" s="1955"/>
      <c r="O143" s="1955"/>
      <c r="P143" s="1955"/>
      <c r="Q143" s="1955"/>
      <c r="R143" s="1955"/>
      <c r="S143" s="1955"/>
      <c r="T143" s="1955"/>
      <c r="U143" s="1955"/>
      <c r="V143" s="1955"/>
      <c r="W143" s="1955"/>
      <c r="X143" s="1955"/>
      <c r="Y143" s="1955"/>
      <c r="Z143" s="1955"/>
      <c r="AA143" s="1955"/>
      <c r="AB143" s="1955"/>
      <c r="AC143" s="1955"/>
      <c r="AD143" s="1955"/>
      <c r="AE143" s="1955"/>
      <c r="AF143" s="1955"/>
      <c r="AG143" s="1955"/>
      <c r="AH143" s="1955"/>
      <c r="AI143" s="1955"/>
      <c r="AJ143" s="1955"/>
      <c r="AK143" s="828"/>
    </row>
    <row r="144" spans="2:43" ht="30.75" customHeight="1">
      <c r="B144" s="1955" t="s">
        <v>1582</v>
      </c>
      <c r="C144" s="1955"/>
      <c r="D144" s="1955"/>
      <c r="E144" s="1955"/>
      <c r="F144" s="1955"/>
      <c r="G144" s="1955"/>
      <c r="H144" s="1955"/>
      <c r="I144" s="1955"/>
      <c r="J144" s="1955"/>
      <c r="K144" s="1955"/>
      <c r="L144" s="1955"/>
      <c r="M144" s="1955"/>
      <c r="N144" s="1955"/>
      <c r="O144" s="1955"/>
      <c r="P144" s="1955"/>
      <c r="Q144" s="1955"/>
      <c r="R144" s="1955"/>
      <c r="S144" s="1955"/>
      <c r="T144" s="1955"/>
      <c r="U144" s="1955"/>
      <c r="V144" s="1955"/>
      <c r="W144" s="1955"/>
      <c r="X144" s="1955"/>
      <c r="Y144" s="1955"/>
      <c r="Z144" s="1955"/>
      <c r="AA144" s="1955"/>
      <c r="AB144" s="1955"/>
      <c r="AC144" s="1955"/>
      <c r="AD144" s="1955"/>
      <c r="AE144" s="1955"/>
      <c r="AF144" s="1955"/>
      <c r="AG144" s="1955"/>
      <c r="AH144" s="1955"/>
      <c r="AI144" s="1955"/>
      <c r="AJ144" s="1955"/>
      <c r="AK144" s="828"/>
    </row>
    <row r="145" spans="2:36">
      <c r="B145" s="1955" t="s">
        <v>1583</v>
      </c>
      <c r="C145" s="1955"/>
      <c r="D145" s="1955"/>
      <c r="E145" s="1955"/>
      <c r="F145" s="1955"/>
      <c r="G145" s="1955"/>
      <c r="H145" s="1955"/>
      <c r="I145" s="1955"/>
      <c r="J145" s="1955"/>
      <c r="K145" s="1955"/>
      <c r="L145" s="1955"/>
      <c r="M145" s="1955"/>
      <c r="N145" s="1955"/>
      <c r="O145" s="1955"/>
      <c r="P145" s="1955"/>
      <c r="Q145" s="1955"/>
      <c r="R145" s="1955"/>
      <c r="S145" s="1955"/>
      <c r="T145" s="1955"/>
      <c r="U145" s="1955"/>
      <c r="V145" s="1955"/>
      <c r="W145" s="1955"/>
      <c r="X145" s="1955"/>
      <c r="Y145" s="1955"/>
      <c r="Z145" s="1955"/>
      <c r="AA145" s="1955"/>
      <c r="AB145" s="1955"/>
      <c r="AC145" s="1955"/>
      <c r="AD145" s="1955"/>
      <c r="AE145" s="1955"/>
      <c r="AF145" s="1955"/>
      <c r="AG145" s="1955"/>
      <c r="AH145" s="1955"/>
      <c r="AI145" s="1955"/>
      <c r="AJ145" s="1955"/>
    </row>
    <row r="146" spans="2:36">
      <c r="B146" s="1955"/>
      <c r="C146" s="1955"/>
      <c r="D146" s="1955"/>
      <c r="E146" s="1955"/>
      <c r="F146" s="1955"/>
      <c r="G146" s="1955"/>
      <c r="H146" s="1955"/>
      <c r="I146" s="1955"/>
      <c r="J146" s="1955"/>
      <c r="K146" s="1955"/>
      <c r="L146" s="1955"/>
      <c r="M146" s="1955"/>
      <c r="N146" s="1955"/>
      <c r="O146" s="1955"/>
      <c r="P146" s="1955"/>
      <c r="Q146" s="1955"/>
      <c r="R146" s="1955"/>
      <c r="S146" s="1955"/>
      <c r="T146" s="1955"/>
      <c r="U146" s="1955"/>
      <c r="V146" s="1955"/>
      <c r="W146" s="1955"/>
      <c r="X146" s="1955"/>
      <c r="Y146" s="1955"/>
      <c r="Z146" s="1955"/>
      <c r="AA146" s="1955"/>
      <c r="AB146" s="1955"/>
      <c r="AC146" s="1955"/>
      <c r="AD146" s="1955"/>
      <c r="AE146" s="1955"/>
      <c r="AF146" s="1955"/>
      <c r="AG146" s="1955"/>
      <c r="AH146" s="1955"/>
      <c r="AI146" s="1955"/>
      <c r="AJ146" s="1955"/>
    </row>
    <row r="147" spans="2:36" ht="15">
      <c r="B147" s="828"/>
      <c r="C147" s="1539"/>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955"/>
      <c r="AH147" s="955"/>
      <c r="AI147" s="955"/>
      <c r="AJ147" s="955"/>
    </row>
    <row r="148" spans="2:36">
      <c r="B148" s="228" t="s">
        <v>563</v>
      </c>
      <c r="X148" s="228"/>
      <c r="Y148" s="228"/>
      <c r="Z148" s="228"/>
      <c r="AA148" s="228"/>
      <c r="AB148" s="228"/>
      <c r="AC148" s="228"/>
      <c r="AD148" s="228"/>
      <c r="AE148" s="228"/>
      <c r="AF148" s="228"/>
      <c r="AG148" s="228"/>
      <c r="AH148" s="228"/>
      <c r="AI148" s="228"/>
      <c r="AJ148" s="228"/>
    </row>
  </sheetData>
  <mergeCells count="10">
    <mergeCell ref="B15:AQ15"/>
    <mergeCell ref="B16:AQ16"/>
    <mergeCell ref="B145:AJ145"/>
    <mergeCell ref="B146:AJ146"/>
    <mergeCell ref="B144:AJ144"/>
    <mergeCell ref="B48:Z48"/>
    <mergeCell ref="B49:Z49"/>
    <mergeCell ref="B55:Z55"/>
    <mergeCell ref="B87:AF87"/>
    <mergeCell ref="B143:AJ143"/>
  </mergeCells>
  <pageMargins left="0.70866141732283472" right="0.70866141732283472" top="0.74803149606299213" bottom="0.7480314960629921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118"/>
  <sheetViews>
    <sheetView topLeftCell="B15" zoomScale="70" zoomScaleNormal="70" workbookViewId="0">
      <selection activeCell="B15" sqref="A1:XFD1048576"/>
    </sheetView>
  </sheetViews>
  <sheetFormatPr defaultColWidth="8.88671875" defaultRowHeight="15" outlineLevelRow="1"/>
  <cols>
    <col min="1" max="1" width="0" style="545" hidden="1" customWidth="1"/>
    <col min="2" max="3" width="8.88671875" style="545"/>
    <col min="4" max="15" width="0" style="545" hidden="1" customWidth="1"/>
    <col min="16" max="16" width="8.88671875" style="545"/>
    <col min="17" max="17" width="0" style="545" hidden="1" customWidth="1"/>
    <col min="18" max="18" width="8.88671875" style="545"/>
    <col min="19" max="19" width="0" style="545" hidden="1" customWidth="1"/>
    <col min="20" max="20" width="8.88671875" style="545"/>
    <col min="21" max="21" width="0" style="545" hidden="1" customWidth="1"/>
    <col min="22" max="22" width="14.44140625" style="545" customWidth="1"/>
    <col min="23" max="23" width="0" style="545" hidden="1" customWidth="1"/>
    <col min="24" max="24" width="8.5546875" style="545" customWidth="1"/>
    <col min="25" max="25" width="8.88671875" style="545" hidden="1" customWidth="1"/>
    <col min="26" max="26" width="8.88671875" style="545"/>
    <col min="27" max="27" width="8.88671875" style="545" hidden="1" customWidth="1"/>
    <col min="28" max="28" width="8.88671875" style="545"/>
    <col min="29" max="29" width="8.88671875" style="545" hidden="1" customWidth="1"/>
    <col min="30" max="30" width="8.88671875" style="545"/>
    <col min="31" max="31" width="8.88671875" style="545" hidden="1" customWidth="1"/>
    <col min="32" max="32" width="9.5546875" style="545" customWidth="1"/>
    <col min="33" max="43" width="9.21875" style="545" customWidth="1"/>
    <col min="44" max="16384" width="8.88671875" style="545"/>
  </cols>
  <sheetData>
    <row r="1" spans="1:43" hidden="1" outlineLevel="1">
      <c r="A1" s="158"/>
      <c r="B1" s="158" t="s">
        <v>564</v>
      </c>
      <c r="C1" s="158"/>
      <c r="D1" s="158"/>
      <c r="E1" s="158"/>
      <c r="F1" s="158"/>
      <c r="G1" s="158"/>
      <c r="H1" s="158"/>
      <c r="I1" s="158"/>
      <c r="J1" s="158"/>
      <c r="K1" s="158"/>
      <c r="L1" s="158"/>
      <c r="M1" s="158"/>
      <c r="N1" s="158"/>
      <c r="O1" s="158"/>
      <c r="P1" s="158"/>
      <c r="Q1" s="158"/>
      <c r="R1" s="158"/>
      <c r="S1" s="158"/>
      <c r="T1" s="158"/>
      <c r="U1" s="158"/>
      <c r="V1" s="158"/>
      <c r="W1" s="158"/>
      <c r="X1" s="276"/>
      <c r="Y1" s="276"/>
      <c r="Z1" s="276"/>
      <c r="AA1" s="276"/>
      <c r="AB1" s="276"/>
      <c r="AC1" s="158"/>
      <c r="AD1" s="158"/>
      <c r="AE1" s="1556"/>
      <c r="AF1" s="1556"/>
      <c r="AG1" s="1556"/>
      <c r="AH1" s="1556"/>
      <c r="AI1" s="1556"/>
      <c r="AJ1" s="1556"/>
      <c r="AK1" s="1556"/>
    </row>
    <row r="2" spans="1:43" hidden="1" outlineLevel="1">
      <c r="A2" s="158"/>
      <c r="B2" s="158"/>
      <c r="C2" s="158"/>
      <c r="D2" s="158"/>
      <c r="E2" s="158"/>
      <c r="F2" s="158"/>
      <c r="G2" s="158"/>
      <c r="H2" s="158"/>
      <c r="I2" s="158"/>
      <c r="J2" s="158"/>
      <c r="K2" s="158"/>
      <c r="L2" s="158"/>
      <c r="M2" s="158"/>
      <c r="N2" s="158"/>
      <c r="O2" s="158"/>
      <c r="P2" s="158"/>
      <c r="Q2" s="158"/>
      <c r="R2" s="158"/>
      <c r="S2" s="158"/>
      <c r="T2" s="158"/>
      <c r="U2" s="158"/>
      <c r="V2" s="158"/>
      <c r="W2" s="158"/>
      <c r="X2" s="276"/>
      <c r="Y2" s="276"/>
      <c r="Z2" s="276"/>
      <c r="AA2" s="276"/>
      <c r="AB2" s="276"/>
      <c r="AC2" s="276"/>
      <c r="AD2" s="158"/>
      <c r="AE2" s="158"/>
      <c r="AF2" s="1556"/>
      <c r="AG2" s="1556"/>
      <c r="AH2" s="1556"/>
      <c r="AI2" s="1556"/>
      <c r="AJ2" s="1556"/>
      <c r="AK2" s="1556"/>
      <c r="AL2" s="1556"/>
    </row>
    <row r="3" spans="1:43" hidden="1" outlineLevel="1">
      <c r="A3" s="158"/>
      <c r="B3" s="158"/>
      <c r="C3" s="158"/>
      <c r="D3" s="158"/>
      <c r="E3" s="158"/>
      <c r="F3" s="158"/>
      <c r="G3" s="158"/>
      <c r="H3" s="158"/>
      <c r="I3" s="158"/>
      <c r="J3" s="158"/>
      <c r="K3" s="158"/>
      <c r="L3" s="158"/>
      <c r="M3" s="158"/>
      <c r="N3" s="158"/>
      <c r="O3" s="158"/>
      <c r="P3" s="158"/>
      <c r="Q3" s="158"/>
      <c r="R3" s="158"/>
      <c r="S3" s="158"/>
      <c r="T3" s="158"/>
      <c r="U3" s="158"/>
      <c r="V3" s="158"/>
      <c r="W3" s="158"/>
      <c r="X3" s="276"/>
      <c r="Y3" s="276"/>
      <c r="Z3" s="276"/>
      <c r="AA3" s="276"/>
      <c r="AB3" s="276"/>
      <c r="AC3" s="276"/>
      <c r="AD3" s="276"/>
      <c r="AE3" s="276"/>
      <c r="AF3" s="276"/>
      <c r="AG3" s="158"/>
      <c r="AH3" s="158"/>
      <c r="AI3" s="1556"/>
      <c r="AJ3" s="1556"/>
      <c r="AK3" s="1556"/>
      <c r="AL3" s="1556"/>
      <c r="AM3" s="1556"/>
      <c r="AN3" s="1556"/>
      <c r="AO3" s="1557"/>
    </row>
    <row r="4" spans="1:43" hidden="1" outlineLevel="1">
      <c r="A4" s="158"/>
      <c r="B4" s="570" t="s">
        <v>565</v>
      </c>
      <c r="C4" s="570"/>
      <c r="D4" s="158"/>
      <c r="E4" s="158"/>
      <c r="F4" s="158"/>
      <c r="G4" s="158"/>
      <c r="H4" s="158"/>
      <c r="I4" s="158"/>
      <c r="J4" s="158"/>
      <c r="K4" s="158"/>
      <c r="L4" s="158"/>
      <c r="M4" s="158"/>
      <c r="N4" s="158"/>
      <c r="O4" s="158"/>
      <c r="P4" s="559">
        <v>1993</v>
      </c>
      <c r="Q4" s="559"/>
      <c r="R4" s="559">
        <v>1995</v>
      </c>
      <c r="S4" s="559"/>
      <c r="T4" s="559">
        <v>1997</v>
      </c>
      <c r="U4" s="559"/>
      <c r="V4" s="559">
        <v>1999</v>
      </c>
      <c r="W4" s="559"/>
      <c r="X4" s="290">
        <v>2001</v>
      </c>
      <c r="Y4" s="290"/>
      <c r="Z4" s="290">
        <v>2003</v>
      </c>
      <c r="AA4" s="290"/>
      <c r="AB4" s="290">
        <v>2005</v>
      </c>
      <c r="AC4" s="290"/>
      <c r="AD4" s="290">
        <v>2007</v>
      </c>
      <c r="AE4" s="290"/>
      <c r="AF4" s="290">
        <v>2009</v>
      </c>
      <c r="AG4" s="290">
        <v>2010</v>
      </c>
      <c r="AH4" s="290">
        <v>2011</v>
      </c>
      <c r="AI4" s="290">
        <v>2012</v>
      </c>
      <c r="AJ4" s="290">
        <v>2013</v>
      </c>
      <c r="AK4" s="290">
        <v>2014</v>
      </c>
      <c r="AL4" s="290">
        <v>2015</v>
      </c>
      <c r="AM4" s="290">
        <v>2016</v>
      </c>
      <c r="AN4" s="290">
        <v>2017</v>
      </c>
      <c r="AO4" s="290">
        <v>2018</v>
      </c>
      <c r="AP4" s="290">
        <v>2019</v>
      </c>
      <c r="AQ4" s="290">
        <v>2020</v>
      </c>
    </row>
    <row r="5" spans="1:43" hidden="1" outlineLevel="1">
      <c r="A5" s="158"/>
      <c r="B5" s="158"/>
      <c r="C5" s="158"/>
      <c r="D5" s="158"/>
      <c r="E5" s="158"/>
      <c r="F5" s="158"/>
      <c r="G5" s="158"/>
      <c r="H5" s="158"/>
      <c r="I5" s="158"/>
      <c r="J5" s="158"/>
      <c r="K5" s="158"/>
      <c r="L5" s="158"/>
      <c r="M5" s="158"/>
      <c r="N5" s="158"/>
      <c r="O5" s="158"/>
      <c r="P5" s="158"/>
      <c r="Q5" s="158"/>
      <c r="R5" s="158"/>
      <c r="S5" s="158"/>
      <c r="T5" s="158"/>
      <c r="U5" s="158"/>
      <c r="V5" s="158"/>
      <c r="W5" s="158"/>
      <c r="X5" s="276"/>
      <c r="Y5" s="276"/>
      <c r="Z5" s="276"/>
      <c r="AA5" s="276"/>
      <c r="AB5" s="276"/>
      <c r="AC5" s="276"/>
      <c r="AD5" s="276"/>
      <c r="AE5" s="276"/>
      <c r="AF5" s="276"/>
      <c r="AG5" s="158"/>
      <c r="AH5" s="158"/>
      <c r="AI5" s="1556"/>
      <c r="AJ5" s="1556"/>
      <c r="AK5" s="1556"/>
      <c r="AL5" s="1556"/>
      <c r="AM5" s="1556"/>
      <c r="AN5" s="1556"/>
      <c r="AO5" s="1556"/>
      <c r="AP5" s="1556"/>
      <c r="AQ5" s="1556"/>
    </row>
    <row r="6" spans="1:43" hidden="1" outlineLevel="1">
      <c r="A6" s="158" t="s">
        <v>2</v>
      </c>
      <c r="B6" s="158" t="s">
        <v>3</v>
      </c>
      <c r="C6" s="158"/>
      <c r="D6" s="158"/>
      <c r="E6" s="158"/>
      <c r="F6" s="158"/>
      <c r="G6" s="158"/>
      <c r="H6" s="158"/>
      <c r="I6" s="158"/>
      <c r="J6" s="158"/>
      <c r="K6" s="158"/>
      <c r="L6" s="158"/>
      <c r="M6" s="158"/>
      <c r="N6" s="158"/>
      <c r="O6" s="158"/>
      <c r="P6" s="158"/>
      <c r="Q6" s="158"/>
      <c r="R6" s="158"/>
      <c r="S6" s="158"/>
      <c r="T6" s="283">
        <v>2300000</v>
      </c>
      <c r="U6" s="283"/>
      <c r="V6" s="283">
        <v>3100000</v>
      </c>
      <c r="W6" s="283"/>
      <c r="X6" s="285">
        <f t="shared" ref="X6:AK6" si="0">X97+X99</f>
        <v>2800000</v>
      </c>
      <c r="Y6" s="285">
        <f t="shared" si="0"/>
        <v>0</v>
      </c>
      <c r="Z6" s="285">
        <f t="shared" si="0"/>
        <v>2510000</v>
      </c>
      <c r="AA6" s="285">
        <f t="shared" si="0"/>
        <v>0</v>
      </c>
      <c r="AB6" s="285">
        <f t="shared" si="0"/>
        <v>2500000</v>
      </c>
      <c r="AC6" s="285">
        <f t="shared" si="0"/>
        <v>0</v>
      </c>
      <c r="AD6" s="285">
        <f t="shared" si="0"/>
        <v>2700000</v>
      </c>
      <c r="AE6" s="285">
        <f t="shared" si="0"/>
        <v>0</v>
      </c>
      <c r="AF6" s="285">
        <f t="shared" si="0"/>
        <v>2700000</v>
      </c>
      <c r="AG6" s="285" t="s">
        <v>237</v>
      </c>
      <c r="AH6" s="285">
        <f>AH97+AH99</f>
        <v>1800000</v>
      </c>
      <c r="AI6" s="285">
        <f t="shared" si="0"/>
        <v>1300000</v>
      </c>
      <c r="AJ6" s="285">
        <f t="shared" si="0"/>
        <v>1300000</v>
      </c>
      <c r="AK6" s="285">
        <f t="shared" si="0"/>
        <v>1300000</v>
      </c>
      <c r="AL6" s="285">
        <f>AL97+AL99</f>
        <v>1300000</v>
      </c>
      <c r="AM6" s="285">
        <f t="shared" ref="AM6:AN6" si="1">AM97+AM99</f>
        <v>1300000</v>
      </c>
      <c r="AN6" s="285">
        <f t="shared" si="1"/>
        <v>1300000</v>
      </c>
      <c r="AO6" s="285">
        <f>AO97+AO99</f>
        <v>1300000</v>
      </c>
      <c r="AP6" s="285">
        <f>AP97+AP99</f>
        <v>1300000</v>
      </c>
      <c r="AQ6" s="285"/>
    </row>
    <row r="7" spans="1:43" hidden="1" outlineLevel="1">
      <c r="A7" s="158" t="s">
        <v>4</v>
      </c>
      <c r="B7" s="158" t="s">
        <v>5</v>
      </c>
      <c r="C7" s="158"/>
      <c r="D7" s="158"/>
      <c r="E7" s="158"/>
      <c r="F7" s="158"/>
      <c r="G7" s="158"/>
      <c r="H7" s="158"/>
      <c r="I7" s="158"/>
      <c r="J7" s="158"/>
      <c r="K7" s="158"/>
      <c r="L7" s="158"/>
      <c r="M7" s="158"/>
      <c r="N7" s="158"/>
      <c r="O7" s="158"/>
      <c r="P7" s="226"/>
      <c r="Q7" s="226"/>
      <c r="R7" s="226"/>
      <c r="S7" s="226"/>
      <c r="T7" s="859">
        <v>0</v>
      </c>
      <c r="U7" s="859"/>
      <c r="V7" s="859">
        <v>0</v>
      </c>
      <c r="W7" s="859"/>
      <c r="X7" s="860">
        <f>X104</f>
        <v>110000</v>
      </c>
      <c r="Y7" s="860">
        <f t="shared" ref="Y7:AP7" si="2">Y104</f>
        <v>0</v>
      </c>
      <c r="Z7" s="860">
        <f t="shared" si="2"/>
        <v>132000</v>
      </c>
      <c r="AA7" s="860">
        <f t="shared" si="2"/>
        <v>0</v>
      </c>
      <c r="AB7" s="860">
        <f t="shared" si="2"/>
        <v>129000</v>
      </c>
      <c r="AC7" s="860">
        <f t="shared" si="2"/>
        <v>0</v>
      </c>
      <c r="AD7" s="860">
        <f t="shared" si="2"/>
        <v>136000</v>
      </c>
      <c r="AE7" s="860">
        <f t="shared" si="2"/>
        <v>0</v>
      </c>
      <c r="AF7" s="860">
        <f t="shared" si="2"/>
        <v>131000</v>
      </c>
      <c r="AG7" s="860" t="str">
        <f t="shared" si="2"/>
        <v>..</v>
      </c>
      <c r="AH7" s="860">
        <f t="shared" si="2"/>
        <v>144500</v>
      </c>
      <c r="AI7" s="860">
        <f t="shared" si="2"/>
        <v>148000</v>
      </c>
      <c r="AJ7" s="860">
        <f t="shared" si="2"/>
        <v>144000</v>
      </c>
      <c r="AK7" s="860">
        <f t="shared" si="2"/>
        <v>134000</v>
      </c>
      <c r="AL7" s="860">
        <f t="shared" si="2"/>
        <v>138000</v>
      </c>
      <c r="AM7" s="860">
        <f t="shared" si="2"/>
        <v>138000</v>
      </c>
      <c r="AN7" s="860">
        <f t="shared" si="2"/>
        <v>137700</v>
      </c>
      <c r="AO7" s="860">
        <f t="shared" si="2"/>
        <v>137600</v>
      </c>
      <c r="AP7" s="860">
        <f t="shared" si="2"/>
        <v>126600</v>
      </c>
      <c r="AQ7" s="860"/>
    </row>
    <row r="8" spans="1:43" hidden="1" outlineLevel="1">
      <c r="A8" s="158" t="s">
        <v>6</v>
      </c>
      <c r="B8" s="158"/>
      <c r="C8" s="158"/>
      <c r="D8" s="158"/>
      <c r="E8" s="158"/>
      <c r="F8" s="158"/>
      <c r="G8" s="158"/>
      <c r="H8" s="158"/>
      <c r="I8" s="158"/>
      <c r="J8" s="158"/>
      <c r="K8" s="158"/>
      <c r="L8" s="158"/>
      <c r="M8" s="158"/>
      <c r="N8" s="158"/>
      <c r="O8" s="158"/>
      <c r="P8" s="158"/>
      <c r="Q8" s="158"/>
      <c r="R8" s="158"/>
      <c r="S8" s="158"/>
      <c r="T8" s="283"/>
      <c r="U8" s="283"/>
      <c r="V8" s="283"/>
      <c r="W8" s="283"/>
      <c r="X8" s="285"/>
      <c r="Y8" s="285"/>
      <c r="Z8" s="285"/>
      <c r="AA8" s="285"/>
      <c r="AB8" s="285"/>
      <c r="AC8" s="285"/>
      <c r="AD8" s="285"/>
      <c r="AE8" s="285"/>
      <c r="AF8" s="285"/>
      <c r="AG8" s="285"/>
      <c r="AH8" s="285"/>
      <c r="AI8" s="285"/>
      <c r="AJ8" s="285"/>
      <c r="AK8" s="285"/>
      <c r="AL8" s="285"/>
      <c r="AM8" s="285"/>
      <c r="AN8" s="285"/>
      <c r="AO8" s="285"/>
      <c r="AP8" s="285"/>
      <c r="AQ8" s="285"/>
    </row>
    <row r="9" spans="1:43" hidden="1" outlineLevel="1">
      <c r="A9" s="158"/>
      <c r="B9" s="158"/>
      <c r="C9" s="158"/>
      <c r="D9" s="158"/>
      <c r="E9" s="158"/>
      <c r="F9" s="158"/>
      <c r="G9" s="158"/>
      <c r="H9" s="158"/>
      <c r="I9" s="158"/>
      <c r="J9" s="158"/>
      <c r="K9" s="158"/>
      <c r="L9" s="158"/>
      <c r="M9" s="158"/>
      <c r="N9" s="158"/>
      <c r="O9" s="158"/>
      <c r="P9" s="158"/>
      <c r="Q9" s="158"/>
      <c r="R9" s="158"/>
      <c r="S9" s="158"/>
      <c r="T9" s="283"/>
      <c r="U9" s="283"/>
      <c r="V9" s="283"/>
      <c r="W9" s="283"/>
      <c r="X9" s="285"/>
      <c r="Y9" s="285"/>
      <c r="Z9" s="285"/>
      <c r="AA9" s="285"/>
      <c r="AB9" s="285"/>
      <c r="AC9" s="285"/>
      <c r="AD9" s="285"/>
      <c r="AE9" s="285"/>
      <c r="AF9" s="285"/>
      <c r="AG9" s="285"/>
      <c r="AH9" s="285"/>
      <c r="AI9" s="285"/>
      <c r="AJ9" s="285"/>
      <c r="AK9" s="285"/>
      <c r="AL9" s="285"/>
      <c r="AM9" s="1556"/>
      <c r="AN9" s="1556"/>
      <c r="AO9" s="1556"/>
      <c r="AP9" s="1556"/>
      <c r="AQ9" s="1556"/>
    </row>
    <row r="10" spans="1:43" hidden="1" outlineLevel="1">
      <c r="A10" s="158"/>
      <c r="B10" s="158" t="s">
        <v>110</v>
      </c>
      <c r="C10" s="158"/>
      <c r="D10" s="158"/>
      <c r="E10" s="158"/>
      <c r="F10" s="158"/>
      <c r="G10" s="158"/>
      <c r="H10" s="158"/>
      <c r="I10" s="158"/>
      <c r="J10" s="158"/>
      <c r="K10" s="158"/>
      <c r="L10" s="158"/>
      <c r="M10" s="158"/>
      <c r="N10" s="158"/>
      <c r="O10" s="158"/>
      <c r="P10" s="158"/>
      <c r="Q10" s="158"/>
      <c r="R10" s="158"/>
      <c r="S10" s="158"/>
      <c r="T10" s="285">
        <f>T110</f>
        <v>2300000</v>
      </c>
      <c r="U10" s="285">
        <f t="shared" ref="U10:AP10" si="3">U110</f>
        <v>0</v>
      </c>
      <c r="V10" s="285">
        <f t="shared" si="3"/>
        <v>3670000</v>
      </c>
      <c r="W10" s="285">
        <f t="shared" si="3"/>
        <v>0</v>
      </c>
      <c r="X10" s="285">
        <f t="shared" si="3"/>
        <v>3620000</v>
      </c>
      <c r="Y10" s="285">
        <f t="shared" si="3"/>
        <v>0</v>
      </c>
      <c r="Z10" s="285">
        <f t="shared" si="3"/>
        <v>3040000</v>
      </c>
      <c r="AA10" s="285">
        <f t="shared" si="3"/>
        <v>0</v>
      </c>
      <c r="AB10" s="285">
        <f t="shared" si="3"/>
        <v>3190000</v>
      </c>
      <c r="AC10" s="285">
        <f t="shared" si="3"/>
        <v>0</v>
      </c>
      <c r="AD10" s="285">
        <f t="shared" si="3"/>
        <v>3640000</v>
      </c>
      <c r="AE10" s="285">
        <f t="shared" si="3"/>
        <v>0</v>
      </c>
      <c r="AF10" s="285">
        <f t="shared" si="3"/>
        <v>2910000</v>
      </c>
      <c r="AG10" s="285" t="str">
        <f t="shared" si="3"/>
        <v>..</v>
      </c>
      <c r="AH10" s="285" t="str">
        <f t="shared" si="3"/>
        <v>..</v>
      </c>
      <c r="AI10" s="285" t="str">
        <f t="shared" si="3"/>
        <v>..</v>
      </c>
      <c r="AJ10" s="285" t="str">
        <f t="shared" si="3"/>
        <v>..</v>
      </c>
      <c r="AK10" s="285" t="str">
        <f t="shared" si="3"/>
        <v>..</v>
      </c>
      <c r="AL10" s="285" t="str">
        <f t="shared" si="3"/>
        <v>..</v>
      </c>
      <c r="AM10" s="285" t="str">
        <f t="shared" si="3"/>
        <v>..</v>
      </c>
      <c r="AN10" s="285" t="str">
        <f>AN110</f>
        <v>..</v>
      </c>
      <c r="AO10" s="285" t="str">
        <f t="shared" si="3"/>
        <v>..</v>
      </c>
      <c r="AP10" s="285" t="str">
        <f t="shared" si="3"/>
        <v>..</v>
      </c>
      <c r="AQ10" s="285"/>
    </row>
    <row r="11" spans="1:43" hidden="1" outlineLevel="1">
      <c r="A11" s="158"/>
      <c r="B11" s="158"/>
      <c r="C11" s="158"/>
      <c r="D11" s="158"/>
      <c r="E11" s="158"/>
      <c r="F11" s="158"/>
      <c r="G11" s="158"/>
      <c r="H11" s="158"/>
      <c r="I11" s="158"/>
      <c r="J11" s="158"/>
      <c r="K11" s="158"/>
      <c r="L11" s="158"/>
      <c r="M11" s="158"/>
      <c r="N11" s="158"/>
      <c r="O11" s="158"/>
      <c r="P11" s="158"/>
      <c r="Q11" s="158"/>
      <c r="R11" s="158"/>
      <c r="S11" s="158"/>
      <c r="T11" s="285"/>
      <c r="U11" s="285"/>
      <c r="V11" s="285"/>
      <c r="W11" s="285"/>
      <c r="X11" s="285"/>
      <c r="Y11" s="285"/>
      <c r="Z11" s="285"/>
      <c r="AA11" s="285"/>
      <c r="AB11" s="285"/>
      <c r="AC11" s="285"/>
      <c r="AD11" s="285"/>
      <c r="AE11" s="285"/>
      <c r="AF11" s="285"/>
      <c r="AG11" s="285"/>
      <c r="AH11" s="285"/>
      <c r="AI11" s="285"/>
      <c r="AJ11" s="285"/>
      <c r="AK11" s="285"/>
      <c r="AL11" s="285"/>
      <c r="AM11" s="1558"/>
      <c r="AN11" s="1558"/>
      <c r="AO11" s="1558"/>
      <c r="AP11" s="1558"/>
      <c r="AQ11" s="1558"/>
    </row>
    <row r="12" spans="1:43" hidden="1" outlineLevel="1">
      <c r="A12" s="158"/>
      <c r="B12" s="158" t="s">
        <v>8</v>
      </c>
      <c r="C12" s="158"/>
      <c r="D12" s="158"/>
      <c r="E12" s="158"/>
      <c r="F12" s="158"/>
      <c r="G12" s="158"/>
      <c r="H12" s="158"/>
      <c r="I12" s="158"/>
      <c r="J12" s="158"/>
      <c r="K12" s="158"/>
      <c r="L12" s="158"/>
      <c r="M12" s="158"/>
      <c r="N12" s="158"/>
      <c r="O12" s="158"/>
      <c r="P12" s="158"/>
      <c r="Q12" s="158"/>
      <c r="R12" s="158"/>
      <c r="S12" s="158"/>
      <c r="T12" s="285"/>
      <c r="U12" s="285"/>
      <c r="V12" s="285"/>
      <c r="W12" s="285"/>
      <c r="X12" s="285">
        <f>X97</f>
        <v>2100000</v>
      </c>
      <c r="Y12" s="285">
        <f t="shared" ref="Y12:AQ12" si="4">Y97</f>
        <v>0</v>
      </c>
      <c r="Z12" s="285">
        <f t="shared" si="4"/>
        <v>2370000</v>
      </c>
      <c r="AA12" s="285">
        <f t="shared" si="4"/>
        <v>0</v>
      </c>
      <c r="AB12" s="285">
        <f t="shared" si="4"/>
        <v>2400000</v>
      </c>
      <c r="AC12" s="285">
        <f t="shared" si="4"/>
        <v>0</v>
      </c>
      <c r="AD12" s="285">
        <f t="shared" si="4"/>
        <v>2600000</v>
      </c>
      <c r="AE12" s="285">
        <f t="shared" si="4"/>
        <v>0</v>
      </c>
      <c r="AF12" s="285">
        <f t="shared" si="4"/>
        <v>2500000</v>
      </c>
      <c r="AG12" s="285" t="str">
        <f t="shared" si="4"/>
        <v>..</v>
      </c>
      <c r="AH12" s="285">
        <f t="shared" si="4"/>
        <v>1600000</v>
      </c>
      <c r="AI12" s="285">
        <f t="shared" si="4"/>
        <v>1100000</v>
      </c>
      <c r="AJ12" s="285">
        <f t="shared" si="4"/>
        <v>1100000</v>
      </c>
      <c r="AK12" s="285">
        <f t="shared" si="4"/>
        <v>1100000</v>
      </c>
      <c r="AL12" s="285">
        <f t="shared" si="4"/>
        <v>1100000</v>
      </c>
      <c r="AM12" s="285">
        <f t="shared" si="4"/>
        <v>1100000</v>
      </c>
      <c r="AN12" s="285">
        <f t="shared" si="4"/>
        <v>1100000</v>
      </c>
      <c r="AO12" s="285">
        <f t="shared" si="4"/>
        <v>1100000</v>
      </c>
      <c r="AP12" s="285">
        <f t="shared" si="4"/>
        <v>1100000</v>
      </c>
      <c r="AQ12" s="285">
        <f t="shared" si="4"/>
        <v>0</v>
      </c>
    </row>
    <row r="13" spans="1:43" hidden="1" outlineLevel="1">
      <c r="A13" s="158"/>
      <c r="B13" s="158"/>
      <c r="C13" s="158"/>
      <c r="D13" s="158"/>
      <c r="E13" s="158"/>
      <c r="F13" s="158"/>
      <c r="G13" s="158"/>
      <c r="H13" s="158"/>
      <c r="I13" s="158"/>
      <c r="J13" s="158"/>
      <c r="K13" s="158"/>
      <c r="L13" s="158"/>
      <c r="M13" s="158"/>
      <c r="N13" s="158"/>
      <c r="O13" s="158"/>
      <c r="P13" s="158"/>
      <c r="Q13" s="158"/>
      <c r="R13" s="158"/>
      <c r="S13" s="158"/>
      <c r="T13" s="283"/>
      <c r="U13" s="283"/>
      <c r="V13" s="283"/>
      <c r="W13" s="283"/>
      <c r="X13" s="285"/>
      <c r="Y13" s="285"/>
      <c r="Z13" s="285"/>
      <c r="AA13" s="285"/>
      <c r="AB13" s="285"/>
      <c r="AC13" s="285"/>
      <c r="AD13" s="285"/>
      <c r="AE13" s="285"/>
      <c r="AF13" s="285"/>
      <c r="AG13" s="285"/>
      <c r="AH13" s="285"/>
      <c r="AI13" s="1559"/>
      <c r="AJ13" s="1559"/>
      <c r="AK13" s="1559"/>
      <c r="AL13" s="1559"/>
      <c r="AM13" s="1559"/>
      <c r="AN13" s="1559"/>
      <c r="AO13" s="1557"/>
    </row>
    <row r="14" spans="1:43" ht="27.75" hidden="1" customHeight="1" outlineLevel="1">
      <c r="A14" s="158"/>
      <c r="B14" s="158"/>
      <c r="C14" s="158"/>
      <c r="D14" s="158"/>
      <c r="E14" s="158"/>
      <c r="F14" s="158"/>
      <c r="G14" s="158"/>
      <c r="H14" s="158"/>
      <c r="I14" s="158"/>
      <c r="J14" s="158"/>
      <c r="K14" s="158"/>
      <c r="L14" s="158"/>
      <c r="M14" s="158"/>
      <c r="N14" s="158"/>
      <c r="O14" s="158"/>
      <c r="P14" s="158"/>
      <c r="Q14" s="158"/>
      <c r="R14" s="158"/>
      <c r="S14" s="158"/>
      <c r="T14" s="283"/>
      <c r="U14" s="283"/>
      <c r="V14" s="283"/>
      <c r="W14" s="283"/>
      <c r="X14" s="285"/>
      <c r="Y14" s="285"/>
      <c r="Z14" s="285"/>
      <c r="AA14" s="285"/>
      <c r="AB14" s="285"/>
      <c r="AC14" s="285"/>
      <c r="AD14" s="285"/>
      <c r="AE14" s="285"/>
      <c r="AF14" s="285"/>
      <c r="AG14" s="283"/>
      <c r="AH14" s="158"/>
      <c r="AI14" s="1559"/>
      <c r="AJ14" s="1559"/>
      <c r="AK14" s="1559"/>
      <c r="AL14" s="1559"/>
      <c r="AM14" s="1559"/>
      <c r="AN14" s="1559"/>
      <c r="AO14" s="1557"/>
    </row>
    <row r="15" spans="1:43" ht="23.25" customHeight="1" collapsed="1">
      <c r="A15" s="158"/>
      <c r="B15" s="1917" t="s">
        <v>9</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row>
    <row r="16" spans="1:43">
      <c r="A16" s="158"/>
      <c r="B16" s="1560"/>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3"/>
      <c r="AD16" s="158"/>
      <c r="AE16" s="1559"/>
      <c r="AF16" s="1559"/>
      <c r="AG16" s="1559"/>
      <c r="AH16" s="1559"/>
      <c r="AI16" s="1559"/>
      <c r="AJ16" s="1559"/>
      <c r="AK16" s="1557"/>
    </row>
    <row r="17" spans="1:43">
      <c r="A17" s="158"/>
      <c r="B17" s="286" t="s">
        <v>564</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3"/>
      <c r="AD17" s="158"/>
      <c r="AE17" s="1559"/>
      <c r="AF17" s="1559"/>
      <c r="AG17" s="1559"/>
      <c r="AH17" s="1559"/>
      <c r="AI17" s="1559"/>
      <c r="AJ17" s="1559"/>
      <c r="AK17" s="1557"/>
    </row>
    <row r="18" spans="1:43">
      <c r="A18" s="158"/>
      <c r="B18" s="158"/>
      <c r="C18" s="158"/>
      <c r="D18" s="158"/>
      <c r="E18" s="158"/>
      <c r="F18" s="158"/>
      <c r="G18" s="158"/>
      <c r="H18" s="158"/>
      <c r="I18" s="158"/>
      <c r="J18" s="158"/>
      <c r="K18" s="158"/>
      <c r="L18" s="158"/>
      <c r="M18" s="158"/>
      <c r="N18" s="158"/>
      <c r="O18" s="283"/>
      <c r="P18" s="283"/>
      <c r="Q18" s="283"/>
      <c r="R18" s="283"/>
      <c r="S18" s="283"/>
      <c r="T18" s="283"/>
      <c r="U18" s="283"/>
      <c r="V18" s="283"/>
      <c r="W18" s="283"/>
      <c r="X18" s="284"/>
      <c r="Y18" s="285"/>
      <c r="Z18" s="285"/>
      <c r="AA18" s="285"/>
      <c r="AB18" s="285"/>
      <c r="AC18" s="283"/>
      <c r="AD18" s="158"/>
      <c r="AE18" s="1559"/>
      <c r="AF18" s="1559"/>
      <c r="AG18" s="1559"/>
      <c r="AH18" s="1559"/>
      <c r="AI18" s="1559"/>
      <c r="AJ18" s="1559"/>
      <c r="AK18" s="1557"/>
    </row>
    <row r="19" spans="1:43">
      <c r="A19" s="158"/>
      <c r="B19" s="286" t="s">
        <v>566</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3"/>
      <c r="AD19" s="158"/>
      <c r="AE19" s="1559"/>
      <c r="AF19" s="1559"/>
      <c r="AG19" s="1559"/>
      <c r="AH19" s="1559"/>
      <c r="AI19" s="1559"/>
      <c r="AJ19" s="1559"/>
      <c r="AK19" s="1557"/>
    </row>
    <row r="20" spans="1:43">
      <c r="A20" s="158"/>
      <c r="B20" s="226"/>
      <c r="C20" s="226"/>
      <c r="D20" s="226"/>
      <c r="E20" s="226"/>
      <c r="F20" s="226"/>
      <c r="G20" s="226"/>
      <c r="H20" s="226"/>
      <c r="I20" s="226"/>
      <c r="J20" s="226"/>
      <c r="K20" s="226"/>
      <c r="L20" s="226"/>
      <c r="M20" s="226"/>
      <c r="N20" s="226"/>
      <c r="O20" s="859"/>
      <c r="P20" s="859"/>
      <c r="Q20" s="859"/>
      <c r="R20" s="859"/>
      <c r="S20" s="859"/>
      <c r="T20" s="859"/>
      <c r="U20" s="859"/>
      <c r="V20" s="859"/>
      <c r="W20" s="859"/>
      <c r="X20" s="860"/>
      <c r="Y20" s="860"/>
      <c r="Z20" s="860"/>
      <c r="AA20" s="860"/>
      <c r="AB20" s="860"/>
      <c r="AC20" s="860"/>
      <c r="AD20" s="860"/>
      <c r="AE20" s="860"/>
      <c r="AF20" s="860"/>
      <c r="AG20" s="283"/>
      <c r="AH20" s="158"/>
      <c r="AI20" s="1559"/>
      <c r="AJ20" s="1559"/>
      <c r="AK20" s="1559"/>
      <c r="AL20" s="1559"/>
      <c r="AM20" s="1559"/>
      <c r="AN20" s="1559"/>
      <c r="AO20" s="1557"/>
    </row>
    <row r="21" spans="1:43">
      <c r="A21" s="158"/>
      <c r="B21" s="158"/>
      <c r="C21" s="158"/>
      <c r="D21" s="158"/>
      <c r="E21" s="158"/>
      <c r="F21" s="158"/>
      <c r="G21" s="158"/>
      <c r="H21" s="158"/>
      <c r="I21" s="158"/>
      <c r="J21" s="158"/>
      <c r="K21" s="158"/>
      <c r="L21" s="158"/>
      <c r="M21" s="158"/>
      <c r="N21" s="158"/>
      <c r="O21" s="283"/>
      <c r="P21" s="283"/>
      <c r="Q21" s="283"/>
      <c r="R21" s="283"/>
      <c r="S21" s="283"/>
      <c r="T21" s="283"/>
      <c r="U21" s="283"/>
      <c r="V21" s="283"/>
      <c r="W21" s="283"/>
      <c r="X21" s="1027">
        <v>2001</v>
      </c>
      <c r="Y21" s="1027"/>
      <c r="Z21" s="1121">
        <v>2003</v>
      </c>
      <c r="AA21" s="1121"/>
      <c r="AB21" s="1121">
        <v>2005</v>
      </c>
      <c r="AC21" s="1121"/>
      <c r="AD21" s="1121">
        <v>2007</v>
      </c>
      <c r="AE21" s="1121"/>
      <c r="AF21" s="1121">
        <v>2009</v>
      </c>
      <c r="AG21" s="1121">
        <v>2010</v>
      </c>
      <c r="AH21" s="1121">
        <v>2011</v>
      </c>
      <c r="AI21" s="1121">
        <v>2012</v>
      </c>
      <c r="AJ21" s="1121">
        <v>2013</v>
      </c>
      <c r="AK21" s="1121">
        <v>2014</v>
      </c>
      <c r="AL21" s="1121">
        <v>2015</v>
      </c>
      <c r="AM21" s="1121">
        <v>2016</v>
      </c>
      <c r="AN21" s="1121">
        <v>2017</v>
      </c>
      <c r="AO21" s="1121">
        <v>2018</v>
      </c>
      <c r="AP21" s="1121">
        <v>2019</v>
      </c>
      <c r="AQ21" s="1121">
        <v>2020</v>
      </c>
    </row>
    <row r="22" spans="1:43">
      <c r="A22" s="158"/>
      <c r="B22" s="1561"/>
      <c r="C22" s="1562"/>
      <c r="D22" s="158"/>
      <c r="E22" s="158"/>
      <c r="F22" s="158"/>
      <c r="G22" s="158"/>
      <c r="H22" s="158"/>
      <c r="I22" s="158"/>
      <c r="J22" s="158"/>
      <c r="K22" s="158"/>
      <c r="L22" s="158"/>
      <c r="M22" s="158"/>
      <c r="N22" s="158"/>
      <c r="O22" s="283"/>
      <c r="P22" s="283"/>
      <c r="Q22" s="283"/>
      <c r="R22" s="283"/>
      <c r="S22" s="283"/>
      <c r="T22" s="283"/>
      <c r="U22" s="283"/>
      <c r="V22" s="283"/>
      <c r="W22" s="283"/>
      <c r="X22" s="284"/>
      <c r="Y22" s="284"/>
      <c r="Z22" s="284"/>
      <c r="AA22" s="284"/>
      <c r="AB22" s="284"/>
      <c r="AC22" s="284"/>
      <c r="AD22" s="284"/>
      <c r="AE22" s="284"/>
      <c r="AF22" s="284"/>
      <c r="AG22" s="283"/>
      <c r="AH22" s="158"/>
      <c r="AI22" s="1559"/>
      <c r="AJ22" s="1559"/>
      <c r="AK22" s="1559"/>
      <c r="AL22" s="1559"/>
      <c r="AM22" s="1559"/>
      <c r="AN22" s="1559"/>
      <c r="AO22" s="1559"/>
      <c r="AP22" s="1559"/>
      <c r="AQ22" s="1559"/>
    </row>
    <row r="23" spans="1:43">
      <c r="A23" s="158"/>
      <c r="B23" s="1988"/>
      <c r="C23" s="1988"/>
      <c r="D23" s="158"/>
      <c r="E23" s="158"/>
      <c r="F23" s="158"/>
      <c r="G23" s="158"/>
      <c r="H23" s="158"/>
      <c r="I23" s="158"/>
      <c r="J23" s="158"/>
      <c r="K23" s="158"/>
      <c r="L23" s="158"/>
      <c r="M23" s="158"/>
      <c r="N23" s="158"/>
      <c r="O23" s="158"/>
      <c r="P23" s="158"/>
      <c r="Q23" s="158"/>
      <c r="R23" s="158"/>
      <c r="S23" s="158"/>
      <c r="T23" s="283"/>
      <c r="U23" s="283"/>
      <c r="V23" s="283"/>
      <c r="W23" s="283"/>
      <c r="X23" s="1563"/>
      <c r="Y23" s="1563"/>
      <c r="Z23" s="285"/>
      <c r="AA23" s="285"/>
      <c r="AB23" s="285"/>
      <c r="AC23" s="285"/>
      <c r="AD23" s="285"/>
      <c r="AE23" s="285"/>
      <c r="AF23" s="285"/>
      <c r="AG23" s="283"/>
      <c r="AH23" s="158"/>
      <c r="AI23" s="1559"/>
      <c r="AJ23" s="1559"/>
      <c r="AK23" s="1559"/>
      <c r="AL23" s="1559"/>
      <c r="AM23" s="1564"/>
      <c r="AN23" s="1564"/>
      <c r="AO23" s="1559"/>
      <c r="AP23" s="1559"/>
      <c r="AQ23" s="1559"/>
    </row>
    <row r="24" spans="1:43">
      <c r="A24" s="158"/>
      <c r="B24" s="305"/>
      <c r="C24" s="305" t="s">
        <v>567</v>
      </c>
      <c r="D24" s="158"/>
      <c r="E24" s="158"/>
      <c r="F24" s="158"/>
      <c r="G24" s="158"/>
      <c r="H24" s="158"/>
      <c r="I24" s="158"/>
      <c r="J24" s="158"/>
      <c r="K24" s="158"/>
      <c r="L24" s="158"/>
      <c r="M24" s="158"/>
      <c r="N24" s="158"/>
      <c r="O24" s="158"/>
      <c r="P24" s="158"/>
      <c r="Q24" s="158"/>
      <c r="R24" s="158"/>
      <c r="S24" s="158"/>
      <c r="T24" s="283"/>
      <c r="U24" s="283"/>
      <c r="V24" s="283"/>
      <c r="W24" s="283"/>
      <c r="X24" s="1565">
        <v>1097179</v>
      </c>
      <c r="Y24" s="1565"/>
      <c r="Z24" s="1565">
        <v>1167905</v>
      </c>
      <c r="AA24" s="1565"/>
      <c r="AB24" s="1565">
        <v>1994826</v>
      </c>
      <c r="AC24" s="1565"/>
      <c r="AD24" s="1565">
        <v>2082407</v>
      </c>
      <c r="AE24" s="1565"/>
      <c r="AF24" s="1565">
        <v>3187655</v>
      </c>
      <c r="AG24" s="1565">
        <v>2443059</v>
      </c>
      <c r="AH24" s="1565">
        <v>2442909</v>
      </c>
      <c r="AI24" s="1565">
        <v>2492482</v>
      </c>
      <c r="AJ24" s="1565">
        <v>2530079</v>
      </c>
      <c r="AK24" s="1565">
        <v>2518693.5251695998</v>
      </c>
      <c r="AL24" s="1565">
        <v>2572221.7529984005</v>
      </c>
      <c r="AM24" s="1566">
        <v>2614199.8128928002</v>
      </c>
      <c r="AN24" s="1566">
        <v>2655583.8869256321</v>
      </c>
      <c r="AO24" s="1567">
        <v>2606241.3836177085</v>
      </c>
      <c r="AP24" s="1567">
        <v>2617248.2791776424</v>
      </c>
      <c r="AQ24" s="1564"/>
    </row>
    <row r="25" spans="1:43">
      <c r="A25" s="158"/>
      <c r="B25" s="305"/>
      <c r="C25" s="305" t="s">
        <v>568</v>
      </c>
      <c r="D25" s="158"/>
      <c r="E25" s="158"/>
      <c r="F25" s="158"/>
      <c r="G25" s="158"/>
      <c r="H25" s="158"/>
      <c r="I25" s="158"/>
      <c r="J25" s="158"/>
      <c r="K25" s="158"/>
      <c r="L25" s="158"/>
      <c r="M25" s="158"/>
      <c r="N25" s="158"/>
      <c r="O25" s="158"/>
      <c r="P25" s="158"/>
      <c r="Q25" s="158"/>
      <c r="R25" s="158"/>
      <c r="S25" s="158"/>
      <c r="T25" s="283"/>
      <c r="U25" s="283"/>
      <c r="V25" s="283"/>
      <c r="W25" s="283"/>
      <c r="X25" s="1565">
        <v>66849</v>
      </c>
      <c r="Y25" s="1565"/>
      <c r="Z25" s="1565">
        <v>68706</v>
      </c>
      <c r="AA25" s="1565"/>
      <c r="AB25" s="1565">
        <v>100088</v>
      </c>
      <c r="AC25" s="1565"/>
      <c r="AD25" s="1565">
        <v>110619</v>
      </c>
      <c r="AE25" s="1565"/>
      <c r="AF25" s="1565">
        <v>172846</v>
      </c>
      <c r="AG25" s="1565">
        <v>140109</v>
      </c>
      <c r="AH25" s="1565">
        <v>145380</v>
      </c>
      <c r="AI25" s="1565">
        <v>151219</v>
      </c>
      <c r="AJ25" s="1565">
        <v>154612</v>
      </c>
      <c r="AK25" s="1565">
        <v>149157.18657940638</v>
      </c>
      <c r="AL25" s="1565">
        <v>128532.08339171321</v>
      </c>
      <c r="AM25" s="1566">
        <v>106972.47560332241</v>
      </c>
      <c r="AN25" s="1566">
        <v>94269.040618170198</v>
      </c>
      <c r="AO25" s="1567">
        <v>87559.82851250867</v>
      </c>
      <c r="AP25" s="1567">
        <v>88736.254424042767</v>
      </c>
      <c r="AQ25" s="1564"/>
    </row>
    <row r="26" spans="1:43">
      <c r="A26" s="158"/>
      <c r="B26" s="305"/>
      <c r="C26" s="305" t="s">
        <v>569</v>
      </c>
      <c r="D26" s="158"/>
      <c r="E26" s="158"/>
      <c r="F26" s="158"/>
      <c r="G26" s="158"/>
      <c r="H26" s="158"/>
      <c r="I26" s="158"/>
      <c r="J26" s="158"/>
      <c r="K26" s="158"/>
      <c r="L26" s="158"/>
      <c r="M26" s="158"/>
      <c r="N26" s="158"/>
      <c r="O26" s="158"/>
      <c r="P26" s="158"/>
      <c r="Q26" s="158"/>
      <c r="R26" s="158"/>
      <c r="S26" s="158"/>
      <c r="T26" s="283"/>
      <c r="U26" s="283"/>
      <c r="V26" s="283"/>
      <c r="W26" s="283"/>
      <c r="X26" s="1565">
        <v>375290.23116966011</v>
      </c>
      <c r="Y26" s="1565"/>
      <c r="Z26" s="1565">
        <v>331809</v>
      </c>
      <c r="AA26" s="1565"/>
      <c r="AB26" s="1565">
        <v>294970</v>
      </c>
      <c r="AC26" s="1565"/>
      <c r="AD26" s="1565">
        <v>319368</v>
      </c>
      <c r="AE26" s="1565"/>
      <c r="AF26" s="1565">
        <v>326583</v>
      </c>
      <c r="AG26" s="1565">
        <v>301541</v>
      </c>
      <c r="AH26" s="1565">
        <v>306168</v>
      </c>
      <c r="AI26" s="1565">
        <v>329560</v>
      </c>
      <c r="AJ26" s="1565">
        <v>320598</v>
      </c>
      <c r="AK26" s="1565">
        <v>306656.94724610209</v>
      </c>
      <c r="AL26" s="1565">
        <v>313718.33299883327</v>
      </c>
      <c r="AM26" s="1566">
        <v>320731.92032479425</v>
      </c>
      <c r="AN26" s="1566">
        <v>329855.75595471385</v>
      </c>
      <c r="AO26" s="1567">
        <v>327496.14260468207</v>
      </c>
      <c r="AP26" s="1567">
        <v>350741.5436917693</v>
      </c>
      <c r="AQ26" s="1564"/>
    </row>
    <row r="27" spans="1:43">
      <c r="A27" s="158"/>
      <c r="B27" s="226"/>
      <c r="C27" s="226"/>
      <c r="D27" s="226"/>
      <c r="E27" s="226"/>
      <c r="F27" s="226"/>
      <c r="G27" s="226"/>
      <c r="H27" s="226"/>
      <c r="I27" s="226"/>
      <c r="J27" s="226"/>
      <c r="K27" s="226"/>
      <c r="L27" s="226"/>
      <c r="M27" s="226"/>
      <c r="N27" s="226"/>
      <c r="O27" s="226"/>
      <c r="P27" s="226"/>
      <c r="Q27" s="226"/>
      <c r="R27" s="226"/>
      <c r="S27" s="226"/>
      <c r="T27" s="859"/>
      <c r="U27" s="859"/>
      <c r="V27" s="859"/>
      <c r="W27" s="859"/>
      <c r="X27" s="860"/>
      <c r="Y27" s="860"/>
      <c r="Z27" s="860"/>
      <c r="AA27" s="860"/>
      <c r="AB27" s="860"/>
      <c r="AC27" s="860"/>
      <c r="AD27" s="860"/>
      <c r="AE27" s="860"/>
      <c r="AF27" s="860"/>
      <c r="AG27" s="860"/>
      <c r="AH27" s="860"/>
      <c r="AI27" s="860"/>
      <c r="AJ27" s="860"/>
      <c r="AK27" s="860"/>
      <c r="AL27" s="860"/>
      <c r="AM27" s="860"/>
      <c r="AN27" s="860"/>
      <c r="AO27" s="860"/>
      <c r="AP27" s="860"/>
      <c r="AQ27" s="860"/>
    </row>
    <row r="28" spans="1:43" ht="41.45" customHeight="1">
      <c r="A28" s="158"/>
      <c r="B28" s="1989" t="s">
        <v>1896</v>
      </c>
      <c r="C28" s="1989"/>
      <c r="D28" s="1989"/>
      <c r="E28" s="1989"/>
      <c r="F28" s="1989"/>
      <c r="G28" s="1989"/>
      <c r="H28" s="1989"/>
      <c r="I28" s="1989"/>
      <c r="J28" s="1989"/>
      <c r="K28" s="1989"/>
      <c r="L28" s="1989"/>
      <c r="M28" s="1989"/>
      <c r="N28" s="1989"/>
      <c r="O28" s="1989"/>
      <c r="P28" s="1989"/>
      <c r="Q28" s="1989"/>
      <c r="R28" s="1989"/>
      <c r="S28" s="1989"/>
      <c r="T28" s="1989"/>
      <c r="U28" s="1989"/>
      <c r="V28" s="1989"/>
      <c r="W28" s="1989"/>
      <c r="X28" s="1989"/>
      <c r="Y28" s="1989"/>
      <c r="Z28" s="1989"/>
      <c r="AA28" s="1989"/>
      <c r="AB28" s="1989"/>
      <c r="AC28" s="1989"/>
      <c r="AD28" s="1989"/>
      <c r="AE28" s="1559"/>
      <c r="AF28" s="1559"/>
      <c r="AG28" s="1559"/>
      <c r="AH28" s="1559"/>
      <c r="AI28" s="1559"/>
      <c r="AJ28" s="1559"/>
      <c r="AK28" s="1559"/>
    </row>
    <row r="29" spans="1:43">
      <c r="A29" s="158"/>
      <c r="B29" s="1559" t="s">
        <v>1897</v>
      </c>
      <c r="C29" s="158"/>
      <c r="D29" s="158"/>
      <c r="E29" s="158"/>
      <c r="F29" s="158"/>
      <c r="G29" s="158"/>
      <c r="H29" s="158"/>
      <c r="I29" s="158"/>
      <c r="J29" s="158"/>
      <c r="K29" s="158"/>
      <c r="L29" s="158"/>
      <c r="M29" s="158"/>
      <c r="N29" s="158"/>
      <c r="O29" s="158"/>
      <c r="P29" s="158"/>
      <c r="Q29" s="158"/>
      <c r="R29" s="158"/>
      <c r="S29" s="158"/>
      <c r="T29" s="283"/>
      <c r="U29" s="283"/>
      <c r="V29" s="283"/>
      <c r="W29" s="283"/>
      <c r="X29" s="285"/>
      <c r="Y29" s="285"/>
      <c r="Z29" s="285"/>
      <c r="AA29" s="285"/>
      <c r="AB29" s="285"/>
      <c r="AC29" s="283"/>
      <c r="AD29" s="158"/>
      <c r="AE29" s="1559"/>
      <c r="AF29" s="1559"/>
      <c r="AG29" s="1559"/>
      <c r="AH29" s="1559"/>
      <c r="AI29" s="1559"/>
      <c r="AJ29" s="1559"/>
      <c r="AK29" s="1559"/>
    </row>
    <row r="30" spans="1:43">
      <c r="A30" s="158"/>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68"/>
      <c r="Z30" s="1559"/>
      <c r="AA30" s="1568"/>
      <c r="AB30" s="1568"/>
      <c r="AC30" s="283"/>
      <c r="AD30" s="158"/>
      <c r="AE30" s="1559"/>
      <c r="AF30" s="1559"/>
      <c r="AG30" s="1559"/>
      <c r="AH30" s="1559"/>
      <c r="AI30" s="1559"/>
      <c r="AJ30" s="1559"/>
      <c r="AK30" s="1559"/>
    </row>
    <row r="31" spans="1:43" hidden="1">
      <c r="A31" s="158"/>
      <c r="B31" s="158"/>
      <c r="C31" s="158"/>
      <c r="D31" s="158"/>
      <c r="E31" s="158"/>
      <c r="F31" s="158"/>
      <c r="G31" s="158"/>
      <c r="H31" s="158"/>
      <c r="I31" s="158"/>
      <c r="J31" s="158"/>
      <c r="K31" s="158"/>
      <c r="L31" s="158"/>
      <c r="M31" s="158"/>
      <c r="N31" s="158"/>
      <c r="O31" s="158"/>
      <c r="P31" s="158"/>
      <c r="Q31" s="158"/>
      <c r="R31" s="158"/>
      <c r="S31" s="158"/>
      <c r="T31" s="283"/>
      <c r="U31" s="283"/>
      <c r="V31" s="283"/>
      <c r="W31" s="283"/>
      <c r="X31" s="285"/>
      <c r="Y31" s="285"/>
      <c r="Z31" s="285"/>
      <c r="AA31" s="285"/>
      <c r="AB31" s="285"/>
      <c r="AC31" s="283"/>
      <c r="AD31" s="158"/>
      <c r="AE31" s="1559"/>
      <c r="AF31" s="1559"/>
      <c r="AG31" s="1559"/>
      <c r="AH31" s="1559"/>
      <c r="AI31" s="1559"/>
      <c r="AJ31" s="1559"/>
      <c r="AK31" s="1559"/>
    </row>
    <row r="32" spans="1:43" hidden="1">
      <c r="A32" s="158"/>
      <c r="B32" s="158"/>
      <c r="C32" s="158"/>
      <c r="D32" s="158"/>
      <c r="E32" s="158"/>
      <c r="F32" s="158"/>
      <c r="G32" s="158"/>
      <c r="H32" s="158"/>
      <c r="I32" s="158"/>
      <c r="J32" s="158"/>
      <c r="K32" s="158"/>
      <c r="L32" s="158"/>
      <c r="M32" s="158"/>
      <c r="N32" s="158"/>
      <c r="O32" s="158"/>
      <c r="P32" s="158"/>
      <c r="Q32" s="158"/>
      <c r="R32" s="158"/>
      <c r="S32" s="158"/>
      <c r="T32" s="283"/>
      <c r="U32" s="283"/>
      <c r="V32" s="283"/>
      <c r="W32" s="283"/>
      <c r="X32" s="285"/>
      <c r="Y32" s="285"/>
      <c r="Z32" s="285"/>
      <c r="AA32" s="285"/>
      <c r="AB32" s="285"/>
      <c r="AC32" s="283"/>
      <c r="AD32" s="158"/>
      <c r="AE32" s="1559"/>
      <c r="AF32" s="1559"/>
      <c r="AG32" s="1559"/>
      <c r="AH32" s="1559"/>
      <c r="AI32" s="1559"/>
      <c r="AJ32" s="1559"/>
      <c r="AK32" s="1559"/>
    </row>
    <row r="33" spans="1:30" hidden="1">
      <c r="A33" s="158"/>
      <c r="B33" s="158"/>
      <c r="C33" s="158"/>
      <c r="D33" s="158"/>
      <c r="E33" s="158"/>
      <c r="F33" s="158"/>
      <c r="G33" s="158"/>
      <c r="H33" s="158"/>
      <c r="I33" s="158"/>
      <c r="J33" s="158"/>
      <c r="K33" s="158"/>
      <c r="L33" s="158"/>
      <c r="M33" s="158"/>
      <c r="N33" s="158"/>
      <c r="O33" s="158"/>
      <c r="P33" s="158"/>
      <c r="Q33" s="158"/>
      <c r="R33" s="158"/>
      <c r="S33" s="158"/>
      <c r="T33" s="283"/>
      <c r="U33" s="283"/>
      <c r="V33" s="283"/>
      <c r="W33" s="283"/>
      <c r="X33" s="285"/>
      <c r="Y33" s="285"/>
      <c r="Z33" s="285"/>
      <c r="AA33" s="285"/>
      <c r="AB33" s="285"/>
      <c r="AC33" s="283"/>
      <c r="AD33" s="158"/>
    </row>
    <row r="34" spans="1:30" hidden="1">
      <c r="A34" s="158"/>
      <c r="B34" s="158"/>
      <c r="C34" s="158"/>
      <c r="D34" s="158"/>
      <c r="E34" s="158"/>
      <c r="F34" s="158"/>
      <c r="G34" s="158"/>
      <c r="H34" s="158"/>
      <c r="I34" s="158"/>
      <c r="J34" s="158"/>
      <c r="K34" s="158"/>
      <c r="L34" s="158"/>
      <c r="M34" s="158"/>
      <c r="N34" s="158"/>
      <c r="O34" s="158"/>
      <c r="P34" s="158"/>
      <c r="Q34" s="158"/>
      <c r="R34" s="158"/>
      <c r="S34" s="158"/>
      <c r="T34" s="283"/>
      <c r="U34" s="283"/>
      <c r="V34" s="283"/>
      <c r="W34" s="283"/>
      <c r="X34" s="285"/>
      <c r="Y34" s="285"/>
      <c r="Z34" s="285"/>
      <c r="AA34" s="285"/>
      <c r="AB34" s="285"/>
      <c r="AC34" s="283"/>
      <c r="AD34" s="158"/>
    </row>
    <row r="35" spans="1:30" hidden="1">
      <c r="A35" s="158"/>
      <c r="B35" s="158"/>
      <c r="C35" s="158"/>
      <c r="D35" s="158"/>
      <c r="E35" s="158"/>
      <c r="F35" s="158"/>
      <c r="G35" s="158"/>
      <c r="H35" s="158"/>
      <c r="I35" s="158"/>
      <c r="J35" s="158"/>
      <c r="K35" s="158"/>
      <c r="L35" s="158"/>
      <c r="M35" s="158"/>
      <c r="N35" s="158"/>
      <c r="O35" s="158"/>
      <c r="P35" s="158"/>
      <c r="Q35" s="158"/>
      <c r="R35" s="158"/>
      <c r="S35" s="158"/>
      <c r="T35" s="283"/>
      <c r="U35" s="283"/>
      <c r="V35" s="283"/>
      <c r="W35" s="283"/>
      <c r="X35" s="285"/>
      <c r="Y35" s="285"/>
      <c r="Z35" s="285"/>
      <c r="AA35" s="285"/>
      <c r="AB35" s="285"/>
      <c r="AC35" s="283"/>
      <c r="AD35" s="158"/>
    </row>
    <row r="36" spans="1:30" hidden="1">
      <c r="A36" s="158"/>
      <c r="B36" s="158"/>
      <c r="C36" s="158"/>
      <c r="D36" s="158"/>
      <c r="E36" s="158"/>
      <c r="F36" s="158"/>
      <c r="G36" s="158"/>
      <c r="H36" s="158"/>
      <c r="I36" s="158"/>
      <c r="J36" s="158"/>
      <c r="K36" s="158"/>
      <c r="L36" s="158"/>
      <c r="M36" s="158"/>
      <c r="N36" s="158"/>
      <c r="O36" s="158"/>
      <c r="P36" s="158"/>
      <c r="Q36" s="158"/>
      <c r="R36" s="158"/>
      <c r="S36" s="158"/>
      <c r="T36" s="283"/>
      <c r="U36" s="283"/>
      <c r="V36" s="283"/>
      <c r="W36" s="283"/>
      <c r="X36" s="285"/>
      <c r="Y36" s="285"/>
      <c r="Z36" s="285"/>
      <c r="AA36" s="285"/>
      <c r="AB36" s="285"/>
      <c r="AC36" s="283"/>
      <c r="AD36" s="158"/>
    </row>
    <row r="37" spans="1:30" hidden="1">
      <c r="A37" s="158"/>
      <c r="B37" s="158"/>
      <c r="C37" s="158"/>
      <c r="D37" s="158"/>
      <c r="E37" s="158"/>
      <c r="F37" s="158"/>
      <c r="G37" s="158"/>
      <c r="H37" s="158"/>
      <c r="I37" s="158"/>
      <c r="J37" s="158"/>
      <c r="K37" s="158"/>
      <c r="L37" s="158"/>
      <c r="M37" s="158"/>
      <c r="N37" s="158"/>
      <c r="O37" s="158"/>
      <c r="P37" s="158"/>
      <c r="Q37" s="158"/>
      <c r="R37" s="158"/>
      <c r="S37" s="158"/>
      <c r="T37" s="283"/>
      <c r="U37" s="283"/>
      <c r="V37" s="283"/>
      <c r="W37" s="283"/>
      <c r="X37" s="285"/>
      <c r="Y37" s="285"/>
      <c r="Z37" s="285"/>
      <c r="AA37" s="285"/>
      <c r="AB37" s="285"/>
      <c r="AC37" s="283"/>
      <c r="AD37" s="158"/>
    </row>
    <row r="38" spans="1:30" hidden="1">
      <c r="A38" s="158"/>
      <c r="B38" s="158"/>
      <c r="C38" s="158"/>
      <c r="D38" s="158"/>
      <c r="E38" s="158"/>
      <c r="F38" s="158"/>
      <c r="G38" s="158"/>
      <c r="H38" s="158"/>
      <c r="I38" s="158"/>
      <c r="J38" s="158"/>
      <c r="K38" s="158"/>
      <c r="L38" s="158"/>
      <c r="M38" s="158"/>
      <c r="N38" s="158"/>
      <c r="O38" s="158"/>
      <c r="P38" s="158"/>
      <c r="Q38" s="158"/>
      <c r="R38" s="158"/>
      <c r="S38" s="158"/>
      <c r="T38" s="283"/>
      <c r="U38" s="283"/>
      <c r="V38" s="283"/>
      <c r="W38" s="283"/>
      <c r="X38" s="285"/>
      <c r="Y38" s="285"/>
      <c r="Z38" s="285"/>
      <c r="AA38" s="285"/>
      <c r="AB38" s="285"/>
      <c r="AC38" s="283"/>
      <c r="AD38" s="158"/>
    </row>
    <row r="39" spans="1:30" hidden="1">
      <c r="A39" s="158"/>
      <c r="B39" s="158"/>
      <c r="C39" s="158"/>
      <c r="D39" s="158"/>
      <c r="E39" s="158"/>
      <c r="F39" s="158"/>
      <c r="G39" s="158"/>
      <c r="H39" s="158"/>
      <c r="I39" s="158"/>
      <c r="J39" s="158"/>
      <c r="K39" s="158"/>
      <c r="L39" s="158"/>
      <c r="M39" s="158"/>
      <c r="N39" s="158"/>
      <c r="O39" s="158"/>
      <c r="P39" s="158"/>
      <c r="Q39" s="158"/>
      <c r="R39" s="158"/>
      <c r="S39" s="158"/>
      <c r="T39" s="283"/>
      <c r="U39" s="283"/>
      <c r="V39" s="283"/>
      <c r="W39" s="283"/>
      <c r="X39" s="285"/>
      <c r="Y39" s="285"/>
      <c r="Z39" s="285"/>
      <c r="AA39" s="285"/>
      <c r="AB39" s="285"/>
      <c r="AC39" s="283"/>
      <c r="AD39" s="158"/>
    </row>
    <row r="40" spans="1:30" hidden="1">
      <c r="A40" s="158"/>
      <c r="B40" s="158"/>
      <c r="C40" s="158"/>
      <c r="D40" s="158"/>
      <c r="E40" s="158"/>
      <c r="F40" s="158"/>
      <c r="G40" s="158"/>
      <c r="H40" s="158"/>
      <c r="I40" s="158"/>
      <c r="J40" s="158"/>
      <c r="K40" s="158"/>
      <c r="L40" s="158"/>
      <c r="M40" s="158"/>
      <c r="N40" s="158"/>
      <c r="O40" s="158"/>
      <c r="P40" s="158"/>
      <c r="Q40" s="158"/>
      <c r="R40" s="158"/>
      <c r="S40" s="158"/>
      <c r="T40" s="283"/>
      <c r="U40" s="283"/>
      <c r="V40" s="283"/>
      <c r="W40" s="283"/>
      <c r="X40" s="285"/>
      <c r="Y40" s="285"/>
      <c r="Z40" s="285"/>
      <c r="AA40" s="285"/>
      <c r="AB40" s="285"/>
      <c r="AC40" s="283"/>
      <c r="AD40" s="158"/>
    </row>
    <row r="41" spans="1:30" hidden="1">
      <c r="A41" s="158"/>
      <c r="B41" s="158"/>
      <c r="C41" s="158"/>
      <c r="D41" s="158"/>
      <c r="E41" s="158"/>
      <c r="F41" s="158"/>
      <c r="G41" s="158"/>
      <c r="H41" s="158"/>
      <c r="I41" s="158"/>
      <c r="J41" s="158"/>
      <c r="K41" s="158"/>
      <c r="L41" s="158"/>
      <c r="M41" s="158"/>
      <c r="N41" s="158"/>
      <c r="O41" s="158"/>
      <c r="P41" s="158"/>
      <c r="Q41" s="158"/>
      <c r="R41" s="158"/>
      <c r="S41" s="158"/>
      <c r="T41" s="283"/>
      <c r="U41" s="283"/>
      <c r="V41" s="283"/>
      <c r="W41" s="283"/>
      <c r="X41" s="285"/>
      <c r="Y41" s="285"/>
      <c r="Z41" s="285"/>
      <c r="AA41" s="285"/>
      <c r="AB41" s="285"/>
      <c r="AC41" s="283"/>
      <c r="AD41" s="158"/>
    </row>
    <row r="42" spans="1:30" hidden="1">
      <c r="A42" s="158"/>
      <c r="B42" s="158"/>
      <c r="C42" s="158"/>
      <c r="D42" s="158"/>
      <c r="E42" s="158"/>
      <c r="F42" s="158"/>
      <c r="G42" s="158"/>
      <c r="H42" s="158"/>
      <c r="I42" s="158"/>
      <c r="J42" s="158"/>
      <c r="K42" s="158"/>
      <c r="L42" s="158"/>
      <c r="M42" s="158"/>
      <c r="N42" s="158"/>
      <c r="O42" s="158"/>
      <c r="P42" s="158"/>
      <c r="Q42" s="158"/>
      <c r="R42" s="158"/>
      <c r="S42" s="158"/>
      <c r="T42" s="283"/>
      <c r="U42" s="283"/>
      <c r="V42" s="283"/>
      <c r="W42" s="283"/>
      <c r="X42" s="285"/>
      <c r="Y42" s="285"/>
      <c r="Z42" s="285"/>
      <c r="AA42" s="285"/>
      <c r="AB42" s="285"/>
      <c r="AC42" s="283"/>
      <c r="AD42" s="158"/>
    </row>
    <row r="43" spans="1:30" hidden="1">
      <c r="A43" s="158"/>
      <c r="B43" s="158"/>
      <c r="C43" s="158"/>
      <c r="D43" s="158"/>
      <c r="E43" s="158"/>
      <c r="F43" s="158"/>
      <c r="G43" s="158"/>
      <c r="H43" s="158"/>
      <c r="I43" s="158"/>
      <c r="J43" s="158"/>
      <c r="K43" s="158"/>
      <c r="L43" s="158"/>
      <c r="M43" s="158"/>
      <c r="N43" s="158"/>
      <c r="O43" s="158"/>
      <c r="P43" s="158"/>
      <c r="Q43" s="158"/>
      <c r="R43" s="158"/>
      <c r="S43" s="158"/>
      <c r="T43" s="283"/>
      <c r="U43" s="283"/>
      <c r="V43" s="283"/>
      <c r="W43" s="283"/>
      <c r="X43" s="285"/>
      <c r="Y43" s="285"/>
      <c r="Z43" s="285"/>
      <c r="AA43" s="285"/>
      <c r="AB43" s="285"/>
      <c r="AC43" s="283"/>
      <c r="AD43" s="158"/>
    </row>
    <row r="44" spans="1:30" hidden="1">
      <c r="A44" s="158"/>
      <c r="B44" s="158"/>
      <c r="C44" s="158"/>
      <c r="D44" s="158"/>
      <c r="E44" s="158"/>
      <c r="F44" s="158"/>
      <c r="G44" s="158"/>
      <c r="H44" s="158"/>
      <c r="I44" s="158"/>
      <c r="J44" s="158"/>
      <c r="K44" s="158"/>
      <c r="L44" s="158"/>
      <c r="M44" s="158"/>
      <c r="N44" s="158"/>
      <c r="O44" s="158"/>
      <c r="P44" s="158"/>
      <c r="Q44" s="158"/>
      <c r="R44" s="158"/>
      <c r="S44" s="158"/>
      <c r="T44" s="283"/>
      <c r="U44" s="283"/>
      <c r="V44" s="283"/>
      <c r="W44" s="283"/>
      <c r="X44" s="285"/>
      <c r="Y44" s="285"/>
      <c r="Z44" s="285"/>
      <c r="AA44" s="285"/>
      <c r="AB44" s="285"/>
      <c r="AC44" s="283"/>
      <c r="AD44" s="158"/>
    </row>
    <row r="45" spans="1:30" hidden="1">
      <c r="A45" s="158"/>
      <c r="B45" s="158"/>
      <c r="C45" s="158"/>
      <c r="D45" s="158"/>
      <c r="E45" s="158"/>
      <c r="F45" s="158"/>
      <c r="G45" s="158"/>
      <c r="H45" s="158"/>
      <c r="I45" s="158"/>
      <c r="J45" s="158"/>
      <c r="K45" s="158"/>
      <c r="L45" s="158"/>
      <c r="M45" s="158"/>
      <c r="N45" s="158"/>
      <c r="O45" s="158"/>
      <c r="P45" s="158"/>
      <c r="Q45" s="158"/>
      <c r="R45" s="158"/>
      <c r="S45" s="158"/>
      <c r="T45" s="283"/>
      <c r="U45" s="283"/>
      <c r="V45" s="283"/>
      <c r="W45" s="283"/>
      <c r="X45" s="285"/>
      <c r="Y45" s="285"/>
      <c r="Z45" s="285"/>
      <c r="AA45" s="285"/>
      <c r="AB45" s="285"/>
      <c r="AC45" s="283"/>
      <c r="AD45" s="158"/>
    </row>
    <row r="46" spans="1:30" hidden="1">
      <c r="A46" s="158"/>
      <c r="B46" s="158"/>
      <c r="C46" s="158"/>
      <c r="D46" s="158"/>
      <c r="E46" s="158"/>
      <c r="F46" s="158"/>
      <c r="G46" s="158"/>
      <c r="H46" s="158"/>
      <c r="I46" s="158"/>
      <c r="J46" s="158"/>
      <c r="K46" s="158"/>
      <c r="L46" s="158"/>
      <c r="M46" s="158"/>
      <c r="N46" s="158"/>
      <c r="O46" s="158"/>
      <c r="P46" s="158"/>
      <c r="Q46" s="158"/>
      <c r="R46" s="158"/>
      <c r="S46" s="158"/>
      <c r="T46" s="283"/>
      <c r="U46" s="283"/>
      <c r="V46" s="283"/>
      <c r="W46" s="283"/>
      <c r="X46" s="285"/>
      <c r="Y46" s="285"/>
      <c r="Z46" s="285"/>
      <c r="AA46" s="285"/>
      <c r="AB46" s="285"/>
      <c r="AC46" s="283"/>
      <c r="AD46" s="158"/>
    </row>
    <row r="47" spans="1:30" hidden="1">
      <c r="A47" s="158"/>
      <c r="B47" s="158"/>
      <c r="C47" s="158"/>
      <c r="D47" s="158"/>
      <c r="E47" s="158"/>
      <c r="F47" s="158"/>
      <c r="G47" s="158"/>
      <c r="H47" s="158"/>
      <c r="I47" s="158"/>
      <c r="J47" s="158"/>
      <c r="K47" s="158"/>
      <c r="L47" s="158"/>
      <c r="M47" s="158"/>
      <c r="N47" s="158"/>
      <c r="O47" s="158"/>
      <c r="P47" s="158"/>
      <c r="Q47" s="158"/>
      <c r="R47" s="158"/>
      <c r="S47" s="158"/>
      <c r="T47" s="283"/>
      <c r="U47" s="283"/>
      <c r="V47" s="283"/>
      <c r="W47" s="283"/>
      <c r="X47" s="285"/>
      <c r="Y47" s="285"/>
      <c r="Z47" s="285"/>
      <c r="AA47" s="285"/>
      <c r="AB47" s="285"/>
      <c r="AC47" s="283"/>
      <c r="AD47" s="158"/>
    </row>
    <row r="48" spans="1:30" hidden="1">
      <c r="A48" s="158"/>
      <c r="B48" s="158"/>
      <c r="C48" s="158"/>
      <c r="D48" s="158"/>
      <c r="E48" s="158"/>
      <c r="F48" s="158"/>
      <c r="G48" s="158"/>
      <c r="H48" s="158"/>
      <c r="I48" s="158"/>
      <c r="J48" s="158"/>
      <c r="K48" s="158"/>
      <c r="L48" s="158"/>
      <c r="M48" s="158"/>
      <c r="N48" s="158"/>
      <c r="O48" s="158"/>
      <c r="P48" s="158"/>
      <c r="Q48" s="158"/>
      <c r="R48" s="158"/>
      <c r="S48" s="158"/>
      <c r="T48" s="283"/>
      <c r="U48" s="283"/>
      <c r="V48" s="283"/>
      <c r="W48" s="283"/>
      <c r="X48" s="285"/>
      <c r="Y48" s="285"/>
      <c r="Z48" s="285"/>
      <c r="AA48" s="285"/>
      <c r="AB48" s="285"/>
      <c r="AC48" s="283"/>
      <c r="AD48" s="158"/>
    </row>
    <row r="49" spans="1:43" hidden="1">
      <c r="A49" s="158"/>
      <c r="B49" s="158"/>
      <c r="C49" s="158"/>
      <c r="D49" s="158"/>
      <c r="E49" s="158"/>
      <c r="F49" s="158"/>
      <c r="G49" s="158"/>
      <c r="H49" s="158"/>
      <c r="I49" s="158"/>
      <c r="J49" s="158"/>
      <c r="K49" s="158"/>
      <c r="L49" s="158"/>
      <c r="M49" s="158"/>
      <c r="N49" s="158"/>
      <c r="O49" s="158"/>
      <c r="P49" s="158"/>
      <c r="Q49" s="158"/>
      <c r="R49" s="158"/>
      <c r="S49" s="158"/>
      <c r="T49" s="283"/>
      <c r="U49" s="283"/>
      <c r="V49" s="283"/>
      <c r="W49" s="283"/>
      <c r="X49" s="285"/>
      <c r="Y49" s="285"/>
      <c r="Z49" s="285"/>
      <c r="AA49" s="285"/>
      <c r="AB49" s="285"/>
      <c r="AC49" s="283"/>
      <c r="AD49" s="158"/>
      <c r="AE49" s="1559"/>
      <c r="AF49" s="1559"/>
      <c r="AG49" s="1559"/>
      <c r="AH49" s="1559"/>
      <c r="AI49" s="1559"/>
      <c r="AJ49" s="1559"/>
    </row>
    <row r="50" spans="1:43" hidden="1">
      <c r="A50" s="158"/>
      <c r="B50" s="158"/>
      <c r="C50" s="158"/>
      <c r="D50" s="158"/>
      <c r="E50" s="158"/>
      <c r="F50" s="158"/>
      <c r="G50" s="158"/>
      <c r="H50" s="158"/>
      <c r="I50" s="158"/>
      <c r="J50" s="158"/>
      <c r="K50" s="158"/>
      <c r="L50" s="158"/>
      <c r="M50" s="158"/>
      <c r="N50" s="158"/>
      <c r="O50" s="158"/>
      <c r="P50" s="158"/>
      <c r="Q50" s="158"/>
      <c r="R50" s="158"/>
      <c r="S50" s="158"/>
      <c r="T50" s="283"/>
      <c r="U50" s="283"/>
      <c r="V50" s="283"/>
      <c r="W50" s="283"/>
      <c r="X50" s="285"/>
      <c r="Y50" s="285"/>
      <c r="Z50" s="285"/>
      <c r="AA50" s="285"/>
      <c r="AB50" s="285"/>
      <c r="AC50" s="283"/>
      <c r="AD50" s="158"/>
      <c r="AE50" s="1559"/>
      <c r="AF50" s="1559"/>
      <c r="AG50" s="1559"/>
      <c r="AH50" s="1559"/>
      <c r="AI50" s="1559"/>
      <c r="AJ50" s="1559"/>
    </row>
    <row r="51" spans="1:43" hidden="1">
      <c r="A51" s="158"/>
      <c r="B51" s="158"/>
      <c r="C51" s="158"/>
      <c r="D51" s="158"/>
      <c r="E51" s="158"/>
      <c r="F51" s="158"/>
      <c r="G51" s="158"/>
      <c r="H51" s="158"/>
      <c r="I51" s="158"/>
      <c r="J51" s="158"/>
      <c r="K51" s="158"/>
      <c r="L51" s="158"/>
      <c r="M51" s="158"/>
      <c r="N51" s="158"/>
      <c r="O51" s="158"/>
      <c r="P51" s="158"/>
      <c r="Q51" s="158"/>
      <c r="R51" s="158"/>
      <c r="S51" s="158"/>
      <c r="T51" s="283"/>
      <c r="U51" s="283"/>
      <c r="V51" s="283"/>
      <c r="W51" s="283"/>
      <c r="X51" s="285"/>
      <c r="Y51" s="285"/>
      <c r="Z51" s="285"/>
      <c r="AA51" s="285"/>
      <c r="AB51" s="285"/>
      <c r="AC51" s="283"/>
      <c r="AD51" s="158"/>
      <c r="AE51" s="1559"/>
      <c r="AF51" s="1559"/>
      <c r="AG51" s="1559"/>
      <c r="AH51" s="1559"/>
      <c r="AI51" s="1559"/>
      <c r="AJ51" s="1559"/>
    </row>
    <row r="52" spans="1:43" hidden="1">
      <c r="A52" s="158"/>
      <c r="B52" s="158"/>
      <c r="C52" s="158"/>
      <c r="D52" s="158"/>
      <c r="E52" s="158"/>
      <c r="F52" s="158"/>
      <c r="G52" s="158"/>
      <c r="H52" s="158"/>
      <c r="I52" s="158"/>
      <c r="J52" s="158"/>
      <c r="K52" s="158"/>
      <c r="L52" s="158"/>
      <c r="M52" s="158"/>
      <c r="N52" s="158"/>
      <c r="O52" s="158"/>
      <c r="P52" s="158"/>
      <c r="Q52" s="158"/>
      <c r="R52" s="158"/>
      <c r="S52" s="158"/>
      <c r="T52" s="283"/>
      <c r="U52" s="283"/>
      <c r="V52" s="283"/>
      <c r="W52" s="283"/>
      <c r="X52" s="285"/>
      <c r="Y52" s="285"/>
      <c r="Z52" s="285"/>
      <c r="AA52" s="285"/>
      <c r="AB52" s="285"/>
      <c r="AC52" s="283"/>
      <c r="AD52" s="158"/>
      <c r="AE52" s="1559"/>
      <c r="AF52" s="1559"/>
      <c r="AG52" s="1559"/>
      <c r="AH52" s="1559"/>
      <c r="AI52" s="1559"/>
      <c r="AJ52" s="1559"/>
    </row>
    <row r="53" spans="1:43" hidden="1">
      <c r="A53" s="158"/>
      <c r="B53" s="158"/>
      <c r="C53" s="158"/>
      <c r="D53" s="158"/>
      <c r="E53" s="158"/>
      <c r="F53" s="158"/>
      <c r="G53" s="158"/>
      <c r="H53" s="158"/>
      <c r="I53" s="158"/>
      <c r="J53" s="158"/>
      <c r="K53" s="158"/>
      <c r="L53" s="158"/>
      <c r="M53" s="158"/>
      <c r="N53" s="158"/>
      <c r="O53" s="158"/>
      <c r="P53" s="158"/>
      <c r="Q53" s="158"/>
      <c r="R53" s="158"/>
      <c r="S53" s="158"/>
      <c r="T53" s="283"/>
      <c r="U53" s="283"/>
      <c r="V53" s="283"/>
      <c r="W53" s="283"/>
      <c r="X53" s="285"/>
      <c r="Y53" s="285"/>
      <c r="Z53" s="285"/>
      <c r="AA53" s="285"/>
      <c r="AB53" s="285"/>
      <c r="AC53" s="283"/>
      <c r="AD53" s="158"/>
      <c r="AE53" s="1559"/>
      <c r="AF53" s="1559"/>
      <c r="AG53" s="1559"/>
      <c r="AH53" s="1559"/>
      <c r="AI53" s="1559"/>
      <c r="AJ53" s="1559"/>
    </row>
    <row r="54" spans="1:43" hidden="1">
      <c r="A54" s="158"/>
      <c r="B54" s="158"/>
      <c r="C54" s="158"/>
      <c r="D54" s="158"/>
      <c r="E54" s="158"/>
      <c r="F54" s="158"/>
      <c r="G54" s="158"/>
      <c r="H54" s="158"/>
      <c r="I54" s="158"/>
      <c r="J54" s="158"/>
      <c r="K54" s="158"/>
      <c r="L54" s="158"/>
      <c r="M54" s="158"/>
      <c r="N54" s="158"/>
      <c r="O54" s="158"/>
      <c r="P54" s="158"/>
      <c r="Q54" s="158"/>
      <c r="R54" s="158"/>
      <c r="S54" s="158"/>
      <c r="T54" s="283"/>
      <c r="U54" s="283"/>
      <c r="V54" s="283"/>
      <c r="W54" s="283"/>
      <c r="X54" s="285"/>
      <c r="Y54" s="285"/>
      <c r="Z54" s="285"/>
      <c r="AA54" s="285"/>
      <c r="AB54" s="285"/>
      <c r="AC54" s="283"/>
      <c r="AD54" s="158"/>
      <c r="AE54" s="1559"/>
      <c r="AF54" s="1559"/>
      <c r="AG54" s="1559"/>
      <c r="AH54" s="1559"/>
      <c r="AI54" s="1559"/>
      <c r="AJ54" s="1559"/>
    </row>
    <row r="55" spans="1:43" hidden="1">
      <c r="A55" s="158"/>
      <c r="B55" s="158"/>
      <c r="C55" s="158"/>
      <c r="D55" s="158"/>
      <c r="E55" s="158"/>
      <c r="F55" s="158"/>
      <c r="G55" s="158"/>
      <c r="H55" s="158"/>
      <c r="I55" s="158"/>
      <c r="J55" s="158"/>
      <c r="K55" s="158"/>
      <c r="L55" s="158"/>
      <c r="M55" s="158"/>
      <c r="N55" s="158"/>
      <c r="O55" s="158"/>
      <c r="P55" s="158"/>
      <c r="Q55" s="158"/>
      <c r="R55" s="158"/>
      <c r="S55" s="158"/>
      <c r="T55" s="283"/>
      <c r="U55" s="283"/>
      <c r="V55" s="283"/>
      <c r="W55" s="283"/>
      <c r="X55" s="285"/>
      <c r="Y55" s="285"/>
      <c r="Z55" s="285"/>
      <c r="AA55" s="285"/>
      <c r="AB55" s="285"/>
      <c r="AC55" s="283"/>
      <c r="AD55" s="158"/>
      <c r="AE55" s="1559"/>
      <c r="AF55" s="1559"/>
      <c r="AG55" s="1559"/>
      <c r="AH55" s="1559"/>
      <c r="AI55" s="1559"/>
      <c r="AJ55" s="1559"/>
    </row>
    <row r="56" spans="1:43" hidden="1">
      <c r="A56" s="158"/>
      <c r="B56" s="158"/>
      <c r="C56" s="158"/>
      <c r="D56" s="158"/>
      <c r="E56" s="158"/>
      <c r="F56" s="158"/>
      <c r="G56" s="158"/>
      <c r="H56" s="158"/>
      <c r="I56" s="158"/>
      <c r="J56" s="158"/>
      <c r="K56" s="158"/>
      <c r="L56" s="158"/>
      <c r="M56" s="158"/>
      <c r="N56" s="158"/>
      <c r="O56" s="158"/>
      <c r="P56" s="158"/>
      <c r="Q56" s="158"/>
      <c r="R56" s="158"/>
      <c r="S56" s="158"/>
      <c r="T56" s="283"/>
      <c r="U56" s="283"/>
      <c r="V56" s="283"/>
      <c r="W56" s="283"/>
      <c r="X56" s="285"/>
      <c r="Y56" s="285"/>
      <c r="Z56" s="285"/>
      <c r="AA56" s="285"/>
      <c r="AB56" s="285"/>
      <c r="AC56" s="283"/>
      <c r="AD56" s="158"/>
      <c r="AE56" s="1559"/>
      <c r="AF56" s="1559"/>
      <c r="AG56" s="1559"/>
      <c r="AH56" s="1559"/>
      <c r="AI56" s="1559"/>
      <c r="AJ56" s="1559"/>
    </row>
    <row r="57" spans="1:43" hidden="1">
      <c r="A57" s="158"/>
      <c r="B57" s="158"/>
      <c r="C57" s="158"/>
      <c r="D57" s="158"/>
      <c r="E57" s="158"/>
      <c r="F57" s="158"/>
      <c r="G57" s="158"/>
      <c r="H57" s="158"/>
      <c r="I57" s="158"/>
      <c r="J57" s="158"/>
      <c r="K57" s="158"/>
      <c r="L57" s="158"/>
      <c r="M57" s="158"/>
      <c r="N57" s="158"/>
      <c r="O57" s="158"/>
      <c r="P57" s="158"/>
      <c r="Q57" s="158"/>
      <c r="R57" s="158"/>
      <c r="S57" s="158"/>
      <c r="T57" s="283"/>
      <c r="U57" s="283"/>
      <c r="V57" s="283"/>
      <c r="W57" s="283"/>
      <c r="X57" s="285"/>
      <c r="Y57" s="285"/>
      <c r="Z57" s="285"/>
      <c r="AA57" s="285"/>
      <c r="AB57" s="285"/>
      <c r="AC57" s="283"/>
      <c r="AD57" s="158"/>
      <c r="AE57" s="1559"/>
      <c r="AF57" s="1559"/>
      <c r="AG57" s="1559"/>
      <c r="AH57" s="1559"/>
      <c r="AI57" s="1559"/>
      <c r="AJ57" s="1559"/>
    </row>
    <row r="58" spans="1:43" hidden="1">
      <c r="A58" s="158"/>
      <c r="B58" s="158"/>
      <c r="C58" s="158"/>
      <c r="D58" s="158"/>
      <c r="E58" s="158"/>
      <c r="F58" s="158"/>
      <c r="G58" s="158"/>
      <c r="H58" s="158"/>
      <c r="I58" s="158"/>
      <c r="J58" s="158"/>
      <c r="K58" s="158"/>
      <c r="L58" s="158"/>
      <c r="M58" s="158"/>
      <c r="N58" s="158"/>
      <c r="O58" s="158"/>
      <c r="P58" s="158"/>
      <c r="Q58" s="158"/>
      <c r="R58" s="158"/>
      <c r="S58" s="158"/>
      <c r="T58" s="283"/>
      <c r="U58" s="283"/>
      <c r="V58" s="283"/>
      <c r="W58" s="283"/>
      <c r="X58" s="285"/>
      <c r="Y58" s="285"/>
      <c r="Z58" s="285"/>
      <c r="AA58" s="285"/>
      <c r="AB58" s="285"/>
      <c r="AC58" s="283"/>
      <c r="AD58" s="158"/>
      <c r="AE58" s="1559"/>
      <c r="AF58" s="1559"/>
      <c r="AG58" s="1559"/>
      <c r="AH58" s="1559"/>
      <c r="AI58" s="1559"/>
      <c r="AJ58" s="1559"/>
    </row>
    <row r="59" spans="1:43">
      <c r="A59" s="158"/>
      <c r="B59" s="158"/>
      <c r="C59" s="158"/>
      <c r="D59" s="158"/>
      <c r="E59" s="158"/>
      <c r="F59" s="158"/>
      <c r="G59" s="158"/>
      <c r="H59" s="158"/>
      <c r="I59" s="158"/>
      <c r="J59" s="158"/>
      <c r="K59" s="158"/>
      <c r="L59" s="158"/>
      <c r="M59" s="158"/>
      <c r="N59" s="158"/>
      <c r="O59" s="158"/>
      <c r="P59" s="158"/>
      <c r="Q59" s="158"/>
      <c r="R59" s="158"/>
      <c r="S59" s="158"/>
      <c r="T59" s="283"/>
      <c r="U59" s="283"/>
      <c r="V59" s="283"/>
      <c r="W59" s="283"/>
      <c r="X59" s="285"/>
      <c r="Y59" s="285"/>
      <c r="Z59" s="285"/>
      <c r="AA59" s="285"/>
      <c r="AB59" s="285"/>
      <c r="AC59" s="283"/>
      <c r="AD59" s="158"/>
      <c r="AE59" s="1559"/>
      <c r="AF59" s="1559"/>
      <c r="AG59" s="1559"/>
      <c r="AH59" s="1559"/>
      <c r="AI59" s="1559"/>
      <c r="AJ59" s="1559"/>
    </row>
    <row r="60" spans="1:43" outlineLevel="1">
      <c r="A60" s="158"/>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3"/>
      <c r="AD60" s="158"/>
      <c r="AE60" s="1559"/>
      <c r="AF60" s="1559"/>
      <c r="AG60" s="1559"/>
      <c r="AH60" s="1559"/>
      <c r="AI60" s="1559"/>
      <c r="AJ60" s="1559"/>
    </row>
    <row r="61" spans="1:43" outlineLevel="1">
      <c r="A61" s="158"/>
      <c r="B61" s="190" t="s">
        <v>570</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283"/>
      <c r="AD61" s="158"/>
      <c r="AE61" s="1559"/>
      <c r="AF61" s="1559"/>
      <c r="AG61" s="1559"/>
      <c r="AH61" s="1559"/>
      <c r="AI61" s="1559"/>
      <c r="AJ61" s="1559"/>
    </row>
    <row r="62" spans="1:43" outlineLevel="1">
      <c r="A62" s="158"/>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283"/>
      <c r="AD62" s="158"/>
      <c r="AE62" s="1559"/>
      <c r="AF62" s="1559"/>
      <c r="AG62" s="1559"/>
      <c r="AH62" s="1559"/>
      <c r="AI62" s="1559"/>
      <c r="AJ62" s="1559"/>
    </row>
    <row r="63" spans="1:43" outlineLevel="1">
      <c r="A63" s="158"/>
      <c r="B63" s="1534" t="s">
        <v>1902</v>
      </c>
      <c r="C63" s="1534"/>
      <c r="D63" s="1534"/>
      <c r="E63" s="167"/>
      <c r="F63" s="167"/>
      <c r="G63" s="167"/>
      <c r="H63" s="167"/>
      <c r="I63" s="167"/>
      <c r="J63" s="167"/>
      <c r="K63" s="167"/>
      <c r="L63" s="167"/>
      <c r="M63" s="167"/>
      <c r="N63" s="167"/>
      <c r="O63" s="197"/>
      <c r="P63" s="198"/>
      <c r="Q63" s="199"/>
      <c r="R63" s="198"/>
      <c r="S63" s="198"/>
      <c r="T63" s="198"/>
      <c r="U63" s="198"/>
      <c r="V63" s="198"/>
      <c r="W63" s="198"/>
      <c r="X63" s="230">
        <v>2001</v>
      </c>
      <c r="Y63" s="370"/>
      <c r="Z63" s="371">
        <v>2003</v>
      </c>
      <c r="AA63" s="370"/>
      <c r="AB63" s="371">
        <v>2005</v>
      </c>
      <c r="AC63" s="370"/>
      <c r="AD63" s="371">
        <v>2007</v>
      </c>
      <c r="AE63" s="370"/>
      <c r="AF63" s="371">
        <v>2009</v>
      </c>
      <c r="AG63" s="371">
        <v>2010</v>
      </c>
      <c r="AH63" s="371">
        <v>2011</v>
      </c>
      <c r="AI63" s="371">
        <v>2012</v>
      </c>
      <c r="AJ63" s="371">
        <v>2013</v>
      </c>
      <c r="AK63" s="371">
        <v>2014</v>
      </c>
      <c r="AL63" s="371">
        <v>2015</v>
      </c>
      <c r="AM63" s="371">
        <v>2016</v>
      </c>
      <c r="AN63" s="371">
        <v>2017</v>
      </c>
      <c r="AO63" s="371">
        <v>2018</v>
      </c>
      <c r="AP63" s="371">
        <v>2019</v>
      </c>
      <c r="AQ63" s="371">
        <v>2020</v>
      </c>
    </row>
    <row r="64" spans="1:43" outlineLevel="1">
      <c r="A64" s="158"/>
      <c r="B64" s="1534" t="s">
        <v>1903</v>
      </c>
      <c r="C64" s="1534"/>
      <c r="D64" s="1534"/>
      <c r="E64" s="167"/>
      <c r="F64" s="167"/>
      <c r="G64" s="167"/>
      <c r="H64" s="167"/>
      <c r="I64" s="167"/>
      <c r="J64" s="167"/>
      <c r="K64" s="167"/>
      <c r="L64" s="167"/>
      <c r="M64" s="167"/>
      <c r="N64" s="167"/>
      <c r="O64" s="197"/>
      <c r="P64" s="198"/>
      <c r="Q64" s="199"/>
      <c r="R64" s="198"/>
      <c r="S64" s="198"/>
      <c r="T64" s="198"/>
      <c r="U64" s="198"/>
      <c r="V64" s="198"/>
      <c r="W64" s="198"/>
      <c r="X64" s="229"/>
      <c r="Y64" s="236"/>
      <c r="Z64" s="229"/>
      <c r="AA64" s="236"/>
      <c r="AB64" s="236"/>
      <c r="AC64" s="236"/>
      <c r="AD64" s="229"/>
      <c r="AE64" s="236"/>
      <c r="AF64" s="229"/>
      <c r="AG64" s="229"/>
      <c r="AH64" s="229"/>
      <c r="AI64" s="191"/>
      <c r="AJ64" s="191"/>
      <c r="AK64" s="191"/>
      <c r="AL64" s="1534"/>
      <c r="AM64" s="1534"/>
      <c r="AN64" s="1534"/>
    </row>
    <row r="65" spans="1:54" outlineLevel="1">
      <c r="A65" s="158"/>
      <c r="B65" s="372" t="s">
        <v>28</v>
      </c>
      <c r="C65" s="1534" t="s">
        <v>29</v>
      </c>
      <c r="D65" s="1534"/>
      <c r="E65" s="167"/>
      <c r="F65" s="167"/>
      <c r="G65" s="167"/>
      <c r="H65" s="167"/>
      <c r="I65" s="167"/>
      <c r="J65" s="167"/>
      <c r="K65" s="167"/>
      <c r="L65" s="167"/>
      <c r="M65" s="167"/>
      <c r="N65" s="167"/>
      <c r="O65" s="197"/>
      <c r="P65" s="198"/>
      <c r="Q65" s="199"/>
      <c r="R65" s="198"/>
      <c r="S65" s="198"/>
      <c r="T65" s="198"/>
      <c r="U65" s="198"/>
      <c r="V65" s="198"/>
      <c r="W65" s="198"/>
      <c r="X65" s="231">
        <v>289337000</v>
      </c>
      <c r="Y65" s="231">
        <v>288790900</v>
      </c>
      <c r="Z65" s="231">
        <v>287643700</v>
      </c>
      <c r="AA65" s="231">
        <v>289742500</v>
      </c>
      <c r="AB65" s="231">
        <v>291828900</v>
      </c>
      <c r="AC65" s="231">
        <v>294498900</v>
      </c>
      <c r="AD65" s="231">
        <v>295716700</v>
      </c>
      <c r="AE65" s="231">
        <v>294334600</v>
      </c>
      <c r="AF65" s="231">
        <v>285154400</v>
      </c>
      <c r="AG65" s="231">
        <v>287488000</v>
      </c>
      <c r="AH65" s="231">
        <v>284640600</v>
      </c>
      <c r="AI65" s="231">
        <v>288669400</v>
      </c>
      <c r="AJ65" s="231">
        <v>295750700</v>
      </c>
      <c r="AK65" s="231">
        <v>298999000</v>
      </c>
      <c r="AL65" s="231">
        <v>300064900</v>
      </c>
      <c r="AM65" s="231">
        <v>297775600</v>
      </c>
      <c r="AN65" s="231">
        <v>302053600</v>
      </c>
      <c r="AO65" s="565">
        <v>304901600</v>
      </c>
      <c r="AP65" s="565">
        <v>304634100</v>
      </c>
      <c r="AQ65" s="565">
        <v>289498700</v>
      </c>
      <c r="AR65" s="167"/>
      <c r="AS65" s="197"/>
      <c r="AT65" s="198"/>
      <c r="AU65" s="199"/>
      <c r="AV65" s="198"/>
      <c r="AW65" s="198"/>
      <c r="AX65" s="198"/>
      <c r="AY65" s="198"/>
      <c r="AZ65" s="198"/>
      <c r="BA65" s="198"/>
      <c r="BB65" s="231">
        <v>774938.2</v>
      </c>
    </row>
    <row r="66" spans="1:54" outlineLevel="1">
      <c r="A66" s="158"/>
      <c r="B66" s="229"/>
      <c r="C66" s="1534"/>
      <c r="D66" s="1534"/>
      <c r="E66" s="167"/>
      <c r="F66" s="167"/>
      <c r="G66" s="167"/>
      <c r="H66" s="167"/>
      <c r="I66" s="167"/>
      <c r="J66" s="167"/>
      <c r="K66" s="167"/>
      <c r="L66" s="167"/>
      <c r="M66" s="167"/>
      <c r="N66" s="167"/>
      <c r="O66" s="197"/>
      <c r="P66" s="198"/>
      <c r="Q66" s="199"/>
      <c r="R66" s="198"/>
      <c r="S66" s="198"/>
      <c r="T66" s="198"/>
      <c r="U66" s="198"/>
      <c r="V66" s="198"/>
      <c r="W66" s="198"/>
      <c r="X66" s="231"/>
      <c r="Y66" s="231"/>
      <c r="Z66" s="231"/>
      <c r="AA66" s="231"/>
      <c r="AB66" s="231"/>
      <c r="AC66" s="231"/>
      <c r="AD66" s="231"/>
      <c r="AE66" s="231"/>
      <c r="AF66" s="231"/>
      <c r="AG66" s="231"/>
      <c r="AH66" s="231"/>
      <c r="AI66" s="231"/>
      <c r="AJ66" s="231"/>
      <c r="AK66" s="231"/>
      <c r="AL66" s="231"/>
      <c r="AM66" s="231"/>
      <c r="AN66" s="231"/>
      <c r="AO66" s="565"/>
      <c r="AP66" s="565"/>
      <c r="AQ66" s="565"/>
      <c r="AR66" s="167"/>
      <c r="AS66" s="197"/>
      <c r="AT66" s="198"/>
      <c r="AU66" s="199"/>
      <c r="AV66" s="198"/>
      <c r="AW66" s="198"/>
      <c r="AX66" s="198"/>
      <c r="AY66" s="198"/>
      <c r="AZ66" s="198"/>
      <c r="BA66" s="198"/>
      <c r="BB66" s="231"/>
    </row>
    <row r="67" spans="1:54" outlineLevel="1">
      <c r="A67" s="158"/>
      <c r="B67" s="372" t="s">
        <v>30</v>
      </c>
      <c r="C67" s="1534" t="s">
        <v>31</v>
      </c>
      <c r="D67" s="1534"/>
      <c r="E67" s="167"/>
      <c r="F67" s="167"/>
      <c r="G67" s="167"/>
      <c r="H67" s="167"/>
      <c r="I67" s="167"/>
      <c r="J67" s="167"/>
      <c r="K67" s="167"/>
      <c r="L67" s="167"/>
      <c r="M67" s="167"/>
      <c r="N67" s="167"/>
      <c r="O67" s="197"/>
      <c r="P67" s="198"/>
      <c r="Q67" s="199"/>
      <c r="R67" s="198"/>
      <c r="S67" s="198"/>
      <c r="T67" s="198"/>
      <c r="U67" s="198"/>
      <c r="V67" s="198"/>
      <c r="W67" s="198"/>
      <c r="X67" s="231">
        <v>349247321.94521582</v>
      </c>
      <c r="Y67" s="231">
        <v>350351993.19386339</v>
      </c>
      <c r="Z67" s="231">
        <v>349460446.61029369</v>
      </c>
      <c r="AA67" s="231">
        <v>351953082.20788354</v>
      </c>
      <c r="AB67" s="231">
        <v>354724600</v>
      </c>
      <c r="AC67" s="231">
        <v>357092900</v>
      </c>
      <c r="AD67" s="231">
        <v>359245300</v>
      </c>
      <c r="AE67" s="231">
        <v>358242400</v>
      </c>
      <c r="AF67" s="231">
        <v>350465200</v>
      </c>
      <c r="AG67" s="231">
        <v>355122800</v>
      </c>
      <c r="AH67" s="231">
        <v>353936600</v>
      </c>
      <c r="AI67" s="231">
        <v>359392200</v>
      </c>
      <c r="AJ67" s="231">
        <v>368206000</v>
      </c>
      <c r="AK67" s="231">
        <v>373273800</v>
      </c>
      <c r="AL67" s="231">
        <v>376339100</v>
      </c>
      <c r="AM67" s="231">
        <v>375208900</v>
      </c>
      <c r="AN67" s="231">
        <v>379994700</v>
      </c>
      <c r="AO67" s="565">
        <v>384192000</v>
      </c>
      <c r="AP67" s="565">
        <v>386214400</v>
      </c>
      <c r="AQ67" s="565">
        <v>373086500</v>
      </c>
      <c r="AR67" s="167"/>
      <c r="AS67" s="197"/>
      <c r="AT67" s="198"/>
      <c r="AU67" s="199"/>
      <c r="AV67" s="198"/>
      <c r="AW67" s="198"/>
      <c r="AX67" s="198"/>
      <c r="AY67" s="198"/>
      <c r="AZ67" s="198"/>
      <c r="BA67" s="198"/>
      <c r="BB67" s="231">
        <v>882365.2</v>
      </c>
    </row>
    <row r="68" spans="1:54" outlineLevel="1">
      <c r="A68" s="158"/>
      <c r="B68" s="229"/>
      <c r="C68" s="1534"/>
      <c r="D68" s="1534"/>
      <c r="E68" s="167"/>
      <c r="F68" s="167"/>
      <c r="G68" s="167"/>
      <c r="H68" s="167"/>
      <c r="I68" s="167"/>
      <c r="J68" s="167"/>
      <c r="K68" s="167"/>
      <c r="L68" s="167"/>
      <c r="M68" s="167"/>
      <c r="N68" s="167"/>
      <c r="O68" s="197"/>
      <c r="P68" s="198"/>
      <c r="Q68" s="199"/>
      <c r="R68" s="198"/>
      <c r="S68" s="198"/>
      <c r="T68" s="198"/>
      <c r="U68" s="198"/>
      <c r="V68" s="198"/>
      <c r="W68" s="198"/>
      <c r="X68" s="231"/>
      <c r="Y68" s="231"/>
      <c r="Z68" s="231"/>
      <c r="AA68" s="231"/>
      <c r="AB68" s="231"/>
      <c r="AC68" s="231"/>
      <c r="AD68" s="231"/>
      <c r="AE68" s="231"/>
      <c r="AF68" s="231"/>
      <c r="AG68" s="231"/>
      <c r="AH68" s="231"/>
      <c r="AI68" s="231"/>
      <c r="AJ68" s="231"/>
      <c r="AK68" s="231"/>
      <c r="AL68" s="231"/>
      <c r="AM68" s="231"/>
      <c r="AN68" s="231"/>
      <c r="AO68" s="565"/>
      <c r="AP68" s="565"/>
      <c r="AQ68" s="565"/>
      <c r="AR68" s="167"/>
      <c r="AS68" s="197"/>
      <c r="AT68" s="198"/>
      <c r="AU68" s="199"/>
      <c r="AV68" s="198"/>
      <c r="AW68" s="198"/>
      <c r="AX68" s="198"/>
      <c r="AY68" s="198"/>
      <c r="AZ68" s="198"/>
      <c r="BA68" s="198"/>
      <c r="BB68" s="229"/>
    </row>
    <row r="69" spans="1:54" outlineLevel="1">
      <c r="A69" s="158"/>
      <c r="B69" s="372" t="s">
        <v>32</v>
      </c>
      <c r="C69" s="1534" t="s">
        <v>33</v>
      </c>
      <c r="D69" s="1534"/>
      <c r="E69" s="167"/>
      <c r="F69" s="167"/>
      <c r="G69" s="167"/>
      <c r="H69" s="167"/>
      <c r="I69" s="167"/>
      <c r="J69" s="167"/>
      <c r="K69" s="167"/>
      <c r="L69" s="167"/>
      <c r="M69" s="167"/>
      <c r="N69" s="167"/>
      <c r="O69" s="197"/>
      <c r="P69" s="198"/>
      <c r="Q69" s="199"/>
      <c r="R69" s="198"/>
      <c r="S69" s="198"/>
      <c r="T69" s="198"/>
      <c r="U69" s="198"/>
      <c r="V69" s="198"/>
      <c r="W69" s="198"/>
      <c r="X69" s="231">
        <f>SUM(X71:X72)</f>
        <v>21985200</v>
      </c>
      <c r="Y69" s="231">
        <f t="shared" ref="Y69:AQ69" si="5">SUM(Y71:Y72)</f>
        <v>21805400</v>
      </c>
      <c r="Z69" s="231">
        <f t="shared" si="5"/>
        <v>21792400</v>
      </c>
      <c r="AA69" s="231">
        <f t="shared" si="5"/>
        <v>22293400</v>
      </c>
      <c r="AB69" s="231">
        <f t="shared" si="5"/>
        <v>22705400</v>
      </c>
      <c r="AC69" s="231">
        <f t="shared" si="5"/>
        <v>22608300</v>
      </c>
      <c r="AD69" s="231">
        <f t="shared" si="5"/>
        <v>22214700</v>
      </c>
      <c r="AE69" s="231">
        <f t="shared" si="5"/>
        <v>21144700</v>
      </c>
      <c r="AF69" s="231">
        <f t="shared" si="5"/>
        <v>20747800</v>
      </c>
      <c r="AG69" s="231">
        <f t="shared" si="5"/>
        <v>21297600</v>
      </c>
      <c r="AH69" s="231">
        <f t="shared" si="5"/>
        <v>21463900</v>
      </c>
      <c r="AI69" s="231">
        <f t="shared" si="5"/>
        <v>21622000</v>
      </c>
      <c r="AJ69" s="231">
        <f t="shared" si="5"/>
        <v>22207300</v>
      </c>
      <c r="AK69" s="231">
        <f t="shared" si="5"/>
        <v>27443800</v>
      </c>
      <c r="AL69" s="231">
        <f t="shared" si="5"/>
        <v>30751648</v>
      </c>
      <c r="AM69" s="231">
        <f t="shared" si="5"/>
        <v>30246900</v>
      </c>
      <c r="AN69" s="231">
        <f t="shared" si="5"/>
        <v>32490200</v>
      </c>
      <c r="AO69" s="565">
        <f t="shared" si="5"/>
        <v>30617164</v>
      </c>
      <c r="AP69" s="565">
        <f t="shared" si="5"/>
        <v>31039100</v>
      </c>
      <c r="AQ69" s="565">
        <f t="shared" si="5"/>
        <v>31822100</v>
      </c>
      <c r="AR69" s="167"/>
      <c r="AS69" s="197"/>
      <c r="AT69" s="198"/>
      <c r="AU69" s="199"/>
      <c r="AV69" s="198"/>
      <c r="AW69" s="198"/>
      <c r="AX69" s="198"/>
      <c r="AY69" s="198"/>
      <c r="AZ69" s="198"/>
      <c r="BA69" s="198"/>
      <c r="BB69" s="231">
        <v>109277</v>
      </c>
    </row>
    <row r="70" spans="1:54" outlineLevel="1">
      <c r="A70" s="158"/>
      <c r="B70" s="229"/>
      <c r="C70" s="1534"/>
      <c r="D70" s="1534"/>
      <c r="E70" s="167"/>
      <c r="F70" s="167"/>
      <c r="G70" s="167"/>
      <c r="H70" s="167"/>
      <c r="I70" s="167"/>
      <c r="J70" s="167"/>
      <c r="K70" s="167"/>
      <c r="L70" s="167"/>
      <c r="M70" s="167"/>
      <c r="N70" s="167"/>
      <c r="O70" s="197"/>
      <c r="P70" s="198"/>
      <c r="Q70" s="199"/>
      <c r="R70" s="198"/>
      <c r="S70" s="198"/>
      <c r="T70" s="198"/>
      <c r="U70" s="198"/>
      <c r="V70" s="198"/>
      <c r="W70" s="198"/>
      <c r="X70" s="231"/>
      <c r="Y70" s="231"/>
      <c r="Z70" s="231"/>
      <c r="AA70" s="231"/>
      <c r="AB70" s="231"/>
      <c r="AC70" s="231"/>
      <c r="AD70" s="231"/>
      <c r="AE70" s="231"/>
      <c r="AF70" s="231"/>
      <c r="AG70" s="231"/>
      <c r="AH70" s="231"/>
      <c r="AI70" s="231"/>
      <c r="AJ70" s="231"/>
      <c r="AK70" s="231"/>
      <c r="AL70" s="231"/>
      <c r="AM70" s="231"/>
      <c r="AN70" s="231"/>
      <c r="AO70" s="565"/>
      <c r="AP70" s="565"/>
      <c r="AQ70" s="565"/>
      <c r="AR70" s="167"/>
      <c r="AS70" s="197"/>
      <c r="AT70" s="198"/>
      <c r="AU70" s="199"/>
      <c r="AV70" s="198"/>
      <c r="AW70" s="198"/>
      <c r="AX70" s="198"/>
      <c r="AY70" s="198"/>
      <c r="AZ70" s="198"/>
      <c r="BA70" s="198"/>
      <c r="BB70" s="229"/>
    </row>
    <row r="71" spans="1:54" outlineLevel="1">
      <c r="A71" s="158"/>
      <c r="B71" s="229"/>
      <c r="C71" s="1534" t="s">
        <v>34</v>
      </c>
      <c r="D71" s="1534"/>
      <c r="E71" s="167"/>
      <c r="F71" s="167"/>
      <c r="G71" s="167"/>
      <c r="H71" s="167"/>
      <c r="I71" s="167"/>
      <c r="J71" s="167"/>
      <c r="K71" s="167"/>
      <c r="L71" s="167"/>
      <c r="M71" s="167"/>
      <c r="N71" s="167"/>
      <c r="O71" s="197"/>
      <c r="P71" s="198"/>
      <c r="Q71" s="199"/>
      <c r="R71" s="198"/>
      <c r="S71" s="198"/>
      <c r="T71" s="198"/>
      <c r="U71" s="198"/>
      <c r="V71" s="198"/>
      <c r="W71" s="198"/>
      <c r="X71" s="231">
        <v>12241600</v>
      </c>
      <c r="Y71" s="231">
        <v>12236000</v>
      </c>
      <c r="Z71" s="231">
        <v>12106400</v>
      </c>
      <c r="AA71" s="231">
        <v>12588200</v>
      </c>
      <c r="AB71" s="231">
        <v>13134600</v>
      </c>
      <c r="AC71" s="231">
        <v>13092200</v>
      </c>
      <c r="AD71" s="231">
        <v>12841100</v>
      </c>
      <c r="AE71" s="231">
        <v>12443000</v>
      </c>
      <c r="AF71" s="231">
        <v>12220600</v>
      </c>
      <c r="AG71" s="231">
        <v>12675200</v>
      </c>
      <c r="AH71" s="231">
        <v>12744900</v>
      </c>
      <c r="AI71" s="231">
        <v>12901500</v>
      </c>
      <c r="AJ71" s="231">
        <v>13478900</v>
      </c>
      <c r="AK71" s="231">
        <v>19135400</v>
      </c>
      <c r="AL71" s="231">
        <v>22400487</v>
      </c>
      <c r="AM71" s="231">
        <v>21931000</v>
      </c>
      <c r="AN71" s="231">
        <v>22249200</v>
      </c>
      <c r="AO71" s="565">
        <v>22496400</v>
      </c>
      <c r="AP71" s="565">
        <v>23148200</v>
      </c>
      <c r="AQ71" s="565">
        <v>24608400</v>
      </c>
      <c r="AR71" s="167"/>
      <c r="AS71" s="197"/>
      <c r="AT71" s="198"/>
      <c r="AU71" s="199"/>
      <c r="AV71" s="198"/>
      <c r="AW71" s="198"/>
      <c r="AX71" s="198"/>
      <c r="AY71" s="198"/>
      <c r="AZ71" s="198"/>
      <c r="BA71" s="198"/>
      <c r="BB71" s="231">
        <v>78056</v>
      </c>
    </row>
    <row r="72" spans="1:54" outlineLevel="1">
      <c r="A72" s="158"/>
      <c r="B72" s="229"/>
      <c r="C72" s="1534" t="s">
        <v>35</v>
      </c>
      <c r="D72" s="1534"/>
      <c r="E72" s="167"/>
      <c r="F72" s="167"/>
      <c r="G72" s="167"/>
      <c r="H72" s="167"/>
      <c r="I72" s="167"/>
      <c r="J72" s="167"/>
      <c r="K72" s="167"/>
      <c r="L72" s="167"/>
      <c r="M72" s="167"/>
      <c r="N72" s="167"/>
      <c r="O72" s="197"/>
      <c r="P72" s="198"/>
      <c r="Q72" s="199"/>
      <c r="R72" s="198"/>
      <c r="S72" s="198"/>
      <c r="T72" s="198"/>
      <c r="U72" s="198"/>
      <c r="V72" s="198"/>
      <c r="W72" s="198"/>
      <c r="X72" s="231">
        <v>9743600</v>
      </c>
      <c r="Y72" s="231">
        <v>9569400</v>
      </c>
      <c r="Z72" s="231">
        <v>9686000</v>
      </c>
      <c r="AA72" s="231">
        <v>9705200</v>
      </c>
      <c r="AB72" s="231">
        <v>9570800</v>
      </c>
      <c r="AC72" s="231">
        <v>9516100</v>
      </c>
      <c r="AD72" s="231">
        <v>9373600</v>
      </c>
      <c r="AE72" s="231">
        <v>8701700</v>
      </c>
      <c r="AF72" s="231">
        <v>8527200</v>
      </c>
      <c r="AG72" s="231">
        <v>8622400</v>
      </c>
      <c r="AH72" s="231">
        <v>8719000</v>
      </c>
      <c r="AI72" s="231">
        <v>8720500</v>
      </c>
      <c r="AJ72" s="231">
        <v>8728400</v>
      </c>
      <c r="AK72" s="231">
        <v>8308400</v>
      </c>
      <c r="AL72" s="231">
        <v>8351161</v>
      </c>
      <c r="AM72" s="231">
        <v>8315900</v>
      </c>
      <c r="AN72" s="231">
        <v>10241000</v>
      </c>
      <c r="AO72" s="565">
        <v>8120764</v>
      </c>
      <c r="AP72" s="565">
        <v>7890900</v>
      </c>
      <c r="AQ72" s="565">
        <v>7213700</v>
      </c>
      <c r="AR72" s="167"/>
      <c r="AS72" s="197"/>
      <c r="AT72" s="198"/>
      <c r="AU72" s="199"/>
      <c r="AV72" s="198"/>
      <c r="AW72" s="198"/>
      <c r="AX72" s="198"/>
      <c r="AY72" s="198"/>
      <c r="AZ72" s="198"/>
      <c r="BA72" s="198"/>
      <c r="BB72" s="231">
        <v>31221</v>
      </c>
    </row>
    <row r="73" spans="1:54" outlineLevel="1">
      <c r="A73" s="158"/>
      <c r="B73" s="229"/>
      <c r="C73" s="1534"/>
      <c r="D73" s="1534"/>
      <c r="E73" s="167"/>
      <c r="F73" s="167"/>
      <c r="G73" s="167"/>
      <c r="H73" s="167"/>
      <c r="I73" s="167"/>
      <c r="J73" s="167"/>
      <c r="K73" s="167"/>
      <c r="L73" s="167"/>
      <c r="M73" s="167"/>
      <c r="N73" s="167"/>
      <c r="O73" s="197"/>
      <c r="P73" s="198"/>
      <c r="Q73" s="199"/>
      <c r="R73" s="198"/>
      <c r="S73" s="198"/>
      <c r="T73" s="198"/>
      <c r="U73" s="198"/>
      <c r="V73" s="198"/>
      <c r="W73" s="198"/>
      <c r="X73" s="231"/>
      <c r="Y73" s="231"/>
      <c r="Z73" s="231"/>
      <c r="AA73" s="231"/>
      <c r="AB73" s="231"/>
      <c r="AC73" s="231"/>
      <c r="AD73" s="231"/>
      <c r="AE73" s="231"/>
      <c r="AF73" s="231"/>
      <c r="AG73" s="231"/>
      <c r="AH73" s="231"/>
      <c r="AI73" s="231"/>
      <c r="AJ73" s="231"/>
      <c r="AK73" s="231"/>
      <c r="AL73" s="231"/>
      <c r="AM73" s="231"/>
      <c r="AN73" s="231"/>
      <c r="AO73" s="565"/>
      <c r="AP73" s="565"/>
      <c r="AQ73" s="565"/>
      <c r="AR73" s="167"/>
      <c r="AS73" s="197"/>
      <c r="AT73" s="198"/>
      <c r="AU73" s="199"/>
      <c r="AV73" s="198"/>
      <c r="AW73" s="198"/>
      <c r="AX73" s="198"/>
      <c r="AY73" s="198"/>
      <c r="AZ73" s="198"/>
      <c r="BA73" s="198"/>
      <c r="BB73" s="231"/>
    </row>
    <row r="74" spans="1:54" outlineLevel="1">
      <c r="A74" s="158"/>
      <c r="B74" s="372" t="s">
        <v>36</v>
      </c>
      <c r="C74" s="1534" t="s">
        <v>37</v>
      </c>
      <c r="D74" s="1534"/>
      <c r="E74" s="167"/>
      <c r="F74" s="167"/>
      <c r="G74" s="167"/>
      <c r="H74" s="167"/>
      <c r="I74" s="167"/>
      <c r="J74" s="167"/>
      <c r="K74" s="167"/>
      <c r="L74" s="167"/>
      <c r="M74" s="167"/>
      <c r="N74" s="167"/>
      <c r="O74" s="197"/>
      <c r="P74" s="198"/>
      <c r="Q74" s="199"/>
      <c r="R74" s="198"/>
      <c r="S74" s="198"/>
      <c r="T74" s="198"/>
      <c r="U74" s="198"/>
      <c r="V74" s="198"/>
      <c r="W74" s="198"/>
      <c r="X74" s="231">
        <v>22990800</v>
      </c>
      <c r="Y74" s="231">
        <v>22740100</v>
      </c>
      <c r="Z74" s="231">
        <v>22731900</v>
      </c>
      <c r="AA74" s="231">
        <v>23243400</v>
      </c>
      <c r="AB74" s="231">
        <v>23722200</v>
      </c>
      <c r="AC74" s="231">
        <v>23642400</v>
      </c>
      <c r="AD74" s="231">
        <v>23240700</v>
      </c>
      <c r="AE74" s="231">
        <v>22111300</v>
      </c>
      <c r="AF74" s="231">
        <v>21560900</v>
      </c>
      <c r="AG74" s="231">
        <v>22160400</v>
      </c>
      <c r="AH74" s="231">
        <v>22409600</v>
      </c>
      <c r="AI74" s="231">
        <v>22591700</v>
      </c>
      <c r="AJ74" s="231">
        <v>23313100</v>
      </c>
      <c r="AK74" s="231">
        <v>28587100</v>
      </c>
      <c r="AL74" s="231">
        <v>31870671</v>
      </c>
      <c r="AM74" s="231">
        <v>31254200</v>
      </c>
      <c r="AN74" s="231">
        <v>33581700</v>
      </c>
      <c r="AO74" s="565">
        <v>31753987</v>
      </c>
      <c r="AP74" s="565">
        <v>32045900</v>
      </c>
      <c r="AQ74" s="565">
        <v>32694400</v>
      </c>
      <c r="AR74" s="167"/>
      <c r="AS74" s="197"/>
      <c r="AT74" s="198"/>
      <c r="AU74" s="199"/>
      <c r="AV74" s="198"/>
      <c r="AW74" s="198"/>
      <c r="AX74" s="198"/>
      <c r="AY74" s="198"/>
      <c r="AZ74" s="198"/>
      <c r="BA74" s="198"/>
      <c r="BB74" s="231">
        <v>125750</v>
      </c>
    </row>
    <row r="75" spans="1:54" outlineLevel="1">
      <c r="A75" s="158"/>
      <c r="B75" s="229"/>
      <c r="C75" s="1534"/>
      <c r="D75" s="1534"/>
      <c r="E75" s="167"/>
      <c r="F75" s="167"/>
      <c r="G75" s="167"/>
      <c r="H75" s="167"/>
      <c r="I75" s="167"/>
      <c r="J75" s="167"/>
      <c r="K75" s="167"/>
      <c r="L75" s="167"/>
      <c r="M75" s="167"/>
      <c r="N75" s="167"/>
      <c r="O75" s="197"/>
      <c r="P75" s="198"/>
      <c r="Q75" s="199"/>
      <c r="R75" s="198"/>
      <c r="S75" s="198"/>
      <c r="T75" s="198"/>
      <c r="U75" s="198"/>
      <c r="V75" s="198"/>
      <c r="W75" s="198"/>
      <c r="X75" s="231"/>
      <c r="Y75" s="231"/>
      <c r="Z75" s="231"/>
      <c r="AA75" s="231"/>
      <c r="AB75" s="231"/>
      <c r="AC75" s="231"/>
      <c r="AD75" s="231"/>
      <c r="AE75" s="231"/>
      <c r="AF75" s="231"/>
      <c r="AG75" s="231"/>
      <c r="AH75" s="231"/>
      <c r="AI75" s="231"/>
      <c r="AJ75" s="231"/>
      <c r="AK75" s="231"/>
      <c r="AL75" s="231"/>
      <c r="AM75" s="231"/>
      <c r="AN75" s="231"/>
      <c r="AO75" s="565"/>
      <c r="AP75" s="565"/>
      <c r="AQ75" s="565"/>
      <c r="AR75" s="167"/>
      <c r="AS75" s="197"/>
      <c r="AT75" s="198"/>
      <c r="AU75" s="199"/>
      <c r="AV75" s="198"/>
      <c r="AW75" s="198"/>
      <c r="AX75" s="198"/>
      <c r="AY75" s="198"/>
      <c r="AZ75" s="198"/>
      <c r="BA75" s="198"/>
      <c r="BB75" s="231"/>
    </row>
    <row r="76" spans="1:54" outlineLevel="1">
      <c r="A76" s="158"/>
      <c r="B76" s="372" t="s">
        <v>38</v>
      </c>
      <c r="C76" s="1534" t="s">
        <v>39</v>
      </c>
      <c r="D76" s="1534"/>
      <c r="E76" s="167"/>
      <c r="F76" s="167"/>
      <c r="G76" s="167"/>
      <c r="H76" s="167"/>
      <c r="I76" s="167"/>
      <c r="J76" s="167"/>
      <c r="K76" s="167"/>
      <c r="L76" s="167"/>
      <c r="M76" s="167"/>
      <c r="N76" s="167"/>
      <c r="O76" s="197"/>
      <c r="P76" s="198"/>
      <c r="Q76" s="199"/>
      <c r="R76" s="198"/>
      <c r="S76" s="198"/>
      <c r="T76" s="198"/>
      <c r="U76" s="198"/>
      <c r="V76" s="198"/>
      <c r="W76" s="198"/>
      <c r="X76" s="231">
        <v>26053200</v>
      </c>
      <c r="Y76" s="231">
        <v>25802400</v>
      </c>
      <c r="Z76" s="231">
        <v>25792300</v>
      </c>
      <c r="AA76" s="231">
        <v>26249000</v>
      </c>
      <c r="AB76" s="231">
        <v>26786000</v>
      </c>
      <c r="AC76" s="231">
        <v>26651400</v>
      </c>
      <c r="AD76" s="231">
        <v>26255800</v>
      </c>
      <c r="AE76" s="231">
        <v>25060100</v>
      </c>
      <c r="AF76" s="231">
        <v>24364300</v>
      </c>
      <c r="AG76" s="231">
        <v>24730200</v>
      </c>
      <c r="AH76" s="231">
        <v>24966300</v>
      </c>
      <c r="AI76" s="231">
        <v>25055500</v>
      </c>
      <c r="AJ76" s="231">
        <v>25744100</v>
      </c>
      <c r="AK76" s="231">
        <v>30991300</v>
      </c>
      <c r="AL76" s="231">
        <v>34286420</v>
      </c>
      <c r="AM76" s="231">
        <v>33711000</v>
      </c>
      <c r="AN76" s="231">
        <v>36031300</v>
      </c>
      <c r="AO76" s="565">
        <v>34251824</v>
      </c>
      <c r="AP76" s="565">
        <v>34598600</v>
      </c>
      <c r="AQ76" s="565">
        <v>35278900</v>
      </c>
      <c r="AR76" s="167"/>
      <c r="AS76" s="197"/>
      <c r="AT76" s="198"/>
      <c r="AU76" s="199"/>
      <c r="AV76" s="198"/>
      <c r="AW76" s="198"/>
      <c r="AX76" s="198"/>
      <c r="AY76" s="198"/>
      <c r="AZ76" s="198"/>
      <c r="BA76" s="198"/>
      <c r="BB76" s="231">
        <v>140445</v>
      </c>
    </row>
    <row r="77" spans="1:54" outlineLevel="1">
      <c r="A77" s="158"/>
      <c r="B77" s="372"/>
      <c r="C77" s="1534"/>
      <c r="D77" s="1534"/>
      <c r="E77" s="167"/>
      <c r="F77" s="167"/>
      <c r="G77" s="167"/>
      <c r="H77" s="167"/>
      <c r="I77" s="167"/>
      <c r="J77" s="167"/>
      <c r="K77" s="167"/>
      <c r="L77" s="167"/>
      <c r="M77" s="167"/>
      <c r="N77" s="167"/>
      <c r="O77" s="197"/>
      <c r="P77" s="198"/>
      <c r="Q77" s="199"/>
      <c r="R77" s="198"/>
      <c r="S77" s="198"/>
      <c r="T77" s="198"/>
      <c r="U77" s="198"/>
      <c r="V77" s="198"/>
      <c r="W77" s="198"/>
      <c r="X77" s="231"/>
      <c r="Y77" s="229"/>
      <c r="Z77" s="231"/>
      <c r="AA77" s="229"/>
      <c r="AB77" s="231"/>
      <c r="AC77" s="229"/>
      <c r="AD77" s="231"/>
      <c r="AE77" s="229"/>
      <c r="AF77" s="231"/>
      <c r="AG77" s="231"/>
      <c r="AH77" s="231"/>
      <c r="AI77" s="231"/>
      <c r="AJ77" s="231"/>
      <c r="AK77" s="231"/>
      <c r="AL77" s="231"/>
      <c r="AM77" s="231"/>
      <c r="AN77" s="231"/>
      <c r="AO77" s="191"/>
      <c r="AP77" s="191"/>
      <c r="AQ77" s="191"/>
      <c r="AR77" s="167"/>
      <c r="AS77" s="197"/>
      <c r="AT77" s="198"/>
      <c r="AU77" s="199"/>
      <c r="AV77" s="198"/>
      <c r="AW77" s="198"/>
      <c r="AX77" s="198"/>
      <c r="AY77" s="198"/>
      <c r="AZ77" s="198"/>
      <c r="BA77" s="198"/>
      <c r="BB77" s="231"/>
    </row>
    <row r="78" spans="1:54" outlineLevel="1">
      <c r="A78" s="158"/>
      <c r="B78" s="1534" t="s">
        <v>40</v>
      </c>
      <c r="C78" s="1534"/>
      <c r="D78" s="1534"/>
      <c r="E78" s="167"/>
      <c r="F78" s="167"/>
      <c r="G78" s="167"/>
      <c r="H78" s="167"/>
      <c r="I78" s="167"/>
      <c r="J78" s="167"/>
      <c r="K78" s="167"/>
      <c r="L78" s="167"/>
      <c r="M78" s="167"/>
      <c r="N78" s="167"/>
      <c r="O78" s="197"/>
      <c r="P78" s="198"/>
      <c r="Q78" s="199"/>
      <c r="R78" s="198"/>
      <c r="S78" s="198"/>
      <c r="T78" s="198"/>
      <c r="U78" s="198"/>
      <c r="V78" s="198"/>
      <c r="W78" s="198"/>
      <c r="X78" s="231"/>
      <c r="Y78" s="229"/>
      <c r="Z78" s="231"/>
      <c r="AA78" s="229"/>
      <c r="AB78" s="231"/>
      <c r="AC78" s="229"/>
      <c r="AD78" s="231"/>
      <c r="AE78" s="229"/>
      <c r="AF78" s="231"/>
      <c r="AG78" s="231"/>
      <c r="AH78" s="231"/>
      <c r="AI78" s="231"/>
      <c r="AJ78" s="231"/>
      <c r="AK78" s="231"/>
      <c r="AL78" s="231"/>
      <c r="AM78" s="231"/>
      <c r="AN78" s="231"/>
      <c r="AO78" s="191"/>
      <c r="AP78" s="191"/>
      <c r="AQ78" s="191"/>
      <c r="AR78" s="167"/>
      <c r="AS78" s="197"/>
      <c r="AT78" s="198"/>
      <c r="AU78" s="199"/>
      <c r="AV78" s="198"/>
      <c r="AW78" s="198"/>
      <c r="AX78" s="198"/>
      <c r="AY78" s="198"/>
      <c r="AZ78" s="198"/>
      <c r="BA78" s="198"/>
      <c r="BB78" s="231"/>
    </row>
    <row r="79" spans="1:54" outlineLevel="1">
      <c r="A79" s="158"/>
      <c r="B79" s="229"/>
      <c r="C79" s="1534"/>
      <c r="D79" s="1534"/>
      <c r="E79" s="167"/>
      <c r="F79" s="167"/>
      <c r="G79" s="167"/>
      <c r="H79" s="167"/>
      <c r="I79" s="167"/>
      <c r="J79" s="167"/>
      <c r="K79" s="167"/>
      <c r="L79" s="167"/>
      <c r="M79" s="167"/>
      <c r="N79" s="167"/>
      <c r="O79" s="197"/>
      <c r="P79" s="198"/>
      <c r="Q79" s="199"/>
      <c r="R79" s="198"/>
      <c r="S79" s="198"/>
      <c r="T79" s="198"/>
      <c r="U79" s="198"/>
      <c r="V79" s="198"/>
      <c r="W79" s="198"/>
      <c r="X79" s="231"/>
      <c r="Y79" s="229"/>
      <c r="Z79" s="231"/>
      <c r="AA79" s="229"/>
      <c r="AB79" s="231"/>
      <c r="AC79" s="229"/>
      <c r="AD79" s="231"/>
      <c r="AE79" s="229"/>
      <c r="AF79" s="231"/>
      <c r="AG79" s="231"/>
      <c r="AH79" s="231"/>
      <c r="AI79" s="231"/>
      <c r="AJ79" s="231"/>
      <c r="AK79" s="231"/>
      <c r="AL79" s="231"/>
      <c r="AM79" s="231"/>
      <c r="AN79" s="231"/>
      <c r="AO79" s="191"/>
      <c r="AP79" s="191"/>
      <c r="AQ79" s="191"/>
      <c r="AR79" s="167"/>
      <c r="AS79" s="197"/>
      <c r="AT79" s="198"/>
      <c r="AU79" s="199"/>
      <c r="AV79" s="198"/>
      <c r="AW79" s="198"/>
      <c r="AX79" s="198"/>
      <c r="AY79" s="198"/>
      <c r="AZ79" s="198"/>
      <c r="BA79" s="198"/>
      <c r="BB79" s="231"/>
    </row>
    <row r="80" spans="1:54" outlineLevel="1">
      <c r="A80" s="158"/>
      <c r="B80" s="373" t="s">
        <v>41</v>
      </c>
      <c r="C80" s="240" t="s">
        <v>42</v>
      </c>
      <c r="D80" s="240"/>
      <c r="E80" s="167"/>
      <c r="F80" s="167"/>
      <c r="G80" s="167"/>
      <c r="H80" s="167"/>
      <c r="I80" s="167"/>
      <c r="J80" s="167"/>
      <c r="K80" s="167"/>
      <c r="L80" s="167"/>
      <c r="M80" s="167"/>
      <c r="N80" s="167"/>
      <c r="O80" s="197"/>
      <c r="P80" s="198"/>
      <c r="Q80" s="199"/>
      <c r="R80" s="198"/>
      <c r="S80" s="198"/>
      <c r="T80" s="198"/>
      <c r="U80" s="198"/>
      <c r="V80" s="198"/>
      <c r="W80" s="198"/>
      <c r="X80" s="374">
        <f>X69/X67</f>
        <v>6.2950232166558109E-2</v>
      </c>
      <c r="Y80" s="242">
        <f t="shared" ref="Y80:AQ80" si="6">Y69/Y67</f>
        <v>6.2238549868715097E-2</v>
      </c>
      <c r="Z80" s="374">
        <f t="shared" si="6"/>
        <v>6.2360133203578652E-2</v>
      </c>
      <c r="AA80" s="242">
        <f t="shared" si="6"/>
        <v>6.3341965526053409E-2</v>
      </c>
      <c r="AB80" s="374">
        <f t="shared" si="6"/>
        <v>6.4008529433819933E-2</v>
      </c>
      <c r="AC80" s="242">
        <f t="shared" si="6"/>
        <v>6.3312096096001913E-2</v>
      </c>
      <c r="AD80" s="374">
        <f t="shared" si="6"/>
        <v>6.1837134682068216E-2</v>
      </c>
      <c r="AE80" s="242">
        <f t="shared" si="6"/>
        <v>5.9023443344506404E-2</v>
      </c>
      <c r="AF80" s="374">
        <f t="shared" si="6"/>
        <v>5.9200742327626253E-2</v>
      </c>
      <c r="AG80" s="374">
        <f t="shared" si="6"/>
        <v>5.9972494021786268E-2</v>
      </c>
      <c r="AH80" s="374">
        <f t="shared" si="6"/>
        <v>6.0643346859296267E-2</v>
      </c>
      <c r="AI80" s="374">
        <f t="shared" si="6"/>
        <v>6.0162685778934542E-2</v>
      </c>
      <c r="AJ80" s="374">
        <f t="shared" si="6"/>
        <v>6.0312162213543505E-2</v>
      </c>
      <c r="AK80" s="374">
        <f t="shared" si="6"/>
        <v>7.3521902689125243E-2</v>
      </c>
      <c r="AL80" s="374">
        <f t="shared" si="6"/>
        <v>8.1712604403847491E-2</v>
      </c>
      <c r="AM80" s="374">
        <f t="shared" si="6"/>
        <v>8.0613492910216147E-2</v>
      </c>
      <c r="AN80" s="374">
        <f t="shared" si="6"/>
        <v>8.5501718839762764E-2</v>
      </c>
      <c r="AO80" s="567">
        <f t="shared" si="6"/>
        <v>7.9692351740796266E-2</v>
      </c>
      <c r="AP80" s="567">
        <f t="shared" si="6"/>
        <v>8.03675367878567E-2</v>
      </c>
      <c r="AQ80" s="567">
        <f t="shared" si="6"/>
        <v>8.5294161005557687E-2</v>
      </c>
      <c r="AR80" s="167"/>
      <c r="AS80" s="197"/>
      <c r="AT80" s="198"/>
      <c r="AU80" s="199"/>
      <c r="AV80" s="198"/>
      <c r="AW80" s="198"/>
      <c r="AX80" s="198"/>
      <c r="AY80" s="198"/>
      <c r="AZ80" s="198"/>
      <c r="BA80" s="198"/>
      <c r="BB80" s="374">
        <v>0.1238455460392137</v>
      </c>
    </row>
    <row r="81" spans="1:54" outlineLevel="1">
      <c r="A81" s="158"/>
      <c r="B81" s="229"/>
      <c r="C81" s="1534"/>
      <c r="D81" s="1534"/>
      <c r="E81" s="167"/>
      <c r="F81" s="167"/>
      <c r="G81" s="167"/>
      <c r="H81" s="167"/>
      <c r="I81" s="167"/>
      <c r="J81" s="167"/>
      <c r="K81" s="167"/>
      <c r="L81" s="167"/>
      <c r="M81" s="167"/>
      <c r="N81" s="167"/>
      <c r="O81" s="197"/>
      <c r="P81" s="198"/>
      <c r="Q81" s="199"/>
      <c r="R81" s="198"/>
      <c r="S81" s="198"/>
      <c r="T81" s="198"/>
      <c r="U81" s="198"/>
      <c r="V81" s="198"/>
      <c r="W81" s="198"/>
      <c r="X81" s="231"/>
      <c r="Y81" s="229"/>
      <c r="Z81" s="231"/>
      <c r="AA81" s="229"/>
      <c r="AB81" s="231"/>
      <c r="AC81" s="229"/>
      <c r="AD81" s="231"/>
      <c r="AE81" s="229"/>
      <c r="AF81" s="231"/>
      <c r="AG81" s="231"/>
      <c r="AH81" s="231"/>
      <c r="AI81" s="231"/>
      <c r="AJ81" s="231"/>
      <c r="AK81" s="231"/>
      <c r="AL81" s="231"/>
      <c r="AM81" s="231"/>
      <c r="AN81" s="231"/>
      <c r="AO81" s="569"/>
      <c r="AP81" s="569"/>
      <c r="AQ81" s="569"/>
      <c r="AR81" s="167"/>
      <c r="AS81" s="197"/>
      <c r="AT81" s="198"/>
      <c r="AU81" s="199"/>
      <c r="AV81" s="198"/>
      <c r="AW81" s="198"/>
      <c r="AX81" s="198"/>
      <c r="AY81" s="198"/>
      <c r="AZ81" s="198"/>
      <c r="BA81" s="198"/>
      <c r="BB81" s="231"/>
    </row>
    <row r="82" spans="1:54" outlineLevel="1">
      <c r="A82" s="158"/>
      <c r="B82" s="372" t="s">
        <v>43</v>
      </c>
      <c r="C82" s="1534" t="s">
        <v>44</v>
      </c>
      <c r="D82" s="1534"/>
      <c r="E82" s="167"/>
      <c r="F82" s="167"/>
      <c r="G82" s="167"/>
      <c r="H82" s="167"/>
      <c r="I82" s="167"/>
      <c r="J82" s="167"/>
      <c r="K82" s="167"/>
      <c r="L82" s="167"/>
      <c r="M82" s="167"/>
      <c r="N82" s="167"/>
      <c r="O82" s="197"/>
      <c r="P82" s="198"/>
      <c r="Q82" s="199"/>
      <c r="R82" s="198"/>
      <c r="S82" s="198"/>
      <c r="T82" s="198"/>
      <c r="U82" s="198"/>
      <c r="V82" s="198"/>
      <c r="W82" s="198"/>
      <c r="X82" s="379">
        <f>X76/X67</f>
        <v>7.4598138233073694E-2</v>
      </c>
      <c r="Y82" s="229">
        <f t="shared" ref="Y82:AQ82" si="7">Y76/Y67</f>
        <v>7.3647076372482717E-2</v>
      </c>
      <c r="Z82" s="379">
        <f t="shared" si="7"/>
        <v>7.3806063748217798E-2</v>
      </c>
      <c r="AA82" s="229">
        <f t="shared" si="7"/>
        <v>7.4580963562909913E-2</v>
      </c>
      <c r="AB82" s="379">
        <f t="shared" si="7"/>
        <v>7.551210150071351E-2</v>
      </c>
      <c r="AC82" s="229">
        <f t="shared" si="7"/>
        <v>7.4634359854256413E-2</v>
      </c>
      <c r="AD82" s="379">
        <f t="shared" si="7"/>
        <v>7.308599444446455E-2</v>
      </c>
      <c r="AE82" s="229">
        <f t="shared" si="7"/>
        <v>6.9952914562876986E-2</v>
      </c>
      <c r="AF82" s="379">
        <f t="shared" si="7"/>
        <v>6.9519883857227474E-2</v>
      </c>
      <c r="AG82" s="379">
        <f t="shared" si="7"/>
        <v>6.9638446193823658E-2</v>
      </c>
      <c r="AH82" s="379">
        <f t="shared" si="7"/>
        <v>7.0538904425255816E-2</v>
      </c>
      <c r="AI82" s="379">
        <f t="shared" si="7"/>
        <v>6.9716315490430794E-2</v>
      </c>
      <c r="AJ82" s="379">
        <f t="shared" si="7"/>
        <v>6.991765479106804E-2</v>
      </c>
      <c r="AK82" s="379">
        <f t="shared" si="7"/>
        <v>8.3025650340313201E-2</v>
      </c>
      <c r="AL82" s="379">
        <f t="shared" si="7"/>
        <v>9.1105123012729744E-2</v>
      </c>
      <c r="AM82" s="379">
        <f t="shared" si="7"/>
        <v>8.9845949816222376E-2</v>
      </c>
      <c r="AN82" s="379">
        <f t="shared" si="7"/>
        <v>9.4820533023223741E-2</v>
      </c>
      <c r="AO82" s="569">
        <f t="shared" si="7"/>
        <v>8.915288189238714E-2</v>
      </c>
      <c r="AP82" s="569">
        <f t="shared" si="7"/>
        <v>8.9583920226692745E-2</v>
      </c>
      <c r="AQ82" s="569">
        <f t="shared" si="7"/>
        <v>9.4559572646021772E-2</v>
      </c>
      <c r="AR82" s="167"/>
      <c r="AS82" s="197"/>
      <c r="AT82" s="198"/>
      <c r="AU82" s="199"/>
      <c r="AV82" s="198"/>
      <c r="AW82" s="198"/>
      <c r="AX82" s="198"/>
      <c r="AY82" s="198"/>
      <c r="AZ82" s="198"/>
      <c r="BA82" s="198"/>
      <c r="BB82" s="379">
        <v>0.15916878861496353</v>
      </c>
    </row>
    <row r="83" spans="1:54" outlineLevel="1">
      <c r="A83" s="158"/>
      <c r="B83" s="229"/>
      <c r="C83" s="1534"/>
      <c r="D83" s="1534"/>
      <c r="E83" s="167"/>
      <c r="F83" s="167"/>
      <c r="G83" s="167"/>
      <c r="H83" s="167"/>
      <c r="I83" s="167"/>
      <c r="J83" s="167"/>
      <c r="K83" s="167"/>
      <c r="L83" s="167"/>
      <c r="M83" s="167"/>
      <c r="N83" s="167"/>
      <c r="O83" s="197"/>
      <c r="P83" s="198"/>
      <c r="Q83" s="199"/>
      <c r="R83" s="198"/>
      <c r="S83" s="198"/>
      <c r="T83" s="198"/>
      <c r="U83" s="198"/>
      <c r="V83" s="198"/>
      <c r="W83" s="198"/>
      <c r="X83" s="231"/>
      <c r="Y83" s="229"/>
      <c r="Z83" s="231"/>
      <c r="AA83" s="229"/>
      <c r="AB83" s="231"/>
      <c r="AC83" s="229"/>
      <c r="AD83" s="231"/>
      <c r="AE83" s="229"/>
      <c r="AF83" s="231"/>
      <c r="AG83" s="231"/>
      <c r="AH83" s="231"/>
      <c r="AI83" s="231"/>
      <c r="AJ83" s="231"/>
      <c r="AK83" s="231"/>
      <c r="AL83" s="231"/>
      <c r="AM83" s="231"/>
      <c r="AN83" s="231"/>
      <c r="AO83" s="569"/>
      <c r="AP83" s="569"/>
      <c r="AQ83" s="569"/>
      <c r="AR83" s="167"/>
      <c r="AS83" s="197"/>
      <c r="AT83" s="198"/>
      <c r="AU83" s="199"/>
      <c r="AV83" s="198"/>
      <c r="AW83" s="198"/>
      <c r="AX83" s="198"/>
      <c r="AY83" s="198"/>
      <c r="AZ83" s="198"/>
      <c r="BA83" s="198"/>
      <c r="BB83" s="231"/>
    </row>
    <row r="84" spans="1:54" outlineLevel="1">
      <c r="A84" s="158"/>
      <c r="B84" s="372" t="s">
        <v>45</v>
      </c>
      <c r="C84" s="1534" t="s">
        <v>46</v>
      </c>
      <c r="D84" s="1534"/>
      <c r="E84" s="167"/>
      <c r="F84" s="167"/>
      <c r="G84" s="167"/>
      <c r="H84" s="167"/>
      <c r="I84" s="167"/>
      <c r="J84" s="167"/>
      <c r="K84" s="167"/>
      <c r="L84" s="167"/>
      <c r="M84" s="167"/>
      <c r="N84" s="167"/>
      <c r="O84" s="197"/>
      <c r="P84" s="198"/>
      <c r="Q84" s="199"/>
      <c r="R84" s="198"/>
      <c r="S84" s="198"/>
      <c r="T84" s="198"/>
      <c r="U84" s="198"/>
      <c r="V84" s="198"/>
      <c r="W84" s="198"/>
      <c r="X84" s="379">
        <f>X76/X65</f>
        <v>9.004448100312093E-2</v>
      </c>
      <c r="Y84" s="229">
        <f t="shared" ref="Y84:AQ84" si="8">Y76/Y65</f>
        <v>8.9346305579573321E-2</v>
      </c>
      <c r="Z84" s="379">
        <f t="shared" si="8"/>
        <v>8.966752965561213E-2</v>
      </c>
      <c r="AA84" s="229">
        <f t="shared" si="8"/>
        <v>9.0594234535837856E-2</v>
      </c>
      <c r="AB84" s="379">
        <f t="shared" si="8"/>
        <v>9.1786659922989122E-2</v>
      </c>
      <c r="AC84" s="229">
        <f t="shared" si="8"/>
        <v>9.0497451773164511E-2</v>
      </c>
      <c r="AD84" s="379">
        <f t="shared" si="8"/>
        <v>8.8787004589189589E-2</v>
      </c>
      <c r="AE84" s="229">
        <f t="shared" si="8"/>
        <v>8.5141536197239465E-2</v>
      </c>
      <c r="AF84" s="379">
        <f t="shared" si="8"/>
        <v>8.5442483089862895E-2</v>
      </c>
      <c r="AG84" s="379">
        <f t="shared" si="8"/>
        <v>8.6021677426536061E-2</v>
      </c>
      <c r="AH84" s="379">
        <f t="shared" si="8"/>
        <v>8.7711661653327042E-2</v>
      </c>
      <c r="AI84" s="379">
        <f t="shared" si="8"/>
        <v>8.6796522250020269E-2</v>
      </c>
      <c r="AJ84" s="379">
        <f t="shared" si="8"/>
        <v>8.7046624065471354E-2</v>
      </c>
      <c r="AK84" s="379">
        <f t="shared" si="8"/>
        <v>0.10365017943203823</v>
      </c>
      <c r="AL84" s="379">
        <f t="shared" si="8"/>
        <v>0.11426334769578181</v>
      </c>
      <c r="AM84" s="379">
        <f t="shared" si="8"/>
        <v>0.11320941003896894</v>
      </c>
      <c r="AN84" s="379">
        <f t="shared" si="8"/>
        <v>0.11928776879335323</v>
      </c>
      <c r="AO84" s="569">
        <f t="shared" si="8"/>
        <v>0.11233730488787202</v>
      </c>
      <c r="AP84" s="569">
        <f t="shared" si="8"/>
        <v>0.11357428469104411</v>
      </c>
      <c r="AQ84" s="569">
        <f t="shared" si="8"/>
        <v>0.12186203254107877</v>
      </c>
      <c r="AR84" s="167"/>
      <c r="AS84" s="197"/>
      <c r="AT84" s="198"/>
      <c r="AU84" s="199"/>
      <c r="AV84" s="198"/>
      <c r="AW84" s="198"/>
      <c r="AX84" s="198"/>
      <c r="AY84" s="198"/>
      <c r="AZ84" s="198"/>
      <c r="BA84" s="198"/>
      <c r="BB84" s="379">
        <v>0.18123380677323689</v>
      </c>
    </row>
    <row r="85" spans="1:54" outlineLevel="1">
      <c r="A85" s="158"/>
      <c r="B85" s="238"/>
      <c r="C85" s="238"/>
      <c r="D85" s="238"/>
      <c r="E85" s="562"/>
      <c r="F85" s="562"/>
      <c r="G85" s="562"/>
      <c r="H85" s="562"/>
      <c r="I85" s="562"/>
      <c r="J85" s="562"/>
      <c r="K85" s="562"/>
      <c r="L85" s="562"/>
      <c r="M85" s="562"/>
      <c r="N85" s="562"/>
      <c r="O85" s="561"/>
      <c r="P85" s="194"/>
      <c r="Q85" s="194"/>
      <c r="R85" s="194"/>
      <c r="S85" s="194"/>
      <c r="T85" s="194"/>
      <c r="U85" s="194"/>
      <c r="V85" s="194"/>
      <c r="W85" s="194"/>
      <c r="X85" s="230"/>
      <c r="Y85" s="230"/>
      <c r="Z85" s="230"/>
      <c r="AA85" s="230"/>
      <c r="AB85" s="230"/>
      <c r="AC85" s="230"/>
      <c r="AD85" s="230"/>
      <c r="AE85" s="230"/>
      <c r="AF85" s="230"/>
      <c r="AG85" s="230"/>
      <c r="AH85" s="230"/>
      <c r="AI85" s="230"/>
      <c r="AJ85" s="230"/>
      <c r="AK85" s="230"/>
      <c r="AL85" s="230"/>
      <c r="AM85" s="230"/>
      <c r="AN85" s="230"/>
      <c r="AO85" s="230"/>
      <c r="AP85" s="230"/>
      <c r="AQ85" s="230"/>
    </row>
    <row r="86" spans="1:54" outlineLevel="1">
      <c r="A86" s="158"/>
      <c r="B86" s="1534"/>
      <c r="C86" s="1534"/>
      <c r="D86" s="1534"/>
      <c r="E86" s="167"/>
      <c r="F86" s="167"/>
      <c r="G86" s="167"/>
      <c r="H86" s="167"/>
      <c r="I86" s="167"/>
      <c r="J86" s="167"/>
      <c r="K86" s="167"/>
      <c r="L86" s="167"/>
      <c r="M86" s="167"/>
      <c r="N86" s="167"/>
      <c r="O86" s="197"/>
      <c r="P86" s="198"/>
      <c r="Q86" s="199"/>
      <c r="R86" s="198"/>
      <c r="S86" s="198"/>
      <c r="T86" s="198"/>
      <c r="U86" s="198"/>
      <c r="V86" s="198"/>
      <c r="W86" s="198"/>
      <c r="X86" s="229"/>
      <c r="Y86" s="229"/>
      <c r="Z86" s="229"/>
      <c r="AA86" s="229"/>
      <c r="AB86" s="229"/>
      <c r="AC86" s="229"/>
      <c r="AD86" s="229"/>
      <c r="AE86" s="229"/>
      <c r="AF86" s="229"/>
      <c r="AG86" s="229"/>
      <c r="AH86" s="229"/>
      <c r="AI86" s="229"/>
      <c r="AJ86" s="229"/>
      <c r="AK86" s="229"/>
      <c r="AL86" s="229"/>
      <c r="AM86" s="229"/>
      <c r="AN86" s="229"/>
      <c r="AO86" s="229"/>
      <c r="AP86" s="229"/>
      <c r="AQ86" s="229"/>
    </row>
    <row r="87" spans="1:54" ht="15" customHeight="1" outlineLevel="1">
      <c r="A87" s="158"/>
      <c r="B87" s="1955" t="s">
        <v>47</v>
      </c>
      <c r="C87" s="1955"/>
      <c r="D87" s="1955"/>
      <c r="E87" s="1955"/>
      <c r="F87" s="1955"/>
      <c r="G87" s="1955"/>
      <c r="H87" s="1955"/>
      <c r="I87" s="1955"/>
      <c r="J87" s="1955"/>
      <c r="K87" s="1955"/>
      <c r="L87" s="1955"/>
      <c r="M87" s="1955"/>
      <c r="N87" s="1955"/>
      <c r="O87" s="1955"/>
      <c r="P87" s="1955"/>
      <c r="Q87" s="1955"/>
      <c r="R87" s="1955"/>
      <c r="S87" s="1955"/>
      <c r="T87" s="1955"/>
      <c r="U87" s="1955"/>
      <c r="V87" s="1955"/>
      <c r="W87" s="1955"/>
      <c r="X87" s="1955"/>
      <c r="Y87" s="1955"/>
      <c r="Z87" s="1955"/>
      <c r="AA87" s="1955"/>
      <c r="AB87" s="1955"/>
      <c r="AC87" s="1955"/>
      <c r="AD87" s="1955"/>
      <c r="AE87" s="1955"/>
      <c r="AF87" s="1955"/>
      <c r="AG87" s="838"/>
      <c r="AH87" s="838"/>
      <c r="AI87" s="838"/>
      <c r="AJ87" s="838"/>
      <c r="AK87" s="1534"/>
      <c r="AL87" s="1534"/>
    </row>
    <row r="88" spans="1:54">
      <c r="A88" s="158"/>
      <c r="B88" s="158"/>
      <c r="C88" s="158"/>
      <c r="D88" s="158"/>
      <c r="E88" s="158"/>
      <c r="F88" s="158"/>
      <c r="G88" s="158"/>
      <c r="H88" s="158"/>
      <c r="I88" s="158"/>
      <c r="J88" s="158"/>
      <c r="K88" s="158"/>
      <c r="L88" s="158"/>
      <c r="M88" s="158"/>
      <c r="N88" s="158"/>
      <c r="O88" s="158"/>
      <c r="P88" s="158"/>
      <c r="Q88" s="158"/>
      <c r="R88" s="158"/>
      <c r="S88" s="158"/>
      <c r="T88" s="283"/>
      <c r="U88" s="283"/>
      <c r="V88" s="283"/>
      <c r="W88" s="283"/>
      <c r="X88" s="285"/>
      <c r="Y88" s="285"/>
      <c r="Z88" s="285"/>
      <c r="AA88" s="285"/>
      <c r="AB88" s="285"/>
      <c r="AC88" s="283"/>
      <c r="AD88" s="158"/>
      <c r="AE88" s="1559"/>
      <c r="AF88" s="1559"/>
      <c r="AG88" s="1559"/>
      <c r="AH88" s="1559"/>
      <c r="AI88" s="1559"/>
      <c r="AJ88" s="1559"/>
      <c r="AK88" s="1559"/>
    </row>
    <row r="89" spans="1:54">
      <c r="A89" s="158"/>
      <c r="B89" s="158"/>
      <c r="C89" s="158"/>
      <c r="D89" s="158"/>
      <c r="E89" s="158"/>
      <c r="F89" s="158"/>
      <c r="G89" s="158"/>
      <c r="H89" s="158"/>
      <c r="I89" s="158"/>
      <c r="J89" s="158"/>
      <c r="K89" s="158"/>
      <c r="L89" s="158"/>
      <c r="M89" s="158"/>
      <c r="N89" s="158"/>
      <c r="O89" s="158"/>
      <c r="P89" s="158"/>
      <c r="Q89" s="158"/>
      <c r="R89" s="158"/>
      <c r="S89" s="158"/>
      <c r="T89" s="283"/>
      <c r="U89" s="283"/>
      <c r="V89" s="283"/>
      <c r="W89" s="283"/>
      <c r="X89" s="285"/>
      <c r="Y89" s="285"/>
      <c r="Z89" s="285"/>
      <c r="AA89" s="285"/>
      <c r="AB89" s="285"/>
      <c r="AC89" s="283"/>
      <c r="AD89" s="158"/>
      <c r="AE89" s="1559"/>
      <c r="AF89" s="1559"/>
      <c r="AG89" s="1559"/>
      <c r="AH89" s="1559"/>
      <c r="AI89" s="1559"/>
      <c r="AJ89" s="1559"/>
      <c r="AK89" s="1559"/>
    </row>
    <row r="90" spans="1:54">
      <c r="A90" s="158"/>
      <c r="B90" s="286" t="s">
        <v>571</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3"/>
      <c r="AD90" s="158"/>
      <c r="AE90" s="1559"/>
      <c r="AF90" s="1559"/>
      <c r="AG90" s="1559"/>
      <c r="AH90" s="1559"/>
      <c r="AI90" s="1559"/>
      <c r="AJ90" s="1559"/>
      <c r="AK90" s="1559"/>
    </row>
    <row r="91" spans="1:54">
      <c r="A91" s="158"/>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6"/>
      <c r="AF91" s="283"/>
      <c r="AG91" s="158"/>
      <c r="AH91" s="1559"/>
      <c r="AI91" s="1559"/>
      <c r="AJ91" s="1559"/>
      <c r="AK91" s="1559"/>
      <c r="AL91" s="1559"/>
      <c r="AM91" s="1559"/>
      <c r="AN91" s="1559"/>
    </row>
    <row r="92" spans="1:54">
      <c r="A92" s="158"/>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211"/>
      <c r="Z92" s="211">
        <v>2003</v>
      </c>
      <c r="AA92" s="211"/>
      <c r="AB92" s="211">
        <v>2005</v>
      </c>
      <c r="AC92" s="211"/>
      <c r="AD92" s="211">
        <v>2007</v>
      </c>
      <c r="AE92" s="211"/>
      <c r="AF92" s="211">
        <v>2009</v>
      </c>
      <c r="AG92" s="1121">
        <v>2010</v>
      </c>
      <c r="AH92" s="1121">
        <v>2011</v>
      </c>
      <c r="AI92" s="1121">
        <v>2012</v>
      </c>
      <c r="AJ92" s="1121">
        <v>2013</v>
      </c>
      <c r="AK92" s="1121">
        <v>2014</v>
      </c>
      <c r="AL92" s="1121">
        <v>2015</v>
      </c>
      <c r="AM92" s="1121">
        <v>2016</v>
      </c>
      <c r="AN92" s="1121">
        <v>2017</v>
      </c>
      <c r="AO92" s="1121">
        <v>2018</v>
      </c>
      <c r="AP92" s="1121">
        <v>2019</v>
      </c>
      <c r="AQ92" s="1121">
        <v>2020</v>
      </c>
    </row>
    <row r="93" spans="1:54">
      <c r="A93" s="158"/>
      <c r="B93" s="158"/>
      <c r="C93" s="158"/>
      <c r="D93" s="158"/>
      <c r="E93" s="158"/>
      <c r="F93" s="158"/>
      <c r="G93" s="158"/>
      <c r="H93" s="158"/>
      <c r="I93" s="158"/>
      <c r="J93" s="158"/>
      <c r="K93" s="158"/>
      <c r="L93" s="158"/>
      <c r="M93" s="158"/>
      <c r="N93" s="158"/>
      <c r="O93" s="158"/>
      <c r="P93" s="158"/>
      <c r="Q93" s="158"/>
      <c r="R93" s="282"/>
      <c r="S93" s="282"/>
      <c r="T93" s="282"/>
      <c r="U93" s="282"/>
      <c r="V93" s="282"/>
      <c r="W93" s="282"/>
      <c r="X93" s="278"/>
      <c r="Y93" s="278"/>
      <c r="Z93" s="278"/>
      <c r="AA93" s="278"/>
      <c r="AB93" s="278"/>
      <c r="AC93" s="278"/>
      <c r="AD93" s="278"/>
      <c r="AE93" s="278"/>
      <c r="AF93" s="278"/>
      <c r="AG93" s="283"/>
      <c r="AH93" s="158"/>
      <c r="AI93" s="1559"/>
      <c r="AJ93" s="1559"/>
      <c r="AK93" s="1559"/>
      <c r="AL93" s="1559"/>
      <c r="AM93" s="1559"/>
      <c r="AN93" s="1559"/>
      <c r="AO93" s="1559"/>
      <c r="AP93" s="1559"/>
      <c r="AQ93" s="1559"/>
    </row>
    <row r="94" spans="1:54">
      <c r="A94" s="1556"/>
      <c r="B94" s="294" t="s">
        <v>572</v>
      </c>
      <c r="C94" s="158"/>
      <c r="D94" s="158"/>
      <c r="E94" s="158"/>
      <c r="F94" s="158"/>
      <c r="G94" s="158"/>
      <c r="H94" s="158"/>
      <c r="I94" s="158"/>
      <c r="J94" s="158"/>
      <c r="K94" s="158"/>
      <c r="L94" s="158"/>
      <c r="M94" s="158"/>
      <c r="N94" s="158"/>
      <c r="O94" s="158"/>
      <c r="P94" s="158"/>
      <c r="Q94" s="158"/>
      <c r="R94" s="158"/>
      <c r="S94" s="158"/>
      <c r="T94" s="641">
        <f>SUM(T97:T99)</f>
        <v>2300000</v>
      </c>
      <c r="U94" s="641">
        <f t="shared" ref="U94:Y94" si="9">SUM(U97:U99)</f>
        <v>0</v>
      </c>
      <c r="V94" s="641">
        <f t="shared" si="9"/>
        <v>3100000</v>
      </c>
      <c r="W94" s="641">
        <f t="shared" si="9"/>
        <v>0</v>
      </c>
      <c r="X94" s="641">
        <f t="shared" si="9"/>
        <v>2800000</v>
      </c>
      <c r="Y94" s="641">
        <f t="shared" si="9"/>
        <v>0</v>
      </c>
      <c r="Z94" s="641">
        <f>SUM(Z97:Z100)</f>
        <v>2720000</v>
      </c>
      <c r="AA94" s="641">
        <f t="shared" ref="AA94:AP94" si="10">SUM(AA97:AA100)</f>
        <v>0</v>
      </c>
      <c r="AB94" s="641">
        <f t="shared" si="10"/>
        <v>2600000</v>
      </c>
      <c r="AC94" s="641">
        <f t="shared" si="10"/>
        <v>0</v>
      </c>
      <c r="AD94" s="641">
        <f t="shared" si="10"/>
        <v>2700000</v>
      </c>
      <c r="AE94" s="641">
        <f t="shared" si="10"/>
        <v>0</v>
      </c>
      <c r="AF94" s="641">
        <f t="shared" si="10"/>
        <v>2700000</v>
      </c>
      <c r="AG94" s="641" t="s">
        <v>237</v>
      </c>
      <c r="AH94" s="641">
        <f t="shared" si="10"/>
        <v>1800000</v>
      </c>
      <c r="AI94" s="641">
        <f t="shared" si="10"/>
        <v>1300000</v>
      </c>
      <c r="AJ94" s="641">
        <f t="shared" si="10"/>
        <v>1300000</v>
      </c>
      <c r="AK94" s="641">
        <f t="shared" si="10"/>
        <v>1300000</v>
      </c>
      <c r="AL94" s="641">
        <f t="shared" si="10"/>
        <v>1300000</v>
      </c>
      <c r="AM94" s="641">
        <f t="shared" si="10"/>
        <v>1300000</v>
      </c>
      <c r="AN94" s="641">
        <f t="shared" si="10"/>
        <v>1300000</v>
      </c>
      <c r="AO94" s="641">
        <f t="shared" si="10"/>
        <v>1300000</v>
      </c>
      <c r="AP94" s="641">
        <f t="shared" si="10"/>
        <v>1300000</v>
      </c>
    </row>
    <row r="95" spans="1:54">
      <c r="A95" s="1556"/>
      <c r="B95" s="294"/>
      <c r="C95" s="158"/>
      <c r="D95" s="158"/>
      <c r="E95" s="158"/>
      <c r="F95" s="158"/>
      <c r="G95" s="158"/>
      <c r="H95" s="158"/>
      <c r="I95" s="158"/>
      <c r="J95" s="158"/>
      <c r="K95" s="158"/>
      <c r="L95" s="158"/>
      <c r="M95" s="158"/>
      <c r="N95" s="158"/>
      <c r="O95" s="158"/>
      <c r="P95" s="158"/>
      <c r="Q95" s="158"/>
      <c r="R95" s="158"/>
      <c r="S95" s="158"/>
      <c r="T95" s="641"/>
      <c r="U95" s="285"/>
      <c r="V95" s="641"/>
      <c r="W95" s="285"/>
      <c r="X95" s="641"/>
      <c r="Y95" s="641"/>
      <c r="Z95" s="641"/>
      <c r="AA95" s="641"/>
      <c r="AB95" s="641"/>
      <c r="AC95" s="641"/>
      <c r="AD95" s="641"/>
      <c r="AE95" s="641"/>
      <c r="AF95" s="641"/>
      <c r="AG95" s="641"/>
      <c r="AH95" s="641"/>
      <c r="AI95" s="1563"/>
      <c r="AJ95" s="1563"/>
      <c r="AK95" s="1558"/>
      <c r="AL95" s="1558"/>
      <c r="AM95" s="1558"/>
      <c r="AN95" s="1558"/>
      <c r="AO95" s="1558"/>
      <c r="AP95" s="815"/>
    </row>
    <row r="96" spans="1:54">
      <c r="A96" s="1556"/>
      <c r="B96" s="294"/>
      <c r="C96" s="294" t="s">
        <v>50</v>
      </c>
      <c r="D96" s="158"/>
      <c r="E96" s="158"/>
      <c r="F96" s="158"/>
      <c r="G96" s="158"/>
      <c r="H96" s="158"/>
      <c r="I96" s="158"/>
      <c r="J96" s="158"/>
      <c r="K96" s="158"/>
      <c r="L96" s="158"/>
      <c r="M96" s="158"/>
      <c r="N96" s="158"/>
      <c r="O96" s="158"/>
      <c r="P96" s="158"/>
      <c r="Q96" s="158"/>
      <c r="R96" s="158"/>
      <c r="S96" s="158"/>
      <c r="T96" s="641"/>
      <c r="U96" s="285"/>
      <c r="V96" s="641"/>
      <c r="W96" s="285"/>
      <c r="X96" s="641"/>
      <c r="Y96" s="641"/>
      <c r="Z96" s="641"/>
      <c r="AA96" s="641"/>
      <c r="AB96" s="641"/>
      <c r="AC96" s="641"/>
      <c r="AD96" s="641"/>
      <c r="AE96" s="641"/>
      <c r="AF96" s="641"/>
      <c r="AG96" s="641"/>
      <c r="AH96" s="641"/>
      <c r="AI96" s="1563"/>
      <c r="AJ96" s="1563"/>
      <c r="AK96" s="1558"/>
      <c r="AL96" s="1558"/>
      <c r="AM96" s="1558"/>
      <c r="AN96" s="1558"/>
      <c r="AO96" s="1558"/>
      <c r="AP96" s="815"/>
    </row>
    <row r="97" spans="1:44">
      <c r="A97" s="1556"/>
      <c r="B97" s="158"/>
      <c r="C97" s="158" t="s">
        <v>1898</v>
      </c>
      <c r="D97" s="158"/>
      <c r="E97" s="158"/>
      <c r="F97" s="158"/>
      <c r="G97" s="158"/>
      <c r="H97" s="158"/>
      <c r="I97" s="158"/>
      <c r="J97" s="158"/>
      <c r="K97" s="158"/>
      <c r="L97" s="158"/>
      <c r="M97" s="158"/>
      <c r="N97" s="158"/>
      <c r="O97" s="158"/>
      <c r="P97" s="158"/>
      <c r="Q97" s="158"/>
      <c r="R97" s="158"/>
      <c r="S97" s="158"/>
      <c r="T97" s="285">
        <v>2200000</v>
      </c>
      <c r="U97" s="285"/>
      <c r="V97" s="285">
        <v>2300000</v>
      </c>
      <c r="W97" s="285"/>
      <c r="X97" s="285">
        <v>2100000</v>
      </c>
      <c r="Y97" s="285"/>
      <c r="Z97" s="285">
        <v>2370000</v>
      </c>
      <c r="AA97" s="285"/>
      <c r="AB97" s="285">
        <v>2400000</v>
      </c>
      <c r="AC97" s="285"/>
      <c r="AD97" s="285">
        <v>2600000</v>
      </c>
      <c r="AE97" s="285"/>
      <c r="AF97" s="231">
        <v>2500000</v>
      </c>
      <c r="AG97" s="231" t="s">
        <v>237</v>
      </c>
      <c r="AH97" s="1569">
        <v>1600000</v>
      </c>
      <c r="AI97" s="1570">
        <v>1100000</v>
      </c>
      <c r="AJ97" s="1570">
        <v>1100000</v>
      </c>
      <c r="AK97" s="1571">
        <v>1100000</v>
      </c>
      <c r="AL97" s="1571">
        <v>1100000</v>
      </c>
      <c r="AM97" s="1572">
        <v>1100000</v>
      </c>
      <c r="AN97" s="1572">
        <v>1100000</v>
      </c>
      <c r="AO97" s="1572">
        <v>1100000</v>
      </c>
      <c r="AP97" s="1572">
        <v>1100000</v>
      </c>
    </row>
    <row r="98" spans="1:44">
      <c r="A98" s="1556"/>
      <c r="B98" s="158"/>
      <c r="C98" s="294" t="s">
        <v>56</v>
      </c>
      <c r="D98" s="158"/>
      <c r="E98" s="158"/>
      <c r="F98" s="158"/>
      <c r="G98" s="158"/>
      <c r="H98" s="158"/>
      <c r="I98" s="158"/>
      <c r="J98" s="158"/>
      <c r="K98" s="158"/>
      <c r="L98" s="158"/>
      <c r="M98" s="158"/>
      <c r="N98" s="158"/>
      <c r="O98" s="158"/>
      <c r="P98" s="158"/>
      <c r="Q98" s="158"/>
      <c r="R98" s="158"/>
      <c r="S98" s="158"/>
      <c r="T98" s="285"/>
      <c r="U98" s="285"/>
      <c r="V98" s="285"/>
      <c r="W98" s="285"/>
      <c r="X98" s="285"/>
      <c r="Y98" s="285"/>
      <c r="Z98" s="285"/>
      <c r="AA98" s="285"/>
      <c r="AB98" s="285"/>
      <c r="AC98" s="285"/>
      <c r="AD98" s="285"/>
      <c r="AE98" s="285"/>
      <c r="AF98" s="231"/>
      <c r="AG98" s="231"/>
      <c r="AH98" s="1569"/>
      <c r="AI98" s="1570"/>
      <c r="AJ98" s="1570"/>
      <c r="AK98" s="1563"/>
      <c r="AL98" s="1563"/>
      <c r="AM98" s="1573"/>
      <c r="AN98" s="1574"/>
      <c r="AO98" s="1574"/>
      <c r="AP98" s="1575"/>
    </row>
    <row r="99" spans="1:44">
      <c r="A99" s="1556"/>
      <c r="B99" s="158"/>
      <c r="C99" s="158" t="s">
        <v>1899</v>
      </c>
      <c r="D99" s="158"/>
      <c r="E99" s="158"/>
      <c r="F99" s="158"/>
      <c r="G99" s="158"/>
      <c r="H99" s="158"/>
      <c r="I99" s="158"/>
      <c r="J99" s="158"/>
      <c r="K99" s="158"/>
      <c r="L99" s="158"/>
      <c r="M99" s="158"/>
      <c r="N99" s="158"/>
      <c r="O99" s="158"/>
      <c r="P99" s="158"/>
      <c r="Q99" s="158"/>
      <c r="R99" s="158"/>
      <c r="S99" s="158"/>
      <c r="T99" s="285">
        <v>100000</v>
      </c>
      <c r="U99" s="285"/>
      <c r="V99" s="285">
        <v>800000</v>
      </c>
      <c r="W99" s="285"/>
      <c r="X99" s="285">
        <v>700000</v>
      </c>
      <c r="Y99" s="285"/>
      <c r="Z99" s="285">
        <v>140000</v>
      </c>
      <c r="AA99" s="285"/>
      <c r="AB99" s="285">
        <v>100000</v>
      </c>
      <c r="AC99" s="285"/>
      <c r="AD99" s="285">
        <v>100000</v>
      </c>
      <c r="AE99" s="285"/>
      <c r="AF99" s="231">
        <v>200000</v>
      </c>
      <c r="AG99" s="231" t="s">
        <v>237</v>
      </c>
      <c r="AH99" s="1569">
        <v>200000</v>
      </c>
      <c r="AI99" s="1570">
        <v>200000</v>
      </c>
      <c r="AJ99" s="1570">
        <v>200000</v>
      </c>
      <c r="AK99" s="1570">
        <v>200000</v>
      </c>
      <c r="AL99" s="1570">
        <v>200000</v>
      </c>
      <c r="AM99" s="1576">
        <v>200000</v>
      </c>
      <c r="AN99" s="1576">
        <v>200000</v>
      </c>
      <c r="AO99" s="1576">
        <v>200000</v>
      </c>
      <c r="AP99" s="1576">
        <v>200000</v>
      </c>
    </row>
    <row r="100" spans="1:44">
      <c r="A100" s="1556"/>
      <c r="B100" s="158"/>
      <c r="C100" s="158" t="s">
        <v>573</v>
      </c>
      <c r="D100" s="158"/>
      <c r="E100" s="158"/>
      <c r="F100" s="158"/>
      <c r="G100" s="158"/>
      <c r="H100" s="158"/>
      <c r="I100" s="158"/>
      <c r="J100" s="158"/>
      <c r="K100" s="158"/>
      <c r="L100" s="158"/>
      <c r="M100" s="158"/>
      <c r="N100" s="158"/>
      <c r="O100" s="158"/>
      <c r="P100" s="158"/>
      <c r="Q100" s="158"/>
      <c r="R100" s="158"/>
      <c r="S100" s="158"/>
      <c r="T100" s="285"/>
      <c r="U100" s="285"/>
      <c r="V100" s="285"/>
      <c r="W100" s="285"/>
      <c r="X100" s="285" t="s">
        <v>237</v>
      </c>
      <c r="Y100" s="285"/>
      <c r="Z100" s="285">
        <v>210000</v>
      </c>
      <c r="AA100" s="285"/>
      <c r="AB100" s="285">
        <v>100000</v>
      </c>
      <c r="AC100" s="285"/>
      <c r="AD100" s="285" t="s">
        <v>269</v>
      </c>
      <c r="AE100" s="285"/>
      <c r="AF100" s="1577" t="s">
        <v>269</v>
      </c>
      <c r="AG100" s="285" t="s">
        <v>237</v>
      </c>
      <c r="AH100" s="1577" t="s">
        <v>269</v>
      </c>
      <c r="AI100" s="1577" t="s">
        <v>269</v>
      </c>
      <c r="AJ100" s="1577" t="s">
        <v>269</v>
      </c>
      <c r="AK100" s="1577" t="s">
        <v>269</v>
      </c>
      <c r="AL100" s="1577" t="s">
        <v>269</v>
      </c>
      <c r="AM100" s="1574"/>
      <c r="AN100" s="1574"/>
      <c r="AO100" s="1575"/>
      <c r="AP100" s="1575"/>
      <c r="AR100" s="158" t="s">
        <v>574</v>
      </c>
    </row>
    <row r="101" spans="1:44">
      <c r="A101" s="1556"/>
      <c r="B101" s="158"/>
      <c r="C101" s="158" t="s">
        <v>575</v>
      </c>
      <c r="D101" s="158"/>
      <c r="E101" s="158"/>
      <c r="F101" s="158"/>
      <c r="G101" s="158"/>
      <c r="H101" s="158"/>
      <c r="I101" s="158"/>
      <c r="J101" s="158"/>
      <c r="K101" s="158"/>
      <c r="L101" s="158"/>
      <c r="M101" s="158"/>
      <c r="N101" s="158"/>
      <c r="O101" s="158"/>
      <c r="P101" s="158"/>
      <c r="Q101" s="158"/>
      <c r="R101" s="158"/>
      <c r="S101" s="158"/>
      <c r="T101" s="285"/>
      <c r="U101" s="285"/>
      <c r="V101" s="285"/>
      <c r="W101" s="285"/>
      <c r="X101" s="285" t="s">
        <v>237</v>
      </c>
      <c r="Y101" s="285"/>
      <c r="Z101" s="285" t="s">
        <v>237</v>
      </c>
      <c r="AA101" s="285"/>
      <c r="AB101" s="285" t="s">
        <v>237</v>
      </c>
      <c r="AC101" s="285"/>
      <c r="AD101" s="285" t="s">
        <v>237</v>
      </c>
      <c r="AE101" s="285"/>
      <c r="AF101" s="1577" t="s">
        <v>237</v>
      </c>
      <c r="AG101" s="285" t="s">
        <v>237</v>
      </c>
      <c r="AH101" s="1577" t="s">
        <v>237</v>
      </c>
      <c r="AI101" s="1577" t="s">
        <v>237</v>
      </c>
      <c r="AJ101" s="1577" t="s">
        <v>237</v>
      </c>
      <c r="AK101" s="1577" t="s">
        <v>237</v>
      </c>
      <c r="AL101" s="1577" t="s">
        <v>237</v>
      </c>
      <c r="AM101" s="1574"/>
      <c r="AN101" s="1574"/>
      <c r="AO101" s="1574"/>
      <c r="AP101" s="1575"/>
    </row>
    <row r="102" spans="1:44">
      <c r="A102" s="1556"/>
      <c r="B102" s="158"/>
      <c r="C102" s="158" t="s">
        <v>576</v>
      </c>
      <c r="D102" s="158"/>
      <c r="E102" s="158"/>
      <c r="F102" s="158"/>
      <c r="G102" s="158"/>
      <c r="H102" s="158"/>
      <c r="I102" s="158"/>
      <c r="J102" s="158"/>
      <c r="K102" s="158"/>
      <c r="L102" s="158"/>
      <c r="M102" s="158"/>
      <c r="N102" s="158"/>
      <c r="O102" s="158"/>
      <c r="P102" s="158"/>
      <c r="Q102" s="158"/>
      <c r="R102" s="158"/>
      <c r="S102" s="158"/>
      <c r="T102" s="285"/>
      <c r="U102" s="285"/>
      <c r="V102" s="285"/>
      <c r="W102" s="285"/>
      <c r="X102" s="285" t="s">
        <v>237</v>
      </c>
      <c r="Y102" s="285"/>
      <c r="Z102" s="285" t="s">
        <v>237</v>
      </c>
      <c r="AA102" s="285"/>
      <c r="AB102" s="285" t="s">
        <v>237</v>
      </c>
      <c r="AC102" s="285"/>
      <c r="AD102" s="285" t="s">
        <v>237</v>
      </c>
      <c r="AE102" s="285"/>
      <c r="AF102" s="1577" t="s">
        <v>237</v>
      </c>
      <c r="AG102" s="285" t="s">
        <v>237</v>
      </c>
      <c r="AH102" s="1577" t="s">
        <v>237</v>
      </c>
      <c r="AI102" s="1577" t="s">
        <v>237</v>
      </c>
      <c r="AJ102" s="1577" t="s">
        <v>237</v>
      </c>
      <c r="AK102" s="1577" t="s">
        <v>237</v>
      </c>
      <c r="AL102" s="1577" t="s">
        <v>237</v>
      </c>
      <c r="AM102" s="1574"/>
      <c r="AN102" s="1574"/>
      <c r="AO102" s="1574"/>
      <c r="AP102" s="1575"/>
    </row>
    <row r="103" spans="1:44">
      <c r="A103" s="158"/>
      <c r="B103" s="158"/>
      <c r="C103" s="158"/>
      <c r="D103" s="158"/>
      <c r="E103" s="158"/>
      <c r="F103" s="158"/>
      <c r="G103" s="158"/>
      <c r="H103" s="158"/>
      <c r="I103" s="158"/>
      <c r="J103" s="158"/>
      <c r="K103" s="158"/>
      <c r="L103" s="158"/>
      <c r="M103" s="158"/>
      <c r="N103" s="158"/>
      <c r="O103" s="158"/>
      <c r="P103" s="158"/>
      <c r="Q103" s="158"/>
      <c r="R103" s="158"/>
      <c r="S103" s="158"/>
      <c r="T103" s="276"/>
      <c r="U103" s="276"/>
      <c r="V103" s="276"/>
      <c r="W103" s="276"/>
      <c r="X103" s="276"/>
      <c r="Y103" s="276"/>
      <c r="Z103" s="276"/>
      <c r="AA103" s="276"/>
      <c r="AB103" s="276"/>
      <c r="AC103" s="276"/>
      <c r="AD103" s="276"/>
      <c r="AE103" s="276"/>
      <c r="AF103" s="276"/>
      <c r="AG103" s="276"/>
      <c r="AH103" s="276"/>
      <c r="AI103" s="1563"/>
      <c r="AJ103" s="1563"/>
      <c r="AK103" s="1563"/>
      <c r="AL103" s="1563"/>
      <c r="AM103" s="1574"/>
      <c r="AN103" s="1574"/>
      <c r="AO103" s="1574"/>
      <c r="AP103" s="1575"/>
    </row>
    <row r="104" spans="1:44">
      <c r="A104" s="1556"/>
      <c r="B104" s="217" t="s">
        <v>78</v>
      </c>
      <c r="C104" s="1556"/>
      <c r="D104" s="1556"/>
      <c r="E104" s="1556"/>
      <c r="F104" s="1556"/>
      <c r="G104" s="1556"/>
      <c r="H104" s="1556"/>
      <c r="I104" s="1556"/>
      <c r="J104" s="1556"/>
      <c r="K104" s="1556"/>
      <c r="L104" s="1556"/>
      <c r="M104" s="1556"/>
      <c r="N104" s="1556"/>
      <c r="O104" s="1556"/>
      <c r="P104" s="1556"/>
      <c r="Q104" s="1556"/>
      <c r="R104" s="1556"/>
      <c r="S104" s="1556"/>
      <c r="T104" s="641"/>
      <c r="U104" s="641"/>
      <c r="V104" s="641"/>
      <c r="W104" s="641">
        <v>0</v>
      </c>
      <c r="X104" s="641">
        <v>110000</v>
      </c>
      <c r="Y104" s="641"/>
      <c r="Z104" s="641">
        <v>132000</v>
      </c>
      <c r="AA104" s="641"/>
      <c r="AB104" s="641">
        <v>129000</v>
      </c>
      <c r="AC104" s="641"/>
      <c r="AD104" s="641">
        <v>136000</v>
      </c>
      <c r="AE104" s="641"/>
      <c r="AF104" s="641">
        <v>131000</v>
      </c>
      <c r="AG104" s="641" t="s">
        <v>237</v>
      </c>
      <c r="AH104" s="641">
        <v>144500</v>
      </c>
      <c r="AI104" s="1578">
        <v>148000</v>
      </c>
      <c r="AJ104" s="1578">
        <v>144000</v>
      </c>
      <c r="AK104" s="1579">
        <v>134000</v>
      </c>
      <c r="AL104" s="1579">
        <v>138000</v>
      </c>
      <c r="AM104" s="1580">
        <v>138000</v>
      </c>
      <c r="AN104" s="1580">
        <v>137700</v>
      </c>
      <c r="AO104" s="1580">
        <v>137600</v>
      </c>
      <c r="AP104" s="1580">
        <v>126600</v>
      </c>
    </row>
    <row r="105" spans="1:44">
      <c r="A105" s="1556"/>
      <c r="B105" s="311"/>
      <c r="C105" s="1559" t="s">
        <v>1900</v>
      </c>
      <c r="D105" s="1556"/>
      <c r="E105" s="1556"/>
      <c r="F105" s="1556"/>
      <c r="G105" s="1556"/>
      <c r="H105" s="1556"/>
      <c r="I105" s="1556"/>
      <c r="J105" s="1556"/>
      <c r="K105" s="1556"/>
      <c r="L105" s="1556"/>
      <c r="M105" s="1556"/>
      <c r="N105" s="1556"/>
      <c r="O105" s="1556"/>
      <c r="P105" s="1556"/>
      <c r="Q105" s="1556"/>
      <c r="R105" s="1556"/>
      <c r="S105" s="1556"/>
      <c r="T105" s="285"/>
      <c r="U105" s="285"/>
      <c r="V105" s="285"/>
      <c r="W105" s="285"/>
      <c r="X105" s="285">
        <v>28000</v>
      </c>
      <c r="Y105" s="285"/>
      <c r="Z105" s="285">
        <v>25000</v>
      </c>
      <c r="AA105" s="285"/>
      <c r="AB105" s="285">
        <v>25000</v>
      </c>
      <c r="AC105" s="285"/>
      <c r="AD105" s="285">
        <v>31000</v>
      </c>
      <c r="AE105" s="285"/>
      <c r="AF105" s="231">
        <v>35000</v>
      </c>
      <c r="AG105" s="231" t="s">
        <v>237</v>
      </c>
      <c r="AH105" s="231">
        <v>34500</v>
      </c>
      <c r="AI105" s="1570">
        <v>38000</v>
      </c>
      <c r="AJ105" s="1570">
        <v>34000</v>
      </c>
      <c r="AK105" s="1571">
        <v>34000</v>
      </c>
      <c r="AL105" s="1571">
        <v>38000</v>
      </c>
      <c r="AM105" s="1572">
        <v>38000</v>
      </c>
      <c r="AN105" s="1572">
        <v>37700</v>
      </c>
      <c r="AO105" s="1572">
        <v>37600</v>
      </c>
      <c r="AP105" s="1572">
        <v>36600</v>
      </c>
    </row>
    <row r="106" spans="1:44">
      <c r="A106" s="1556"/>
      <c r="B106" s="1556"/>
      <c r="C106" s="1559" t="s">
        <v>1901</v>
      </c>
      <c r="D106" s="1556"/>
      <c r="E106" s="1556"/>
      <c r="F106" s="1556"/>
      <c r="G106" s="1556"/>
      <c r="H106" s="1556"/>
      <c r="I106" s="1556"/>
      <c r="J106" s="1556"/>
      <c r="K106" s="1556"/>
      <c r="L106" s="1556"/>
      <c r="M106" s="1556"/>
      <c r="N106" s="1556"/>
      <c r="O106" s="1556"/>
      <c r="P106" s="1556"/>
      <c r="Q106" s="1556"/>
      <c r="R106" s="1556"/>
      <c r="S106" s="1556"/>
      <c r="T106" s="1558"/>
      <c r="U106" s="1558"/>
      <c r="V106" s="1558"/>
      <c r="W106" s="1558"/>
      <c r="X106" s="285">
        <v>82000</v>
      </c>
      <c r="Y106" s="285"/>
      <c r="Z106" s="285">
        <v>107000</v>
      </c>
      <c r="AA106" s="285"/>
      <c r="AB106" s="285">
        <v>104000</v>
      </c>
      <c r="AC106" s="285"/>
      <c r="AD106" s="285">
        <v>105000</v>
      </c>
      <c r="AE106" s="285"/>
      <c r="AF106" s="231">
        <v>96000</v>
      </c>
      <c r="AG106" s="231" t="s">
        <v>237</v>
      </c>
      <c r="AH106" s="231">
        <v>110000</v>
      </c>
      <c r="AI106" s="1570">
        <v>110000</v>
      </c>
      <c r="AJ106" s="1570">
        <v>110000</v>
      </c>
      <c r="AK106" s="1571">
        <v>100000</v>
      </c>
      <c r="AL106" s="1571">
        <v>100000</v>
      </c>
      <c r="AM106" s="1572">
        <v>100000</v>
      </c>
      <c r="AN106" s="1572">
        <v>100000</v>
      </c>
      <c r="AO106" s="1572">
        <v>100000</v>
      </c>
      <c r="AP106" s="1572">
        <v>90000</v>
      </c>
    </row>
    <row r="107" spans="1:44">
      <c r="A107" s="1556"/>
      <c r="B107" s="1556"/>
      <c r="C107" s="1559" t="s">
        <v>577</v>
      </c>
      <c r="D107" s="1556"/>
      <c r="E107" s="1556"/>
      <c r="F107" s="1556"/>
      <c r="G107" s="1556"/>
      <c r="H107" s="1556"/>
      <c r="I107" s="1556"/>
      <c r="J107" s="1556"/>
      <c r="K107" s="1556"/>
      <c r="L107" s="1556"/>
      <c r="M107" s="1556"/>
      <c r="N107" s="1556"/>
      <c r="O107" s="1556"/>
      <c r="P107" s="1556"/>
      <c r="Q107" s="1556"/>
      <c r="R107" s="1556"/>
      <c r="S107" s="1556"/>
      <c r="T107" s="1558"/>
      <c r="U107" s="1558"/>
      <c r="V107" s="1558"/>
      <c r="W107" s="1558"/>
      <c r="X107" s="285" t="s">
        <v>237</v>
      </c>
      <c r="Y107" s="285"/>
      <c r="Z107" s="285" t="s">
        <v>237</v>
      </c>
      <c r="AA107" s="285"/>
      <c r="AB107" s="285" t="s">
        <v>237</v>
      </c>
      <c r="AC107" s="285"/>
      <c r="AD107" s="285" t="s">
        <v>237</v>
      </c>
      <c r="AE107" s="285"/>
      <c r="AF107" s="285" t="s">
        <v>237</v>
      </c>
      <c r="AG107" s="285" t="s">
        <v>237</v>
      </c>
      <c r="AH107" s="285" t="s">
        <v>237</v>
      </c>
      <c r="AI107" s="1577" t="s">
        <v>237</v>
      </c>
      <c r="AJ107" s="1577" t="s">
        <v>237</v>
      </c>
      <c r="AK107" s="1563"/>
      <c r="AL107" s="1563"/>
      <c r="AM107" s="1558"/>
      <c r="AN107" s="1558"/>
      <c r="AO107" s="1558"/>
      <c r="AP107" s="815"/>
    </row>
    <row r="108" spans="1:44">
      <c r="A108" s="1556"/>
      <c r="B108" s="1556"/>
      <c r="C108" s="1556"/>
      <c r="D108" s="1556"/>
      <c r="E108" s="1556"/>
      <c r="F108" s="1556"/>
      <c r="G108" s="1556"/>
      <c r="H108" s="1556"/>
      <c r="I108" s="1556"/>
      <c r="J108" s="1556"/>
      <c r="K108" s="1556"/>
      <c r="L108" s="1556"/>
      <c r="M108" s="1556"/>
      <c r="N108" s="1556"/>
      <c r="O108" s="1556"/>
      <c r="P108" s="1556"/>
      <c r="Q108" s="1556"/>
      <c r="R108" s="1556"/>
      <c r="S108" s="1556"/>
      <c r="T108" s="1558"/>
      <c r="U108" s="1558"/>
      <c r="V108" s="1558"/>
      <c r="W108" s="1558"/>
      <c r="X108" s="1563"/>
      <c r="Y108" s="1563"/>
      <c r="Z108" s="1563"/>
      <c r="AA108" s="1563"/>
      <c r="AB108" s="1563"/>
      <c r="AC108" s="1563"/>
      <c r="AD108" s="1563"/>
      <c r="AE108" s="1563"/>
      <c r="AF108" s="1563"/>
      <c r="AG108" s="1563"/>
      <c r="AH108" s="1563"/>
      <c r="AI108" s="1570"/>
      <c r="AJ108" s="1570"/>
      <c r="AK108" s="1563"/>
      <c r="AL108" s="1563"/>
      <c r="AM108" s="1558"/>
      <c r="AN108" s="1558"/>
      <c r="AO108" s="1558"/>
      <c r="AP108" s="815"/>
    </row>
    <row r="109" spans="1:44" ht="15.75">
      <c r="A109" s="1556"/>
      <c r="B109" s="301" t="s">
        <v>446</v>
      </c>
      <c r="C109" s="1556"/>
      <c r="D109" s="1556"/>
      <c r="E109" s="1556"/>
      <c r="F109" s="1556"/>
      <c r="G109" s="1556"/>
      <c r="H109" s="1556"/>
      <c r="I109" s="1556"/>
      <c r="J109" s="1556"/>
      <c r="K109" s="1556"/>
      <c r="L109" s="1556"/>
      <c r="M109" s="1556"/>
      <c r="N109" s="1556"/>
      <c r="O109" s="1556"/>
      <c r="P109" s="1556"/>
      <c r="Q109" s="1556"/>
      <c r="R109" s="1556"/>
      <c r="S109" s="1556"/>
      <c r="T109" s="1558"/>
      <c r="U109" s="1558"/>
      <c r="V109" s="1558"/>
      <c r="W109" s="1558"/>
      <c r="X109" s="1563"/>
      <c r="Y109" s="1563"/>
      <c r="Z109" s="1563"/>
      <c r="AA109" s="1563"/>
      <c r="AB109" s="1563"/>
      <c r="AC109" s="1563"/>
      <c r="AD109" s="1563"/>
      <c r="AE109" s="1563"/>
      <c r="AF109" s="1563"/>
      <c r="AG109" s="1563"/>
      <c r="AH109" s="1563"/>
      <c r="AI109" s="1570"/>
      <c r="AJ109" s="1570"/>
      <c r="AK109" s="1563"/>
      <c r="AL109" s="1563"/>
      <c r="AM109" s="1558"/>
      <c r="AN109" s="1558"/>
      <c r="AO109" s="1558"/>
      <c r="AP109" s="815"/>
    </row>
    <row r="110" spans="1:44">
      <c r="A110" s="1556"/>
      <c r="B110" s="294" t="s">
        <v>447</v>
      </c>
      <c r="C110" s="158"/>
      <c r="D110" s="158"/>
      <c r="E110" s="158"/>
      <c r="F110" s="158"/>
      <c r="G110" s="158"/>
      <c r="H110" s="158"/>
      <c r="I110" s="1556"/>
      <c r="J110" s="1556"/>
      <c r="K110" s="1556"/>
      <c r="L110" s="1556"/>
      <c r="M110" s="1556"/>
      <c r="N110" s="1556"/>
      <c r="O110" s="1556"/>
      <c r="P110" s="1556"/>
      <c r="Q110" s="1556"/>
      <c r="R110" s="1556"/>
      <c r="S110" s="1556"/>
      <c r="T110" s="641">
        <v>2300000</v>
      </c>
      <c r="U110" s="641"/>
      <c r="V110" s="641">
        <v>3670000</v>
      </c>
      <c r="W110" s="641"/>
      <c r="X110" s="641">
        <v>3620000</v>
      </c>
      <c r="Y110" s="641"/>
      <c r="Z110" s="641">
        <v>3040000</v>
      </c>
      <c r="AA110" s="641"/>
      <c r="AB110" s="641">
        <v>3190000</v>
      </c>
      <c r="AC110" s="641"/>
      <c r="AD110" s="641">
        <v>3640000</v>
      </c>
      <c r="AE110" s="641"/>
      <c r="AF110" s="641">
        <v>2910000</v>
      </c>
      <c r="AG110" s="641" t="s">
        <v>237</v>
      </c>
      <c r="AH110" s="641" t="s">
        <v>237</v>
      </c>
      <c r="AI110" s="1578" t="s">
        <v>237</v>
      </c>
      <c r="AJ110" s="1578" t="s">
        <v>237</v>
      </c>
      <c r="AK110" s="1578" t="s">
        <v>237</v>
      </c>
      <c r="AL110" s="1578" t="s">
        <v>237</v>
      </c>
      <c r="AM110" s="1578" t="s">
        <v>237</v>
      </c>
      <c r="AN110" s="1578" t="s">
        <v>237</v>
      </c>
      <c r="AO110" s="1578" t="s">
        <v>237</v>
      </c>
      <c r="AP110" s="1578" t="s">
        <v>237</v>
      </c>
    </row>
    <row r="111" spans="1:44">
      <c r="A111" s="1556"/>
      <c r="B111" s="158"/>
      <c r="C111" s="158"/>
      <c r="D111" s="158"/>
      <c r="E111" s="158"/>
      <c r="F111" s="158"/>
      <c r="G111" s="158"/>
      <c r="H111" s="158"/>
      <c r="I111" s="1556"/>
      <c r="J111" s="1556"/>
      <c r="K111" s="1556"/>
      <c r="L111" s="1556"/>
      <c r="M111" s="1556"/>
      <c r="N111" s="1556"/>
      <c r="O111" s="1556"/>
      <c r="P111" s="1556"/>
      <c r="Q111" s="1556"/>
      <c r="R111" s="1556"/>
      <c r="S111" s="1556"/>
      <c r="T111" s="1558"/>
      <c r="U111" s="1558"/>
      <c r="V111" s="1558"/>
      <c r="W111" s="1558"/>
      <c r="X111" s="1563"/>
      <c r="Y111" s="1563"/>
      <c r="Z111" s="1563"/>
      <c r="AA111" s="1563"/>
      <c r="AB111" s="1563"/>
      <c r="AC111" s="1563"/>
      <c r="AD111" s="1563"/>
      <c r="AE111" s="1563"/>
      <c r="AF111" s="1563"/>
      <c r="AG111" s="1563"/>
      <c r="AH111" s="1563"/>
      <c r="AI111" s="1570"/>
      <c r="AJ111" s="1570"/>
      <c r="AK111" s="1570"/>
      <c r="AL111" s="1570"/>
      <c r="AM111" s="1570"/>
      <c r="AN111" s="1570"/>
      <c r="AO111" s="1570"/>
      <c r="AP111" s="1570"/>
    </row>
    <row r="112" spans="1:44" s="1584" customFormat="1" ht="55.5" customHeight="1">
      <c r="A112" s="1581"/>
      <c r="B112" s="227"/>
      <c r="C112" s="1990" t="s">
        <v>93</v>
      </c>
      <c r="D112" s="1990"/>
      <c r="E112" s="1990"/>
      <c r="F112" s="1990"/>
      <c r="G112" s="1990"/>
      <c r="H112" s="1990"/>
      <c r="I112" s="1990"/>
      <c r="J112" s="1990"/>
      <c r="K112" s="1990"/>
      <c r="L112" s="1990"/>
      <c r="M112" s="1990"/>
      <c r="N112" s="1990"/>
      <c r="O112" s="1990"/>
      <c r="P112" s="1990"/>
      <c r="Q112" s="1990"/>
      <c r="R112" s="1990"/>
      <c r="S112" s="1581"/>
      <c r="T112" s="1582"/>
      <c r="U112" s="1582"/>
      <c r="V112" s="1582"/>
      <c r="W112" s="1582"/>
      <c r="X112" s="1582" t="s">
        <v>269</v>
      </c>
      <c r="Y112" s="1582"/>
      <c r="Z112" s="1146">
        <v>2580000</v>
      </c>
      <c r="AA112" s="1146"/>
      <c r="AB112" s="1146">
        <v>2890000</v>
      </c>
      <c r="AC112" s="1146"/>
      <c r="AD112" s="1146">
        <v>3330000</v>
      </c>
      <c r="AE112" s="1146"/>
      <c r="AF112" s="814">
        <v>2690000</v>
      </c>
      <c r="AG112" s="814" t="s">
        <v>237</v>
      </c>
      <c r="AH112" s="814" t="s">
        <v>237</v>
      </c>
      <c r="AI112" s="1583" t="s">
        <v>237</v>
      </c>
      <c r="AJ112" s="1583" t="s">
        <v>237</v>
      </c>
      <c r="AK112" s="1583" t="s">
        <v>237</v>
      </c>
      <c r="AL112" s="1583" t="s">
        <v>237</v>
      </c>
      <c r="AM112" s="1583" t="s">
        <v>237</v>
      </c>
      <c r="AN112" s="1583" t="s">
        <v>237</v>
      </c>
      <c r="AO112" s="1583" t="s">
        <v>237</v>
      </c>
      <c r="AP112" s="1583" t="s">
        <v>237</v>
      </c>
    </row>
    <row r="113" spans="1:43">
      <c r="A113" s="1556"/>
      <c r="B113" s="158"/>
      <c r="C113" s="158" t="s">
        <v>94</v>
      </c>
      <c r="D113" s="158"/>
      <c r="E113" s="158"/>
      <c r="F113" s="158"/>
      <c r="G113" s="158"/>
      <c r="H113" s="158"/>
      <c r="I113" s="1556"/>
      <c r="J113" s="1556"/>
      <c r="K113" s="1556"/>
      <c r="L113" s="1556"/>
      <c r="M113" s="1556"/>
      <c r="N113" s="1556"/>
      <c r="O113" s="1556"/>
      <c r="P113" s="1556"/>
      <c r="Q113" s="1556"/>
      <c r="R113" s="1556"/>
      <c r="S113" s="1556"/>
      <c r="T113" s="1558"/>
      <c r="U113" s="1558"/>
      <c r="V113" s="1558"/>
      <c r="W113" s="1558"/>
      <c r="X113" s="1563" t="s">
        <v>269</v>
      </c>
      <c r="Y113" s="1563"/>
      <c r="Z113" s="285">
        <v>460000</v>
      </c>
      <c r="AA113" s="285"/>
      <c r="AB113" s="285">
        <v>300000</v>
      </c>
      <c r="AC113" s="285"/>
      <c r="AD113" s="285">
        <v>310000</v>
      </c>
      <c r="AE113" s="285"/>
      <c r="AF113" s="231">
        <v>220000</v>
      </c>
      <c r="AG113" s="231" t="s">
        <v>237</v>
      </c>
      <c r="AH113" s="231" t="s">
        <v>237</v>
      </c>
      <c r="AI113" s="1569" t="s">
        <v>237</v>
      </c>
      <c r="AJ113" s="1569" t="s">
        <v>237</v>
      </c>
      <c r="AK113" s="1569" t="s">
        <v>237</v>
      </c>
      <c r="AL113" s="1569" t="s">
        <v>237</v>
      </c>
      <c r="AM113" s="1569" t="s">
        <v>237</v>
      </c>
      <c r="AN113" s="1569" t="s">
        <v>237</v>
      </c>
      <c r="AO113" s="1569" t="s">
        <v>237</v>
      </c>
      <c r="AP113" s="1569" t="s">
        <v>237</v>
      </c>
    </row>
    <row r="114" spans="1:43">
      <c r="A114" s="1556"/>
      <c r="B114" s="226"/>
      <c r="C114" s="226"/>
      <c r="D114" s="226"/>
      <c r="E114" s="226"/>
      <c r="F114" s="226"/>
      <c r="G114" s="226"/>
      <c r="H114" s="226"/>
      <c r="I114" s="1585"/>
      <c r="J114" s="1585"/>
      <c r="K114" s="1585"/>
      <c r="L114" s="1585"/>
      <c r="M114" s="1585"/>
      <c r="N114" s="1585"/>
      <c r="O114" s="1585"/>
      <c r="P114" s="1585"/>
      <c r="Q114" s="1585"/>
      <c r="R114" s="1585"/>
      <c r="S114" s="1585"/>
      <c r="T114" s="1585"/>
      <c r="U114" s="1585"/>
      <c r="V114" s="1585"/>
      <c r="W114" s="1585"/>
      <c r="X114" s="1586"/>
      <c r="Y114" s="1586"/>
      <c r="Z114" s="1586"/>
      <c r="AA114" s="1586"/>
      <c r="AB114" s="1586"/>
      <c r="AC114" s="1586"/>
      <c r="AD114" s="1586"/>
      <c r="AE114" s="1586"/>
      <c r="AF114" s="1586"/>
      <c r="AG114" s="1586"/>
      <c r="AH114" s="1586"/>
      <c r="AI114" s="1587"/>
      <c r="AJ114" s="1587"/>
      <c r="AK114" s="1587"/>
      <c r="AL114" s="1587"/>
      <c r="AM114" s="1586"/>
      <c r="AN114" s="1586"/>
      <c r="AO114" s="1586"/>
      <c r="AP114" s="1586"/>
      <c r="AQ114" s="1586"/>
    </row>
    <row r="115" spans="1:43">
      <c r="A115" s="1556"/>
      <c r="B115" s="158"/>
      <c r="C115" s="158"/>
      <c r="D115" s="158"/>
      <c r="E115" s="158"/>
      <c r="F115" s="158"/>
      <c r="G115" s="158"/>
      <c r="H115" s="158"/>
      <c r="I115" s="1556"/>
      <c r="J115" s="1556"/>
      <c r="K115" s="1556"/>
      <c r="L115" s="1556"/>
      <c r="M115" s="1556"/>
      <c r="N115" s="1556"/>
      <c r="O115" s="1556"/>
      <c r="P115" s="1556"/>
      <c r="Q115" s="1556"/>
      <c r="R115" s="1556"/>
      <c r="S115" s="1556"/>
      <c r="T115" s="1556"/>
      <c r="U115" s="1556"/>
      <c r="V115" s="1556"/>
      <c r="W115" s="1556"/>
      <c r="X115" s="1556"/>
      <c r="Y115" s="1556"/>
      <c r="Z115" s="1556"/>
      <c r="AA115" s="1556"/>
      <c r="AB115" s="1556"/>
      <c r="AC115" s="1556"/>
      <c r="AD115" s="1556"/>
      <c r="AE115" s="1556"/>
      <c r="AF115" s="1556"/>
      <c r="AG115" s="1556"/>
      <c r="AH115" s="1556"/>
      <c r="AI115" s="1556"/>
      <c r="AJ115" s="1556"/>
      <c r="AK115" s="1556"/>
      <c r="AL115" s="1556"/>
      <c r="AM115" s="1556"/>
    </row>
    <row r="116" spans="1:43">
      <c r="B116" s="158" t="s">
        <v>578</v>
      </c>
      <c r="C116" s="158"/>
      <c r="D116" s="158"/>
      <c r="E116" s="158"/>
      <c r="F116" s="158"/>
      <c r="G116" s="158"/>
      <c r="H116" s="158"/>
    </row>
    <row r="117" spans="1:43">
      <c r="B117" s="158"/>
      <c r="C117" s="158"/>
      <c r="D117" s="158"/>
      <c r="E117" s="158"/>
      <c r="F117" s="158"/>
      <c r="G117" s="158"/>
      <c r="H117" s="158"/>
    </row>
    <row r="118" spans="1:43">
      <c r="B118" s="1559" t="s">
        <v>579</v>
      </c>
      <c r="C118" s="1556"/>
      <c r="D118" s="1556"/>
      <c r="E118" s="1556"/>
      <c r="F118" s="1556"/>
      <c r="G118" s="1556"/>
      <c r="H118" s="1556"/>
    </row>
  </sheetData>
  <mergeCells count="5">
    <mergeCell ref="B15:AQ15"/>
    <mergeCell ref="B23:C23"/>
    <mergeCell ref="B28:AD28"/>
    <mergeCell ref="B87:AF87"/>
    <mergeCell ref="C112:R112"/>
  </mergeCells>
  <pageMargins left="0.70866141732283472" right="0.70866141732283472" top="0.74803149606299213" bottom="0.74803149606299213" header="0.31496062992125984" footer="0.31496062992125984"/>
  <pageSetup paperSize="9" scale="50" fitToHeight="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T232"/>
  <sheetViews>
    <sheetView topLeftCell="A15" zoomScale="90" zoomScaleNormal="90" workbookViewId="0">
      <selection activeCell="A15" sqref="A1:XFD1048576"/>
    </sheetView>
  </sheetViews>
  <sheetFormatPr defaultColWidth="8.88671875" defaultRowHeight="12.75" outlineLevelRow="1"/>
  <cols>
    <col min="1" max="1" width="2.44140625" style="1588" customWidth="1"/>
    <col min="2" max="2" width="13.77734375" style="1589" customWidth="1"/>
    <col min="3" max="3" width="28" style="1589" customWidth="1"/>
    <col min="4" max="4" width="8.5546875" style="1589" customWidth="1"/>
    <col min="5" max="5" width="11.44140625" style="1589" customWidth="1"/>
    <col min="6" max="17" width="1.109375" style="1589" customWidth="1"/>
    <col min="18" max="18" width="9.6640625" style="1590" hidden="1" customWidth="1"/>
    <col min="19" max="19" width="7.21875" style="1590" hidden="1" customWidth="1"/>
    <col min="20" max="20" width="6.88671875" style="1590" hidden="1" customWidth="1"/>
    <col min="21" max="21" width="7.88671875" style="1590" hidden="1" customWidth="1"/>
    <col min="22" max="22" width="7.33203125" style="1590" hidden="1" customWidth="1"/>
    <col min="23" max="23" width="8" style="1590" hidden="1" customWidth="1"/>
    <col min="24" max="24" width="9.109375" style="1591" hidden="1" customWidth="1"/>
    <col min="25" max="25" width="9.5546875" style="1591" hidden="1" customWidth="1"/>
    <col min="26" max="26" width="9.109375" style="1592" hidden="1" customWidth="1"/>
    <col min="27" max="27" width="9.109375" style="1591" hidden="1" customWidth="1"/>
    <col min="28" max="29" width="11.33203125" style="1591" customWidth="1"/>
    <col min="30" max="32" width="11.33203125" style="1592" customWidth="1"/>
    <col min="33" max="42" width="11.33203125" style="1591" customWidth="1"/>
    <col min="43" max="43" width="11.33203125" style="1589" customWidth="1"/>
    <col min="44" max="44" width="30.109375" style="165" hidden="1" customWidth="1"/>
    <col min="45" max="45" width="29.33203125" style="165" hidden="1" customWidth="1"/>
    <col min="46" max="46" width="13.5546875" style="1589" hidden="1" customWidth="1"/>
    <col min="47" max="16384" width="8.88671875" style="1589"/>
  </cols>
  <sheetData>
    <row r="1" spans="1:45" hidden="1" outlineLevel="1">
      <c r="B1" s="1589" t="s">
        <v>580</v>
      </c>
    </row>
    <row r="2" spans="1:45" ht="19.5" hidden="1" customHeight="1" outlineLevel="1"/>
    <row r="3" spans="1:45" ht="20.25" hidden="1" customHeight="1" outlineLevel="1"/>
    <row r="4" spans="1:45" ht="23.25" hidden="1" customHeight="1" outlineLevel="1">
      <c r="B4" s="1593" t="s">
        <v>581</v>
      </c>
      <c r="C4" s="1593"/>
      <c r="D4" s="1593"/>
      <c r="E4" s="1593"/>
      <c r="F4" s="1594"/>
      <c r="G4" s="1594"/>
      <c r="H4" s="1594"/>
      <c r="I4" s="1594"/>
      <c r="J4" s="1594"/>
      <c r="K4" s="1594"/>
      <c r="L4" s="1594"/>
      <c r="M4" s="1594"/>
      <c r="N4" s="1594"/>
      <c r="O4" s="1594"/>
      <c r="P4" s="1594"/>
      <c r="Q4" s="1594"/>
      <c r="R4" s="1595">
        <v>1995</v>
      </c>
      <c r="S4" s="1595"/>
      <c r="T4" s="1595">
        <v>1997</v>
      </c>
      <c r="U4" s="1595"/>
      <c r="V4" s="1595">
        <v>1999</v>
      </c>
      <c r="W4" s="1595">
        <v>2000</v>
      </c>
      <c r="X4" s="1596">
        <v>2001</v>
      </c>
      <c r="Y4" s="1596">
        <v>2002</v>
      </c>
      <c r="Z4" s="1597">
        <v>2003</v>
      </c>
      <c r="AA4" s="1596">
        <v>2004</v>
      </c>
      <c r="AB4" s="1597">
        <v>2005</v>
      </c>
      <c r="AC4" s="1596">
        <v>2006</v>
      </c>
      <c r="AD4" s="1597">
        <v>2007</v>
      </c>
      <c r="AE4" s="1597">
        <v>2008</v>
      </c>
      <c r="AF4" s="1597">
        <v>2009</v>
      </c>
      <c r="AG4" s="1597">
        <v>2010</v>
      </c>
      <c r="AH4" s="1597">
        <v>2011</v>
      </c>
      <c r="AI4" s="1597">
        <v>2012</v>
      </c>
      <c r="AJ4" s="1597">
        <v>2013</v>
      </c>
      <c r="AK4" s="1597">
        <v>2014</v>
      </c>
      <c r="AL4" s="1597">
        <v>2015</v>
      </c>
      <c r="AM4" s="1597">
        <v>2016</v>
      </c>
      <c r="AN4" s="1597">
        <v>2017</v>
      </c>
      <c r="AO4" s="1597">
        <v>2018</v>
      </c>
      <c r="AP4" s="1597">
        <v>2019</v>
      </c>
      <c r="AQ4" s="1597">
        <v>2020</v>
      </c>
    </row>
    <row r="5" spans="1:45" ht="17.25" hidden="1" customHeight="1" outlineLevel="1">
      <c r="R5" s="1598"/>
      <c r="S5" s="1598"/>
      <c r="T5" s="1598"/>
      <c r="U5" s="1598"/>
      <c r="V5" s="1598"/>
      <c r="W5" s="1598"/>
      <c r="X5" s="1599"/>
      <c r="Y5" s="1599"/>
      <c r="Z5" s="1600"/>
      <c r="AA5" s="1599"/>
      <c r="AB5" s="1600"/>
      <c r="AC5" s="1599"/>
      <c r="AD5" s="1600"/>
      <c r="AE5" s="1600"/>
      <c r="AF5" s="1600"/>
      <c r="AG5" s="1599"/>
    </row>
    <row r="6" spans="1:45" ht="17.25" hidden="1" customHeight="1" outlineLevel="1">
      <c r="B6" s="311" t="s">
        <v>2</v>
      </c>
      <c r="C6" s="311" t="s">
        <v>3</v>
      </c>
      <c r="R6" s="1598">
        <f t="shared" ref="R6:AC6" si="0">R94</f>
        <v>229602.59228565282</v>
      </c>
      <c r="S6" s="1598">
        <f t="shared" si="0"/>
        <v>567682.06252094777</v>
      </c>
      <c r="T6" s="1598">
        <f t="shared" si="0"/>
        <v>626875.94499804405</v>
      </c>
      <c r="U6" s="1598">
        <f t="shared" si="0"/>
        <v>576122.03349479078</v>
      </c>
      <c r="V6" s="1598">
        <f t="shared" si="0"/>
        <v>711842.22212506668</v>
      </c>
      <c r="W6" s="1598">
        <f t="shared" si="0"/>
        <v>1889868.968682192</v>
      </c>
      <c r="X6" s="1599">
        <f>X94</f>
        <v>2335190.6664986894</v>
      </c>
      <c r="Y6" s="1599">
        <f t="shared" si="0"/>
        <v>2445807.8474679161</v>
      </c>
      <c r="Z6" s="1600">
        <f t="shared" si="0"/>
        <v>2866732.7055505523</v>
      </c>
      <c r="AA6" s="1600">
        <f t="shared" si="0"/>
        <v>3159705.7577211368</v>
      </c>
      <c r="AB6" s="1600">
        <f t="shared" si="0"/>
        <v>3933937.7753906059</v>
      </c>
      <c r="AC6" s="1600">
        <f t="shared" si="0"/>
        <v>4383470.1629434889</v>
      </c>
      <c r="AD6" s="1600">
        <f>AD94</f>
        <v>5360548.6592820883</v>
      </c>
      <c r="AE6" s="1600">
        <f>AE94</f>
        <v>6335962.800835209</v>
      </c>
      <c r="AF6" s="1600">
        <f>AF94</f>
        <v>7144132.7873925855</v>
      </c>
      <c r="AG6" s="1600">
        <f t="shared" ref="AG6:AQ6" si="1">AG94</f>
        <v>6602955.3923005834</v>
      </c>
      <c r="AH6" s="1600">
        <f t="shared" si="1"/>
        <v>7236720.6562112821</v>
      </c>
      <c r="AI6" s="1600">
        <f t="shared" si="1"/>
        <v>7862633.2526371926</v>
      </c>
      <c r="AJ6" s="1600">
        <f t="shared" si="1"/>
        <v>8118923.9112453787</v>
      </c>
      <c r="AK6" s="1600">
        <f t="shared" si="1"/>
        <v>7717174.2642191816</v>
      </c>
      <c r="AL6" s="1600">
        <f t="shared" si="1"/>
        <v>8145354.2499718517</v>
      </c>
      <c r="AM6" s="1600">
        <f t="shared" si="1"/>
        <v>11451237.902491985</v>
      </c>
      <c r="AN6" s="1600">
        <f t="shared" si="1"/>
        <v>11924999.101422403</v>
      </c>
      <c r="AO6" s="1600">
        <f t="shared" si="1"/>
        <v>13552307.604349028</v>
      </c>
      <c r="AP6" s="1600">
        <f t="shared" si="1"/>
        <v>14787448.116970496</v>
      </c>
      <c r="AQ6" s="1600">
        <f t="shared" si="1"/>
        <v>15374367.716039618</v>
      </c>
      <c r="AR6" s="1589"/>
      <c r="AS6" s="1589"/>
    </row>
    <row r="7" spans="1:45" ht="25.5" hidden="1" customHeight="1" outlineLevel="1">
      <c r="B7" s="311" t="s">
        <v>4</v>
      </c>
      <c r="C7" s="311" t="s">
        <v>5</v>
      </c>
      <c r="R7" s="1599">
        <f t="shared" ref="R7:W7" si="2">R113</f>
        <v>0</v>
      </c>
      <c r="S7" s="1599">
        <f t="shared" si="2"/>
        <v>0</v>
      </c>
      <c r="T7" s="1599">
        <f t="shared" si="2"/>
        <v>0</v>
      </c>
      <c r="U7" s="1599">
        <f t="shared" si="2"/>
        <v>0</v>
      </c>
      <c r="V7" s="1599">
        <f t="shared" si="2"/>
        <v>0</v>
      </c>
      <c r="W7" s="1599">
        <f t="shared" si="2"/>
        <v>0</v>
      </c>
      <c r="X7" s="1599">
        <f>X113</f>
        <v>0</v>
      </c>
      <c r="Y7" s="1599">
        <f t="shared" ref="Y7:AQ7" si="3">Y113</f>
        <v>0</v>
      </c>
      <c r="Z7" s="1599">
        <f t="shared" si="3"/>
        <v>0</v>
      </c>
      <c r="AA7" s="1599">
        <f t="shared" si="3"/>
        <v>0</v>
      </c>
      <c r="AB7" s="1599">
        <f t="shared" si="3"/>
        <v>0</v>
      </c>
      <c r="AC7" s="1599">
        <f t="shared" si="3"/>
        <v>0</v>
      </c>
      <c r="AD7" s="1599">
        <f>AD113</f>
        <v>0</v>
      </c>
      <c r="AE7" s="1599">
        <f>AE113</f>
        <v>0</v>
      </c>
      <c r="AF7" s="1599">
        <f t="shared" si="3"/>
        <v>0</v>
      </c>
      <c r="AG7" s="1599">
        <f t="shared" si="3"/>
        <v>0</v>
      </c>
      <c r="AH7" s="1599">
        <f t="shared" si="3"/>
        <v>0</v>
      </c>
      <c r="AI7" s="1599">
        <f t="shared" si="3"/>
        <v>0</v>
      </c>
      <c r="AJ7" s="1599">
        <f t="shared" si="3"/>
        <v>0</v>
      </c>
      <c r="AK7" s="1599">
        <f t="shared" si="3"/>
        <v>0</v>
      </c>
      <c r="AL7" s="1599">
        <f t="shared" si="3"/>
        <v>0</v>
      </c>
      <c r="AM7" s="1599">
        <f t="shared" si="3"/>
        <v>0</v>
      </c>
      <c r="AN7" s="1599">
        <f t="shared" si="3"/>
        <v>0</v>
      </c>
      <c r="AO7" s="1599">
        <f t="shared" si="3"/>
        <v>0</v>
      </c>
      <c r="AP7" s="1599">
        <f t="shared" si="3"/>
        <v>0</v>
      </c>
      <c r="AQ7" s="1599">
        <f t="shared" si="3"/>
        <v>0</v>
      </c>
      <c r="AR7" s="1589"/>
      <c r="AS7" s="1589"/>
    </row>
    <row r="8" spans="1:45" ht="15.75" hidden="1" customHeight="1" outlineLevel="1">
      <c r="B8" s="311" t="s">
        <v>6</v>
      </c>
      <c r="C8" s="311"/>
      <c r="R8" s="1598">
        <f t="shared" ref="R8:AQ8" si="4">R7+R6</f>
        <v>229602.59228565282</v>
      </c>
      <c r="S8" s="1598">
        <f t="shared" si="4"/>
        <v>567682.06252094777</v>
      </c>
      <c r="T8" s="1598">
        <f t="shared" si="4"/>
        <v>626875.94499804405</v>
      </c>
      <c r="U8" s="1598">
        <f t="shared" si="4"/>
        <v>576122.03349479078</v>
      </c>
      <c r="V8" s="1598">
        <f t="shared" si="4"/>
        <v>711842.22212506668</v>
      </c>
      <c r="W8" s="1598">
        <f t="shared" si="4"/>
        <v>1889868.968682192</v>
      </c>
      <c r="X8" s="1599">
        <f>X7+X6</f>
        <v>2335190.6664986894</v>
      </c>
      <c r="Y8" s="1599">
        <f t="shared" si="4"/>
        <v>2445807.8474679161</v>
      </c>
      <c r="Z8" s="1600">
        <f t="shared" si="4"/>
        <v>2866732.7055505523</v>
      </c>
      <c r="AA8" s="1600">
        <f t="shared" si="4"/>
        <v>3159705.7577211368</v>
      </c>
      <c r="AB8" s="1601">
        <f t="shared" si="4"/>
        <v>3933937.7753906059</v>
      </c>
      <c r="AC8" s="1601">
        <f>AC7+AC6</f>
        <v>4383470.1629434889</v>
      </c>
      <c r="AD8" s="1601">
        <f>AD7+AD6</f>
        <v>5360548.6592820883</v>
      </c>
      <c r="AE8" s="1601">
        <f>AE7+AE6</f>
        <v>6335962.800835209</v>
      </c>
      <c r="AF8" s="1601">
        <f t="shared" si="4"/>
        <v>7144132.7873925855</v>
      </c>
      <c r="AG8" s="1601">
        <f t="shared" si="4"/>
        <v>6602955.3923005834</v>
      </c>
      <c r="AH8" s="1601">
        <f t="shared" si="4"/>
        <v>7236720.6562112821</v>
      </c>
      <c r="AI8" s="1601">
        <f t="shared" si="4"/>
        <v>7862633.2526371926</v>
      </c>
      <c r="AJ8" s="1601">
        <f t="shared" si="4"/>
        <v>8118923.9112453787</v>
      </c>
      <c r="AK8" s="1601">
        <f t="shared" si="4"/>
        <v>7717174.2642191816</v>
      </c>
      <c r="AL8" s="1601">
        <f t="shared" si="4"/>
        <v>8145354.2499718517</v>
      </c>
      <c r="AM8" s="1601">
        <f t="shared" si="4"/>
        <v>11451237.902491985</v>
      </c>
      <c r="AN8" s="1601">
        <f t="shared" si="4"/>
        <v>11924999.101422403</v>
      </c>
      <c r="AO8" s="1601">
        <f t="shared" si="4"/>
        <v>13552307.604349028</v>
      </c>
      <c r="AP8" s="1601">
        <f t="shared" si="4"/>
        <v>14787448.116970496</v>
      </c>
      <c r="AQ8" s="1601">
        <f t="shared" si="4"/>
        <v>15374367.716039618</v>
      </c>
      <c r="AR8" s="1589"/>
      <c r="AS8" s="1589"/>
    </row>
    <row r="9" spans="1:45" ht="27" hidden="1" customHeight="1" outlineLevel="1">
      <c r="R9" s="1598"/>
      <c r="S9" s="1598"/>
      <c r="T9" s="1598"/>
      <c r="U9" s="1598"/>
      <c r="V9" s="1598"/>
      <c r="W9" s="1598"/>
      <c r="X9" s="1599"/>
      <c r="Y9" s="1599"/>
      <c r="Z9" s="1600"/>
      <c r="AA9" s="1600"/>
      <c r="AB9" s="1600"/>
      <c r="AC9" s="1600"/>
      <c r="AD9" s="1600"/>
      <c r="AE9" s="1600"/>
      <c r="AF9" s="1600"/>
      <c r="AG9" s="1600"/>
      <c r="AH9" s="1600"/>
      <c r="AI9" s="1600"/>
      <c r="AJ9" s="1600"/>
      <c r="AK9" s="1600"/>
      <c r="AL9" s="1600"/>
      <c r="AM9" s="1600"/>
      <c r="AN9" s="1600"/>
      <c r="AO9" s="1600"/>
      <c r="AP9" s="1600"/>
      <c r="AQ9" s="1600"/>
    </row>
    <row r="10" spans="1:45" ht="20.25" hidden="1" customHeight="1" outlineLevel="1">
      <c r="B10" s="1588" t="s">
        <v>110</v>
      </c>
      <c r="R10" s="1598"/>
      <c r="S10" s="1598"/>
      <c r="T10" s="1598"/>
      <c r="U10" s="1598"/>
      <c r="V10" s="1598"/>
      <c r="W10" s="1598"/>
      <c r="X10" s="1599" t="s">
        <v>237</v>
      </c>
      <c r="Y10" s="1599" t="s">
        <v>237</v>
      </c>
      <c r="Z10" s="1599" t="s">
        <v>237</v>
      </c>
      <c r="AA10" s="1599" t="s">
        <v>237</v>
      </c>
      <c r="AB10" s="1599" t="s">
        <v>237</v>
      </c>
      <c r="AC10" s="1599" t="s">
        <v>237</v>
      </c>
      <c r="AD10" s="1599" t="s">
        <v>237</v>
      </c>
      <c r="AE10" s="1599" t="s">
        <v>237</v>
      </c>
      <c r="AF10" s="1599" t="s">
        <v>237</v>
      </c>
      <c r="AG10" s="1599" t="s">
        <v>237</v>
      </c>
      <c r="AH10" s="1599" t="s">
        <v>237</v>
      </c>
      <c r="AI10" s="1599" t="s">
        <v>237</v>
      </c>
      <c r="AJ10" s="1599" t="s">
        <v>237</v>
      </c>
      <c r="AK10" s="1599" t="s">
        <v>237</v>
      </c>
      <c r="AL10" s="1599" t="s">
        <v>237</v>
      </c>
      <c r="AM10" s="1599" t="s">
        <v>237</v>
      </c>
      <c r="AN10" s="1599" t="s">
        <v>237</v>
      </c>
      <c r="AO10" s="1599" t="s">
        <v>237</v>
      </c>
      <c r="AP10" s="1599" t="s">
        <v>237</v>
      </c>
      <c r="AQ10" s="1599" t="s">
        <v>237</v>
      </c>
    </row>
    <row r="11" spans="1:45" ht="18" hidden="1" customHeight="1" outlineLevel="1">
      <c r="B11" s="1588"/>
      <c r="R11" s="1598"/>
      <c r="S11" s="1598"/>
      <c r="T11" s="1598"/>
      <c r="U11" s="1598"/>
      <c r="V11" s="1598"/>
      <c r="W11" s="1598"/>
      <c r="X11" s="1599"/>
      <c r="Y11" s="1599"/>
      <c r="Z11" s="1600"/>
      <c r="AA11" s="1600"/>
      <c r="AB11" s="1600"/>
      <c r="AC11" s="1600"/>
      <c r="AD11" s="1600"/>
      <c r="AE11" s="1600"/>
      <c r="AF11" s="1600"/>
      <c r="AG11" s="1600"/>
      <c r="AH11" s="1600"/>
      <c r="AI11" s="1600"/>
      <c r="AJ11" s="1600"/>
      <c r="AK11" s="1600"/>
      <c r="AL11" s="1600"/>
      <c r="AM11" s="1600"/>
      <c r="AN11" s="1600"/>
      <c r="AO11" s="1600"/>
      <c r="AP11" s="1600"/>
      <c r="AQ11" s="1600"/>
    </row>
    <row r="12" spans="1:45" ht="12.75" hidden="1" customHeight="1" outlineLevel="1">
      <c r="B12" s="165" t="s">
        <v>8</v>
      </c>
      <c r="R12" s="1602">
        <f t="shared" ref="R12:AQ12" si="5">R128</f>
        <v>0</v>
      </c>
      <c r="S12" s="1602">
        <f t="shared" si="5"/>
        <v>0</v>
      </c>
      <c r="T12" s="1602">
        <f t="shared" si="5"/>
        <v>0</v>
      </c>
      <c r="U12" s="1602">
        <f t="shared" si="5"/>
        <v>0</v>
      </c>
      <c r="V12" s="1602">
        <f t="shared" si="5"/>
        <v>0</v>
      </c>
      <c r="W12" s="1602">
        <f t="shared" si="5"/>
        <v>605588.161682192</v>
      </c>
      <c r="X12" s="1602">
        <f t="shared" si="5"/>
        <v>708865.26949868957</v>
      </c>
      <c r="Y12" s="1602">
        <f t="shared" si="5"/>
        <v>708758.07046791655</v>
      </c>
      <c r="Z12" s="1602">
        <f t="shared" si="5"/>
        <v>776261.5175505525</v>
      </c>
      <c r="AA12" s="1602">
        <f t="shared" si="5"/>
        <v>895433.80672113714</v>
      </c>
      <c r="AB12" s="1602">
        <f t="shared" si="5"/>
        <v>1325205.159390606</v>
      </c>
      <c r="AC12" s="1602">
        <f t="shared" si="5"/>
        <v>1498981.3449434885</v>
      </c>
      <c r="AD12" s="1602">
        <f t="shared" si="5"/>
        <v>1764149.5773117852</v>
      </c>
      <c r="AE12" s="1602">
        <f t="shared" si="5"/>
        <v>2056488.4628352097</v>
      </c>
      <c r="AF12" s="1602">
        <f t="shared" si="5"/>
        <v>2837705.9013925856</v>
      </c>
      <c r="AG12" s="1602">
        <f t="shared" si="5"/>
        <v>2784148.0193005833</v>
      </c>
      <c r="AH12" s="1602">
        <f t="shared" si="5"/>
        <v>2743603.1262112819</v>
      </c>
      <c r="AI12" s="1602">
        <f t="shared" si="5"/>
        <v>2730668.8926781928</v>
      </c>
      <c r="AJ12" s="1602">
        <f>AJ128</f>
        <v>2803618.0162123786</v>
      </c>
      <c r="AK12" s="1602">
        <f t="shared" si="5"/>
        <v>2890229.8809605967</v>
      </c>
      <c r="AL12" s="1602">
        <f t="shared" si="5"/>
        <v>3618901.1139718522</v>
      </c>
      <c r="AM12" s="1602">
        <f t="shared" si="5"/>
        <v>3613798.9503584565</v>
      </c>
      <c r="AN12" s="1602">
        <f t="shared" si="5"/>
        <v>3649114.8190014027</v>
      </c>
      <c r="AO12" s="1602">
        <f t="shared" si="5"/>
        <v>3691646.5084860283</v>
      </c>
      <c r="AP12" s="1602">
        <f>AP128</f>
        <v>3627381.0599704999</v>
      </c>
      <c r="AQ12" s="1602">
        <f t="shared" si="5"/>
        <v>3289709.0220396174</v>
      </c>
    </row>
    <row r="13" spans="1:45" ht="18" hidden="1" customHeight="1" outlineLevel="1">
      <c r="B13" s="165"/>
      <c r="R13" s="1598"/>
      <c r="S13" s="1598"/>
      <c r="T13" s="1598"/>
      <c r="U13" s="1598"/>
      <c r="V13" s="1598"/>
      <c r="W13" s="1598"/>
      <c r="X13" s="1599"/>
      <c r="Y13" s="1599"/>
      <c r="Z13" s="1600"/>
      <c r="AA13" s="1599"/>
      <c r="AB13" s="1599"/>
      <c r="AC13" s="1599"/>
      <c r="AD13" s="1600"/>
      <c r="AE13" s="1600"/>
      <c r="AF13" s="1600"/>
      <c r="AG13" s="1599"/>
      <c r="AR13" s="1589"/>
      <c r="AS13" s="1589"/>
    </row>
    <row r="14" spans="1:45" ht="24.75" hidden="1" customHeight="1" outlineLevel="1">
      <c r="B14" s="165"/>
      <c r="R14" s="1598"/>
      <c r="S14" s="1598"/>
      <c r="T14" s="1598"/>
      <c r="U14" s="1598"/>
      <c r="V14" s="1598"/>
      <c r="W14" s="1598"/>
      <c r="X14" s="1599"/>
      <c r="Y14" s="1599"/>
      <c r="Z14" s="1600"/>
      <c r="AA14" s="1599"/>
      <c r="AB14" s="1599"/>
      <c r="AC14" s="1599"/>
      <c r="AD14" s="1600"/>
      <c r="AE14" s="1600"/>
      <c r="AF14" s="1600"/>
      <c r="AG14" s="1599"/>
      <c r="AR14" s="1589"/>
      <c r="AS14" s="1589"/>
    </row>
    <row r="15" spans="1:45" ht="27" customHeight="1" collapsed="1">
      <c r="A15" s="1924" t="s">
        <v>9</v>
      </c>
      <c r="B15" s="1924"/>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c r="AR15" s="1589"/>
      <c r="AS15" s="1589"/>
    </row>
    <row r="16" spans="1:45">
      <c r="B16" s="165"/>
      <c r="C16" s="165"/>
      <c r="D16" s="165"/>
      <c r="E16" s="165"/>
      <c r="F16" s="165"/>
      <c r="G16" s="165"/>
      <c r="H16" s="165"/>
      <c r="I16" s="165"/>
      <c r="J16" s="165"/>
      <c r="K16" s="165"/>
      <c r="L16" s="165"/>
      <c r="M16" s="165"/>
      <c r="N16" s="165"/>
      <c r="O16" s="168"/>
      <c r="P16" s="168"/>
      <c r="Q16" s="168"/>
      <c r="R16" s="554"/>
      <c r="S16" s="554"/>
      <c r="T16" s="554"/>
      <c r="U16" s="554"/>
      <c r="V16" s="554"/>
      <c r="W16" s="554"/>
      <c r="X16" s="1603"/>
      <c r="Y16" s="820"/>
      <c r="Z16" s="820"/>
      <c r="AA16" s="820"/>
      <c r="AB16" s="820"/>
      <c r="AC16" s="820"/>
      <c r="AD16" s="820"/>
      <c r="AE16" s="820"/>
      <c r="AF16" s="820"/>
      <c r="AG16" s="1599"/>
      <c r="AR16" s="1589"/>
      <c r="AS16" s="1589"/>
    </row>
    <row r="17" spans="1:43" s="1589" customFormat="1">
      <c r="A17" s="1588"/>
      <c r="B17" s="170" t="s">
        <v>580</v>
      </c>
      <c r="C17" s="171"/>
      <c r="D17" s="171"/>
      <c r="E17" s="171"/>
      <c r="F17" s="171"/>
      <c r="G17" s="171"/>
      <c r="H17" s="171"/>
      <c r="I17" s="171"/>
      <c r="J17" s="171"/>
      <c r="K17" s="171"/>
      <c r="L17" s="171"/>
      <c r="M17" s="171"/>
      <c r="N17" s="171"/>
      <c r="O17" s="171"/>
      <c r="P17" s="171"/>
      <c r="Q17" s="171"/>
      <c r="R17" s="1251"/>
      <c r="S17" s="1251"/>
      <c r="T17" s="1251"/>
      <c r="U17" s="1251"/>
      <c r="V17" s="1251"/>
      <c r="W17" s="1251"/>
      <c r="X17" s="1251"/>
      <c r="Y17" s="1251"/>
      <c r="Z17" s="1251"/>
      <c r="AA17" s="1251"/>
      <c r="AB17" s="1251"/>
      <c r="AC17" s="1251"/>
      <c r="AD17" s="1251"/>
      <c r="AE17" s="1251"/>
      <c r="AF17" s="1251"/>
      <c r="AG17" s="1599"/>
      <c r="AH17" s="1591"/>
      <c r="AI17" s="1591"/>
      <c r="AJ17" s="1591"/>
      <c r="AK17" s="1591"/>
      <c r="AL17" s="1591"/>
      <c r="AM17" s="1591"/>
      <c r="AN17" s="1591"/>
      <c r="AO17" s="1591"/>
      <c r="AP17" s="1591"/>
    </row>
    <row r="18" spans="1:43" s="1589" customFormat="1">
      <c r="A18" s="1588"/>
      <c r="B18" s="165"/>
      <c r="C18" s="165"/>
      <c r="D18" s="165"/>
      <c r="E18" s="165"/>
      <c r="F18" s="165"/>
      <c r="G18" s="165"/>
      <c r="H18" s="165"/>
      <c r="I18" s="165"/>
      <c r="J18" s="165"/>
      <c r="K18" s="165"/>
      <c r="L18" s="165"/>
      <c r="M18" s="165"/>
      <c r="N18" s="165"/>
      <c r="O18" s="168"/>
      <c r="P18" s="168"/>
      <c r="Q18" s="168"/>
      <c r="R18" s="554"/>
      <c r="S18" s="554"/>
      <c r="T18" s="554"/>
      <c r="U18" s="554"/>
      <c r="V18" s="554"/>
      <c r="W18" s="554"/>
      <c r="X18" s="1603"/>
      <c r="Y18" s="820"/>
      <c r="Z18" s="820"/>
      <c r="AA18" s="820"/>
      <c r="AB18" s="820"/>
      <c r="AC18" s="820"/>
      <c r="AD18" s="820"/>
      <c r="AE18" s="820"/>
      <c r="AF18" s="820"/>
      <c r="AG18" s="1599"/>
      <c r="AH18" s="1591"/>
      <c r="AI18" s="1591"/>
      <c r="AJ18" s="1591"/>
      <c r="AK18" s="1591"/>
      <c r="AL18" s="1591"/>
      <c r="AM18" s="1591"/>
      <c r="AN18" s="1591"/>
      <c r="AO18" s="1591"/>
      <c r="AP18" s="1591"/>
    </row>
    <row r="19" spans="1:43" s="1589" customFormat="1">
      <c r="A19" s="1588"/>
      <c r="B19" s="170" t="s">
        <v>582</v>
      </c>
      <c r="C19" s="171"/>
      <c r="D19" s="171"/>
      <c r="E19" s="171"/>
      <c r="F19" s="171"/>
      <c r="G19" s="171"/>
      <c r="H19" s="171"/>
      <c r="I19" s="171"/>
      <c r="J19" s="171"/>
      <c r="K19" s="171"/>
      <c r="L19" s="171"/>
      <c r="M19" s="171"/>
      <c r="N19" s="171"/>
      <c r="O19" s="171"/>
      <c r="P19" s="171"/>
      <c r="Q19" s="171"/>
      <c r="R19" s="1251"/>
      <c r="S19" s="1251"/>
      <c r="T19" s="1251"/>
      <c r="U19" s="1251"/>
      <c r="V19" s="1251"/>
      <c r="W19" s="1251"/>
      <c r="X19" s="1251"/>
      <c r="Y19" s="1251"/>
      <c r="Z19" s="1251"/>
      <c r="AA19" s="1251"/>
      <c r="AB19" s="1251"/>
      <c r="AC19" s="1251"/>
      <c r="AD19" s="1251"/>
      <c r="AE19" s="1251"/>
      <c r="AF19" s="1251"/>
      <c r="AG19" s="1599"/>
      <c r="AH19" s="1591"/>
      <c r="AI19" s="1591"/>
      <c r="AJ19" s="1591"/>
      <c r="AK19" s="1591"/>
      <c r="AL19" s="1591"/>
      <c r="AM19" s="1591"/>
      <c r="AN19" s="1591"/>
      <c r="AO19" s="1591"/>
      <c r="AP19" s="1591"/>
    </row>
    <row r="20" spans="1:43" s="1589" customFormat="1">
      <c r="A20" s="1588"/>
      <c r="B20" s="172"/>
      <c r="C20" s="172"/>
      <c r="D20" s="172"/>
      <c r="E20" s="172"/>
      <c r="F20" s="172"/>
      <c r="G20" s="172"/>
      <c r="H20" s="172"/>
      <c r="I20" s="172"/>
      <c r="J20" s="172"/>
      <c r="K20" s="172"/>
      <c r="L20" s="172"/>
      <c r="M20" s="172"/>
      <c r="N20" s="172"/>
      <c r="O20" s="173"/>
      <c r="P20" s="173"/>
      <c r="Q20" s="173"/>
      <c r="R20" s="1604"/>
      <c r="S20" s="1604"/>
      <c r="T20" s="1604"/>
      <c r="U20" s="1604"/>
      <c r="V20" s="1604"/>
      <c r="W20" s="1604"/>
      <c r="X20" s="1605"/>
      <c r="Y20" s="1605"/>
      <c r="Z20" s="1605"/>
      <c r="AA20" s="1605"/>
      <c r="AB20" s="1605"/>
      <c r="AC20" s="1605"/>
      <c r="AD20" s="1605"/>
      <c r="AE20" s="1605"/>
      <c r="AF20" s="1605"/>
      <c r="AG20" s="1599"/>
      <c r="AH20" s="1591"/>
      <c r="AI20" s="1591"/>
      <c r="AJ20" s="1591"/>
      <c r="AK20" s="1591"/>
      <c r="AL20" s="1591"/>
      <c r="AM20" s="1606"/>
      <c r="AN20" s="1606"/>
      <c r="AO20" s="1606"/>
      <c r="AP20" s="1591"/>
    </row>
    <row r="21" spans="1:43" s="1589" customFormat="1">
      <c r="A21" s="1588"/>
      <c r="B21" s="165"/>
      <c r="C21" s="165"/>
      <c r="D21" s="165"/>
      <c r="E21" s="165"/>
      <c r="F21" s="165"/>
      <c r="G21" s="165"/>
      <c r="H21" s="165"/>
      <c r="I21" s="165"/>
      <c r="J21" s="165"/>
      <c r="K21" s="165"/>
      <c r="L21" s="165"/>
      <c r="M21" s="165"/>
      <c r="N21" s="165"/>
      <c r="O21" s="168"/>
      <c r="P21" s="168"/>
      <c r="Q21" s="168"/>
      <c r="R21" s="1607">
        <v>1995</v>
      </c>
      <c r="S21" s="1607">
        <v>1996</v>
      </c>
      <c r="T21" s="1607">
        <v>1997</v>
      </c>
      <c r="U21" s="1607">
        <v>1998</v>
      </c>
      <c r="V21" s="1607">
        <v>1999</v>
      </c>
      <c r="W21" s="1607">
        <v>2000</v>
      </c>
      <c r="X21" s="1607">
        <v>2001</v>
      </c>
      <c r="Y21" s="1608">
        <v>2002</v>
      </c>
      <c r="Z21" s="1609">
        <v>2003</v>
      </c>
      <c r="AA21" s="1609">
        <v>2004</v>
      </c>
      <c r="AB21" s="1609">
        <v>2005</v>
      </c>
      <c r="AC21" s="1609">
        <v>2006</v>
      </c>
      <c r="AD21" s="1609">
        <v>2007</v>
      </c>
      <c r="AE21" s="1609">
        <v>2008</v>
      </c>
      <c r="AF21" s="1609">
        <v>2009</v>
      </c>
      <c r="AG21" s="1609">
        <v>2010</v>
      </c>
      <c r="AH21" s="1609">
        <v>2011</v>
      </c>
      <c r="AI21" s="1609">
        <v>2012</v>
      </c>
      <c r="AJ21" s="1609">
        <v>2013</v>
      </c>
      <c r="AK21" s="817">
        <v>2014</v>
      </c>
      <c r="AL21" s="1609">
        <v>2015</v>
      </c>
      <c r="AM21" s="1610">
        <v>2016</v>
      </c>
      <c r="AN21" s="1610">
        <v>2017</v>
      </c>
      <c r="AO21" s="1610">
        <v>2018</v>
      </c>
      <c r="AP21" s="1609">
        <v>2019</v>
      </c>
      <c r="AQ21" s="1609">
        <v>2020</v>
      </c>
    </row>
    <row r="22" spans="1:43" s="1589" customFormat="1">
      <c r="A22" s="1588"/>
      <c r="B22" s="165"/>
      <c r="C22" s="165"/>
      <c r="D22" s="165"/>
      <c r="E22" s="165"/>
      <c r="F22" s="165"/>
      <c r="G22" s="165"/>
      <c r="H22" s="165"/>
      <c r="I22" s="165"/>
      <c r="J22" s="165"/>
      <c r="K22" s="165"/>
      <c r="L22" s="165"/>
      <c r="M22" s="165"/>
      <c r="N22" s="165"/>
      <c r="O22" s="165"/>
      <c r="P22" s="165"/>
      <c r="Q22" s="165"/>
      <c r="R22" s="552"/>
      <c r="S22" s="552"/>
      <c r="T22" s="554"/>
      <c r="U22" s="554"/>
      <c r="V22" s="554"/>
      <c r="W22" s="554"/>
      <c r="X22" s="820"/>
      <c r="Y22" s="820"/>
      <c r="Z22" s="820"/>
      <c r="AA22" s="820"/>
      <c r="AB22" s="820"/>
      <c r="AC22" s="820"/>
      <c r="AD22" s="820"/>
      <c r="AE22" s="820"/>
      <c r="AF22" s="820"/>
      <c r="AG22" s="1599"/>
      <c r="AH22" s="1591"/>
      <c r="AI22" s="1591"/>
      <c r="AJ22" s="1591"/>
      <c r="AK22" s="1591"/>
      <c r="AL22" s="1591"/>
      <c r="AM22" s="1591"/>
      <c r="AN22" s="1591"/>
      <c r="AO22" s="1611"/>
      <c r="AP22" s="1591"/>
    </row>
    <row r="23" spans="1:43" s="1589" customFormat="1">
      <c r="A23" s="1588"/>
      <c r="B23" s="1612" t="s">
        <v>583</v>
      </c>
      <c r="C23" s="990"/>
      <c r="R23" s="1598"/>
      <c r="S23" s="1598"/>
      <c r="T23" s="1598"/>
      <c r="U23" s="1598"/>
      <c r="V23" s="1598"/>
      <c r="W23" s="1598"/>
      <c r="X23" s="1599"/>
      <c r="Y23" s="1599"/>
      <c r="Z23" s="1613">
        <f>Z24+Z25</f>
        <v>51109</v>
      </c>
      <c r="AA23" s="1613">
        <f t="shared" ref="AA23:AQ23" si="6">AA24+AA25</f>
        <v>115548.98961599999</v>
      </c>
      <c r="AB23" s="1613">
        <f t="shared" si="6"/>
        <v>132023.53911527645</v>
      </c>
      <c r="AC23" s="1613">
        <f t="shared" si="6"/>
        <v>161952.65601301947</v>
      </c>
      <c r="AD23" s="1613">
        <f t="shared" si="6"/>
        <v>211749.29088400831</v>
      </c>
      <c r="AE23" s="1613">
        <f t="shared" si="6"/>
        <v>254826.80363467717</v>
      </c>
      <c r="AF23" s="1613">
        <f t="shared" si="6"/>
        <v>241161.89028907733</v>
      </c>
      <c r="AG23" s="1613">
        <f t="shared" si="6"/>
        <v>280542.95796401601</v>
      </c>
      <c r="AH23" s="1613">
        <f t="shared" si="6"/>
        <v>286004.64594052028</v>
      </c>
      <c r="AI23" s="1613">
        <f t="shared" si="6"/>
        <v>310908.58827843791</v>
      </c>
      <c r="AJ23" s="1613">
        <f t="shared" si="6"/>
        <v>355342.57504958467</v>
      </c>
      <c r="AK23" s="1613">
        <f t="shared" si="6"/>
        <v>392445.6230406051</v>
      </c>
      <c r="AL23" s="1613">
        <f t="shared" si="6"/>
        <v>436373.05457762774</v>
      </c>
      <c r="AM23" s="1613">
        <f t="shared" si="6"/>
        <v>780550.01800688216</v>
      </c>
      <c r="AN23" s="1613">
        <f t="shared" si="6"/>
        <v>908106.587402298</v>
      </c>
      <c r="AO23" s="1613">
        <f t="shared" si="6"/>
        <v>1094712.6611149835</v>
      </c>
      <c r="AP23" s="1613">
        <f t="shared" si="6"/>
        <v>1302056.3344587027</v>
      </c>
      <c r="AQ23" s="1613">
        <f t="shared" si="6"/>
        <v>1588732.4970509778</v>
      </c>
    </row>
    <row r="24" spans="1:43" s="1589" customFormat="1">
      <c r="A24" s="1588"/>
      <c r="B24" s="1614" t="s">
        <v>584</v>
      </c>
      <c r="C24" s="990"/>
      <c r="R24" s="1598">
        <v>0</v>
      </c>
      <c r="S24" s="1598">
        <v>0</v>
      </c>
      <c r="T24" s="1598">
        <v>0</v>
      </c>
      <c r="U24" s="1598">
        <v>0</v>
      </c>
      <c r="V24" s="1615">
        <v>144.048</v>
      </c>
      <c r="W24" s="1615">
        <v>18160.774646999998</v>
      </c>
      <c r="X24" s="1616">
        <v>34842.427181999999</v>
      </c>
      <c r="Y24" s="1599">
        <v>49668.971814000004</v>
      </c>
      <c r="Z24" s="1600">
        <v>51109</v>
      </c>
      <c r="AA24" s="1599">
        <v>115548.98961599999</v>
      </c>
      <c r="AB24" s="1600">
        <v>131946.930804</v>
      </c>
      <c r="AC24" s="1599">
        <v>161742.75372000001</v>
      </c>
      <c r="AD24" s="1600">
        <v>210990.87054</v>
      </c>
      <c r="AE24" s="1600">
        <v>254149.415568</v>
      </c>
      <c r="AF24" s="1600">
        <v>240117.762582</v>
      </c>
      <c r="AG24" s="1600">
        <v>279034.04836799996</v>
      </c>
      <c r="AH24" s="1600">
        <v>282877.44273000001</v>
      </c>
      <c r="AI24" s="1600">
        <v>305650.61333999998</v>
      </c>
      <c r="AJ24" s="1600">
        <v>337629.5307</v>
      </c>
      <c r="AK24" s="1600">
        <v>372110.83221600001</v>
      </c>
      <c r="AL24" s="1617">
        <v>407364.21715499996</v>
      </c>
      <c r="AM24" s="1617">
        <v>738139.48122404551</v>
      </c>
      <c r="AN24" s="1617">
        <v>845020.33991879749</v>
      </c>
      <c r="AO24" s="1617">
        <v>964496.49471746536</v>
      </c>
      <c r="AP24" s="1617">
        <v>1120750.7507501699</v>
      </c>
      <c r="AQ24" s="1617">
        <v>1335453.1913992499</v>
      </c>
    </row>
    <row r="25" spans="1:43" s="1589" customFormat="1">
      <c r="A25" s="1588"/>
      <c r="B25" s="623" t="s">
        <v>1584</v>
      </c>
      <c r="C25" s="990"/>
      <c r="R25" s="1598">
        <v>0</v>
      </c>
      <c r="S25" s="1598">
        <v>0</v>
      </c>
      <c r="T25" s="1598">
        <v>0</v>
      </c>
      <c r="U25" s="1598">
        <v>0</v>
      </c>
      <c r="V25" s="1598">
        <v>0</v>
      </c>
      <c r="W25" s="1598">
        <v>0</v>
      </c>
      <c r="X25" s="1618">
        <v>0</v>
      </c>
      <c r="Y25" s="1618">
        <v>0</v>
      </c>
      <c r="Z25" s="1600">
        <v>0</v>
      </c>
      <c r="AA25" s="1599">
        <v>0</v>
      </c>
      <c r="AB25" s="1600">
        <v>76.608311276458963</v>
      </c>
      <c r="AC25" s="1599">
        <v>209.90229301946647</v>
      </c>
      <c r="AD25" s="1600">
        <v>758.42034400832017</v>
      </c>
      <c r="AE25" s="1600">
        <v>677.38806667716233</v>
      </c>
      <c r="AF25" s="1600">
        <v>1044.1277070773415</v>
      </c>
      <c r="AG25" s="1600">
        <v>1508.9095960160212</v>
      </c>
      <c r="AH25" s="1600">
        <v>3127.2032105202611</v>
      </c>
      <c r="AI25" s="1600">
        <v>5257.9749384379375</v>
      </c>
      <c r="AJ25" s="1600">
        <v>17713.044349584648</v>
      </c>
      <c r="AK25" s="1600">
        <v>20334.790824605123</v>
      </c>
      <c r="AL25" s="1617">
        <v>29008.83742262777</v>
      </c>
      <c r="AM25" s="1617">
        <v>42410.5367828366</v>
      </c>
      <c r="AN25" s="1617">
        <v>63086.24748350052</v>
      </c>
      <c r="AO25" s="1617">
        <v>130216.16639751807</v>
      </c>
      <c r="AP25" s="1617">
        <v>181305.58370853282</v>
      </c>
      <c r="AQ25" s="1617">
        <v>253279.30565172789</v>
      </c>
    </row>
    <row r="26" spans="1:43" s="1589" customFormat="1">
      <c r="A26" s="1588"/>
      <c r="B26" s="623"/>
      <c r="C26" s="990"/>
      <c r="R26" s="1598"/>
      <c r="S26" s="1598"/>
      <c r="T26" s="1598"/>
      <c r="U26" s="1598"/>
      <c r="V26" s="1598"/>
      <c r="W26" s="1598"/>
      <c r="X26" s="1618"/>
      <c r="Y26" s="1618"/>
      <c r="Z26" s="1613"/>
      <c r="AA26" s="1599"/>
      <c r="AB26" s="1613"/>
      <c r="AC26" s="1599"/>
      <c r="AD26" s="1613"/>
      <c r="AE26" s="1600"/>
      <c r="AF26" s="1613"/>
      <c r="AG26" s="1613"/>
      <c r="AH26" s="1613"/>
      <c r="AI26" s="1613"/>
      <c r="AJ26" s="1613"/>
      <c r="AK26" s="1613"/>
      <c r="AL26" s="1613"/>
      <c r="AM26" s="1613"/>
      <c r="AN26" s="1613"/>
      <c r="AO26" s="1619"/>
      <c r="AP26" s="1591"/>
      <c r="AQ26" s="1591"/>
    </row>
    <row r="27" spans="1:43" s="1589" customFormat="1">
      <c r="A27" s="1588"/>
      <c r="B27" s="1620" t="s">
        <v>585</v>
      </c>
      <c r="C27" s="990"/>
      <c r="R27" s="1598">
        <v>29287.567153759795</v>
      </c>
      <c r="S27" s="1598">
        <v>25853.400228229093</v>
      </c>
      <c r="T27" s="1598">
        <v>47436.219259835452</v>
      </c>
      <c r="U27" s="1598">
        <v>84604.800907059602</v>
      </c>
      <c r="V27" s="1598">
        <v>78715.06708894881</v>
      </c>
      <c r="W27" s="1598">
        <v>74714.356315096084</v>
      </c>
      <c r="X27" s="1598">
        <v>148500.56312101698</v>
      </c>
      <c r="Y27" s="1598">
        <v>119172.79479510148</v>
      </c>
      <c r="Z27" s="1621">
        <v>149770.64357465933</v>
      </c>
      <c r="AA27" s="1621">
        <v>182756.69293912209</v>
      </c>
      <c r="AB27" s="1616">
        <v>177777.86038257839</v>
      </c>
      <c r="AC27" s="1616">
        <v>201547.06575014038</v>
      </c>
      <c r="AD27" s="1616">
        <v>242047.08643580443</v>
      </c>
      <c r="AE27" s="1616">
        <v>250553.49405191391</v>
      </c>
      <c r="AF27" s="1616">
        <v>273449.25643702067</v>
      </c>
      <c r="AG27" s="1616">
        <v>292002.11485972139</v>
      </c>
      <c r="AH27" s="1616">
        <v>327347.50197203847</v>
      </c>
      <c r="AI27" s="1616">
        <v>399601.79037786479</v>
      </c>
      <c r="AJ27" s="1616">
        <v>439117.14468753251</v>
      </c>
      <c r="AK27" s="1616">
        <v>617261.0797554279</v>
      </c>
      <c r="AL27" s="1616">
        <v>900996.46912260144</v>
      </c>
      <c r="AM27" s="1616">
        <v>903717.23633622786</v>
      </c>
      <c r="AN27" s="1616">
        <v>883041.26615722035</v>
      </c>
      <c r="AO27" s="1616">
        <v>941343.21603867423</v>
      </c>
      <c r="AP27" s="1616">
        <v>1105285.7546179541</v>
      </c>
      <c r="AQ27" s="1616">
        <v>1377722.1529495916</v>
      </c>
    </row>
    <row r="28" spans="1:43" s="1589" customFormat="1">
      <c r="A28" s="1588"/>
      <c r="B28" s="1620"/>
      <c r="C28" s="990"/>
      <c r="R28" s="1598"/>
      <c r="S28" s="1598"/>
      <c r="T28" s="1598"/>
      <c r="U28" s="1598"/>
      <c r="V28" s="1598"/>
      <c r="W28" s="1598"/>
      <c r="X28" s="1622"/>
      <c r="Y28" s="1618"/>
      <c r="Z28" s="1619"/>
      <c r="AA28" s="1618"/>
      <c r="AB28" s="1619"/>
      <c r="AC28" s="1618"/>
      <c r="AD28" s="1619"/>
      <c r="AE28" s="1619"/>
      <c r="AF28" s="1619"/>
      <c r="AG28" s="1599"/>
      <c r="AH28" s="1591"/>
      <c r="AI28" s="1591"/>
      <c r="AJ28" s="1591"/>
      <c r="AK28" s="1591"/>
      <c r="AL28" s="1591"/>
      <c r="AM28" s="1591"/>
      <c r="AN28" s="1591"/>
      <c r="AO28" s="1611"/>
      <c r="AP28" s="1591"/>
      <c r="AQ28" s="1591"/>
    </row>
    <row r="29" spans="1:43" s="1589" customFormat="1">
      <c r="A29" s="1588"/>
      <c r="B29" s="1620" t="s">
        <v>586</v>
      </c>
      <c r="C29" s="990"/>
      <c r="R29" s="1622">
        <v>2447.2778239999998</v>
      </c>
      <c r="S29" s="1622">
        <v>3049.0982445</v>
      </c>
      <c r="T29" s="1622">
        <v>3665.7139739999998</v>
      </c>
      <c r="U29" s="1622">
        <v>5874.5507039999993</v>
      </c>
      <c r="V29" s="1622">
        <v>8527.2466650000006</v>
      </c>
      <c r="W29" s="1622">
        <v>9394.713707750001</v>
      </c>
      <c r="X29" s="1622">
        <v>10409.121509500001</v>
      </c>
      <c r="Y29" s="1622">
        <v>12568.658642799999</v>
      </c>
      <c r="Z29" s="1622">
        <v>11991.8446676</v>
      </c>
      <c r="AA29" s="1622">
        <v>13552.282989850002</v>
      </c>
      <c r="AB29" s="1622">
        <v>14616.699720699999</v>
      </c>
      <c r="AC29" s="1622">
        <v>14917.6210336</v>
      </c>
      <c r="AD29" s="1622">
        <v>13970.406257549999</v>
      </c>
      <c r="AE29" s="1622">
        <v>14498.786400126301</v>
      </c>
      <c r="AF29" s="1622">
        <v>14467.032861494801</v>
      </c>
      <c r="AG29" s="1622">
        <v>16410.876948854955</v>
      </c>
      <c r="AH29" s="1622">
        <v>26688.987824874872</v>
      </c>
      <c r="AI29" s="1622">
        <v>37563.96817669658</v>
      </c>
      <c r="AJ29" s="1622">
        <v>36310.039609303974</v>
      </c>
      <c r="AK29" s="1622">
        <v>58735.363141361137</v>
      </c>
      <c r="AL29" s="1622">
        <v>80993.346063588309</v>
      </c>
      <c r="AM29" s="1622">
        <v>89512.688652598939</v>
      </c>
      <c r="AN29" s="1622">
        <v>94081.869722120493</v>
      </c>
      <c r="AO29" s="1622">
        <v>42370.870244219135</v>
      </c>
      <c r="AP29" s="1622">
        <v>45261.926115838811</v>
      </c>
      <c r="AQ29" s="1622">
        <v>47239.03969636999</v>
      </c>
    </row>
    <row r="30" spans="1:43" s="1589" customFormat="1">
      <c r="A30" s="1588"/>
      <c r="B30" s="172"/>
      <c r="C30" s="172"/>
      <c r="D30" s="172"/>
      <c r="E30" s="172"/>
      <c r="F30" s="172"/>
      <c r="G30" s="172"/>
      <c r="H30" s="172"/>
      <c r="I30" s="172"/>
      <c r="J30" s="172"/>
      <c r="K30" s="172"/>
      <c r="L30" s="172"/>
      <c r="M30" s="172"/>
      <c r="N30" s="172"/>
      <c r="O30" s="172"/>
      <c r="P30" s="172"/>
      <c r="Q30" s="172"/>
      <c r="R30" s="939"/>
      <c r="S30" s="939"/>
      <c r="T30" s="939"/>
      <c r="U30" s="939"/>
      <c r="V30" s="939"/>
      <c r="W30" s="939"/>
      <c r="X30" s="1623"/>
      <c r="Y30" s="1623"/>
      <c r="Z30" s="1623"/>
      <c r="AA30" s="1623"/>
      <c r="AB30" s="1623"/>
      <c r="AC30" s="1623"/>
      <c r="AD30" s="1623"/>
      <c r="AE30" s="1623"/>
      <c r="AF30" s="1623"/>
      <c r="AG30" s="1623"/>
      <c r="AH30" s="1623"/>
      <c r="AI30" s="1623"/>
      <c r="AJ30" s="1623"/>
      <c r="AK30" s="1623"/>
      <c r="AL30" s="1623"/>
      <c r="AM30" s="1623"/>
      <c r="AN30" s="1623"/>
      <c r="AO30" s="1623"/>
      <c r="AP30" s="1623"/>
      <c r="AQ30" s="1623"/>
    </row>
    <row r="31" spans="1:43" s="1589" customFormat="1">
      <c r="A31" s="1588"/>
      <c r="B31" s="623"/>
      <c r="C31" s="623"/>
      <c r="D31" s="623"/>
      <c r="E31" s="623"/>
      <c r="F31" s="623"/>
      <c r="G31" s="623"/>
      <c r="H31" s="623"/>
      <c r="I31" s="623"/>
      <c r="J31" s="623"/>
      <c r="K31" s="623"/>
      <c r="L31" s="623"/>
      <c r="M31" s="623"/>
      <c r="N31" s="623"/>
      <c r="O31" s="623"/>
      <c r="P31" s="623"/>
      <c r="Q31" s="623"/>
      <c r="R31" s="937"/>
      <c r="S31" s="937"/>
      <c r="T31" s="937"/>
      <c r="U31" s="937"/>
      <c r="V31" s="937"/>
      <c r="W31" s="937"/>
      <c r="X31" s="1093"/>
      <c r="Y31" s="1093"/>
      <c r="Z31" s="1093"/>
      <c r="AA31" s="1093"/>
      <c r="AB31" s="1093"/>
      <c r="AC31" s="1093"/>
      <c r="AD31" s="1093"/>
      <c r="AE31" s="1093"/>
      <c r="AF31" s="1093"/>
      <c r="AG31" s="1599"/>
      <c r="AH31" s="1591"/>
      <c r="AI31" s="1591"/>
      <c r="AJ31" s="1591"/>
      <c r="AK31" s="1591"/>
      <c r="AL31" s="1591"/>
      <c r="AM31" s="1591"/>
      <c r="AN31" s="1591"/>
      <c r="AO31" s="1611"/>
      <c r="AP31" s="1611"/>
      <c r="AQ31" s="1611"/>
    </row>
    <row r="32" spans="1:43" s="1589" customFormat="1">
      <c r="A32" s="1588"/>
      <c r="B32" s="623" t="s">
        <v>587</v>
      </c>
      <c r="C32" s="623"/>
      <c r="R32" s="1598"/>
      <c r="S32" s="1598"/>
      <c r="T32" s="1598"/>
      <c r="U32" s="1598"/>
      <c r="V32" s="1598"/>
      <c r="W32" s="1598"/>
      <c r="X32" s="1599"/>
      <c r="Y32" s="1599"/>
      <c r="Z32" s="1600"/>
      <c r="AA32" s="1599"/>
      <c r="AB32" s="1599"/>
      <c r="AC32" s="1599"/>
      <c r="AD32" s="1600"/>
      <c r="AE32" s="1600"/>
      <c r="AF32" s="1600"/>
      <c r="AG32" s="1599"/>
      <c r="AH32" s="1591"/>
      <c r="AI32" s="1591"/>
      <c r="AJ32" s="1591"/>
      <c r="AK32" s="1591"/>
      <c r="AL32" s="1591"/>
      <c r="AM32" s="1591"/>
      <c r="AN32" s="1591"/>
      <c r="AO32" s="1611"/>
      <c r="AP32" s="1591"/>
    </row>
    <row r="33" spans="1:42" s="1589" customFormat="1">
      <c r="A33" s="1588"/>
      <c r="B33" s="623"/>
      <c r="C33" s="623"/>
      <c r="R33" s="1598"/>
      <c r="S33" s="1598"/>
      <c r="T33" s="1598"/>
      <c r="U33" s="1598"/>
      <c r="V33" s="1598"/>
      <c r="W33" s="1598"/>
      <c r="X33" s="1599"/>
      <c r="Y33" s="1599"/>
      <c r="Z33" s="1600"/>
      <c r="AA33" s="1599"/>
      <c r="AB33" s="1599"/>
      <c r="AC33" s="1599"/>
      <c r="AD33" s="1600"/>
      <c r="AE33" s="1600"/>
      <c r="AF33" s="1600"/>
      <c r="AG33" s="1599"/>
      <c r="AH33" s="1591"/>
      <c r="AI33" s="1591"/>
      <c r="AJ33" s="1591"/>
      <c r="AK33" s="1591"/>
      <c r="AL33" s="1591"/>
      <c r="AM33" s="1591"/>
      <c r="AN33" s="1591"/>
      <c r="AO33" s="1591"/>
      <c r="AP33" s="1591"/>
    </row>
    <row r="34" spans="1:42" s="1589" customFormat="1" hidden="1">
      <c r="A34" s="1588"/>
      <c r="B34" s="165"/>
      <c r="R34" s="1598"/>
      <c r="S34" s="1598"/>
      <c r="T34" s="1598"/>
      <c r="U34" s="1598"/>
      <c r="V34" s="1598"/>
      <c r="W34" s="1598"/>
      <c r="X34" s="1599"/>
      <c r="Y34" s="1599"/>
      <c r="Z34" s="1600"/>
      <c r="AA34" s="1599"/>
      <c r="AB34" s="1599"/>
      <c r="AC34" s="1599"/>
      <c r="AD34" s="1600"/>
      <c r="AE34" s="1600"/>
      <c r="AF34" s="1600"/>
      <c r="AG34" s="1599"/>
      <c r="AH34" s="1591"/>
      <c r="AI34" s="1591"/>
      <c r="AJ34" s="1591"/>
      <c r="AK34" s="1591"/>
      <c r="AL34" s="1591"/>
      <c r="AM34" s="1591"/>
      <c r="AN34" s="1591"/>
      <c r="AO34" s="1591"/>
      <c r="AP34" s="1591"/>
    </row>
    <row r="35" spans="1:42" s="1589" customFormat="1" hidden="1">
      <c r="A35" s="1588"/>
      <c r="B35" s="165"/>
      <c r="R35" s="1598"/>
      <c r="S35" s="1598"/>
      <c r="T35" s="1598"/>
      <c r="U35" s="1598"/>
      <c r="V35" s="1598"/>
      <c r="W35" s="1598"/>
      <c r="X35" s="1599"/>
      <c r="Y35" s="1599"/>
      <c r="Z35" s="1600"/>
      <c r="AA35" s="1599"/>
      <c r="AB35" s="1599"/>
      <c r="AC35" s="1599"/>
      <c r="AD35" s="1600"/>
      <c r="AE35" s="1600"/>
      <c r="AF35" s="1600"/>
      <c r="AG35" s="1599"/>
      <c r="AH35" s="1591"/>
      <c r="AI35" s="1591"/>
      <c r="AJ35" s="1591"/>
      <c r="AK35" s="1591"/>
      <c r="AL35" s="1591"/>
      <c r="AM35" s="1591"/>
      <c r="AN35" s="1591"/>
      <c r="AO35" s="1591"/>
      <c r="AP35" s="1591"/>
    </row>
    <row r="36" spans="1:42" s="1589" customFormat="1" hidden="1">
      <c r="A36" s="1588"/>
      <c r="B36" s="165"/>
      <c r="R36" s="1598"/>
      <c r="S36" s="1598"/>
      <c r="T36" s="1598"/>
      <c r="U36" s="1598"/>
      <c r="V36" s="1598"/>
      <c r="W36" s="1598"/>
      <c r="X36" s="1599"/>
      <c r="Y36" s="1599"/>
      <c r="Z36" s="1600"/>
      <c r="AA36" s="1599"/>
      <c r="AB36" s="1599"/>
      <c r="AC36" s="1599"/>
      <c r="AD36" s="1600"/>
      <c r="AE36" s="1600"/>
      <c r="AF36" s="1600"/>
      <c r="AG36" s="1599"/>
      <c r="AH36" s="1591"/>
      <c r="AI36" s="1591"/>
      <c r="AJ36" s="1591"/>
      <c r="AK36" s="1591"/>
      <c r="AL36" s="1591"/>
      <c r="AM36" s="1591"/>
      <c r="AN36" s="1591"/>
      <c r="AO36" s="1591"/>
      <c r="AP36" s="1591"/>
    </row>
    <row r="37" spans="1:42" s="1589" customFormat="1" hidden="1">
      <c r="A37" s="1588"/>
      <c r="B37" s="165"/>
      <c r="R37" s="1598"/>
      <c r="S37" s="1598"/>
      <c r="T37" s="1598"/>
      <c r="U37" s="1598"/>
      <c r="V37" s="1598"/>
      <c r="W37" s="1598"/>
      <c r="X37" s="1599"/>
      <c r="Y37" s="1599"/>
      <c r="Z37" s="1600"/>
      <c r="AA37" s="1599"/>
      <c r="AB37" s="1599"/>
      <c r="AC37" s="1599"/>
      <c r="AD37" s="1600"/>
      <c r="AE37" s="1600"/>
      <c r="AF37" s="1600"/>
      <c r="AG37" s="1599"/>
      <c r="AH37" s="1591"/>
      <c r="AI37" s="1591"/>
      <c r="AJ37" s="1591"/>
      <c r="AK37" s="1591"/>
      <c r="AL37" s="1591"/>
      <c r="AM37" s="1591"/>
      <c r="AN37" s="1591"/>
      <c r="AO37" s="1591"/>
      <c r="AP37" s="1591"/>
    </row>
    <row r="38" spans="1:42" s="1589" customFormat="1" hidden="1">
      <c r="A38" s="1588"/>
      <c r="B38" s="165"/>
      <c r="R38" s="1598"/>
      <c r="S38" s="1598"/>
      <c r="T38" s="1598"/>
      <c r="U38" s="1598"/>
      <c r="V38" s="1598"/>
      <c r="W38" s="1598"/>
      <c r="X38" s="1599"/>
      <c r="Y38" s="1599"/>
      <c r="Z38" s="1600"/>
      <c r="AA38" s="1599"/>
      <c r="AB38" s="1599"/>
      <c r="AC38" s="1599"/>
      <c r="AD38" s="1600"/>
      <c r="AE38" s="1600"/>
      <c r="AF38" s="1600"/>
      <c r="AG38" s="1599"/>
      <c r="AH38" s="1591"/>
      <c r="AI38" s="1591"/>
      <c r="AJ38" s="1591"/>
      <c r="AK38" s="1591"/>
      <c r="AL38" s="1591"/>
      <c r="AM38" s="1591"/>
      <c r="AN38" s="1591"/>
      <c r="AO38" s="1591"/>
      <c r="AP38" s="1591"/>
    </row>
    <row r="39" spans="1:42" s="1589" customFormat="1" hidden="1">
      <c r="A39" s="1588"/>
      <c r="B39" s="165"/>
      <c r="R39" s="1598"/>
      <c r="S39" s="1598"/>
      <c r="T39" s="1598"/>
      <c r="U39" s="1598"/>
      <c r="V39" s="1598"/>
      <c r="W39" s="1598"/>
      <c r="X39" s="1599"/>
      <c r="Y39" s="1599"/>
      <c r="Z39" s="1600"/>
      <c r="AA39" s="1599"/>
      <c r="AB39" s="1599"/>
      <c r="AC39" s="1599"/>
      <c r="AD39" s="1600"/>
      <c r="AE39" s="1600"/>
      <c r="AF39" s="1600"/>
      <c r="AG39" s="1599"/>
      <c r="AH39" s="1591"/>
      <c r="AI39" s="1591"/>
      <c r="AJ39" s="1591"/>
      <c r="AK39" s="1591"/>
      <c r="AL39" s="1591"/>
      <c r="AM39" s="1591"/>
      <c r="AN39" s="1591"/>
      <c r="AO39" s="1591"/>
      <c r="AP39" s="1591"/>
    </row>
    <row r="40" spans="1:42" s="1589" customFormat="1" hidden="1">
      <c r="A40" s="1588"/>
      <c r="B40" s="165"/>
      <c r="R40" s="1598"/>
      <c r="S40" s="1598"/>
      <c r="T40" s="1598"/>
      <c r="U40" s="1598"/>
      <c r="V40" s="1598"/>
      <c r="W40" s="1598"/>
      <c r="X40" s="1599"/>
      <c r="Y40" s="1599"/>
      <c r="Z40" s="1600"/>
      <c r="AA40" s="1599"/>
      <c r="AB40" s="1599"/>
      <c r="AC40" s="1599"/>
      <c r="AD40" s="1600"/>
      <c r="AE40" s="1600"/>
      <c r="AF40" s="1600"/>
      <c r="AG40" s="1599"/>
      <c r="AH40" s="1591"/>
      <c r="AI40" s="1591"/>
      <c r="AJ40" s="1591"/>
      <c r="AK40" s="1591"/>
      <c r="AL40" s="1591"/>
      <c r="AM40" s="1591"/>
      <c r="AN40" s="1591"/>
      <c r="AO40" s="1591"/>
      <c r="AP40" s="1591"/>
    </row>
    <row r="41" spans="1:42" s="1589" customFormat="1" hidden="1">
      <c r="A41" s="1588"/>
      <c r="B41" s="165"/>
      <c r="R41" s="1598"/>
      <c r="S41" s="1598"/>
      <c r="T41" s="1598"/>
      <c r="U41" s="1598"/>
      <c r="V41" s="1598"/>
      <c r="W41" s="1598"/>
      <c r="X41" s="1599"/>
      <c r="Y41" s="1599"/>
      <c r="Z41" s="1600"/>
      <c r="AA41" s="1599"/>
      <c r="AB41" s="1599"/>
      <c r="AC41" s="1599"/>
      <c r="AD41" s="1600"/>
      <c r="AE41" s="1600"/>
      <c r="AF41" s="1600"/>
      <c r="AG41" s="1599"/>
      <c r="AH41" s="1591"/>
      <c r="AI41" s="1591"/>
      <c r="AJ41" s="1591"/>
      <c r="AK41" s="1591"/>
      <c r="AL41" s="1591"/>
      <c r="AM41" s="1591"/>
      <c r="AN41" s="1591"/>
      <c r="AO41" s="1591"/>
      <c r="AP41" s="1591"/>
    </row>
    <row r="42" spans="1:42" s="1589" customFormat="1" hidden="1">
      <c r="A42" s="1588"/>
      <c r="B42" s="165"/>
      <c r="R42" s="1598"/>
      <c r="S42" s="1598"/>
      <c r="T42" s="1598"/>
      <c r="U42" s="1598"/>
      <c r="V42" s="1598"/>
      <c r="W42" s="1598"/>
      <c r="X42" s="1599"/>
      <c r="Y42" s="1599"/>
      <c r="Z42" s="1600"/>
      <c r="AA42" s="1599"/>
      <c r="AB42" s="1599"/>
      <c r="AC42" s="1599"/>
      <c r="AD42" s="1600"/>
      <c r="AE42" s="1600"/>
      <c r="AF42" s="1600"/>
      <c r="AG42" s="1599"/>
      <c r="AH42" s="1591"/>
      <c r="AI42" s="1591"/>
      <c r="AJ42" s="1591"/>
      <c r="AK42" s="1591"/>
      <c r="AL42" s="1591"/>
      <c r="AM42" s="1591"/>
      <c r="AN42" s="1591"/>
      <c r="AO42" s="1591"/>
      <c r="AP42" s="1591"/>
    </row>
    <row r="43" spans="1:42" s="1589" customFormat="1" hidden="1">
      <c r="A43" s="1588"/>
      <c r="B43" s="165"/>
      <c r="R43" s="1598"/>
      <c r="S43" s="1598"/>
      <c r="T43" s="1598"/>
      <c r="U43" s="1598"/>
      <c r="V43" s="1598"/>
      <c r="W43" s="1598"/>
      <c r="X43" s="1599"/>
      <c r="Y43" s="1599"/>
      <c r="Z43" s="1600"/>
      <c r="AA43" s="1599"/>
      <c r="AB43" s="1599"/>
      <c r="AC43" s="1599"/>
      <c r="AD43" s="1600"/>
      <c r="AE43" s="1600"/>
      <c r="AF43" s="1600"/>
      <c r="AG43" s="1599"/>
      <c r="AH43" s="1591"/>
      <c r="AI43" s="1591"/>
      <c r="AJ43" s="1591"/>
      <c r="AK43" s="1591"/>
      <c r="AL43" s="1591"/>
      <c r="AM43" s="1591"/>
      <c r="AN43" s="1591"/>
      <c r="AO43" s="1591"/>
      <c r="AP43" s="1591"/>
    </row>
    <row r="44" spans="1:42" s="1589" customFormat="1" hidden="1">
      <c r="A44" s="1588"/>
      <c r="B44" s="165"/>
      <c r="R44" s="1598"/>
      <c r="S44" s="1598"/>
      <c r="T44" s="1598"/>
      <c r="U44" s="1598"/>
      <c r="V44" s="1598"/>
      <c r="W44" s="1598"/>
      <c r="X44" s="1599"/>
      <c r="Y44" s="1599"/>
      <c r="Z44" s="1600"/>
      <c r="AA44" s="1599"/>
      <c r="AB44" s="1599"/>
      <c r="AC44" s="1599"/>
      <c r="AD44" s="1600"/>
      <c r="AE44" s="1600"/>
      <c r="AF44" s="1600"/>
      <c r="AG44" s="1599"/>
      <c r="AH44" s="1591"/>
      <c r="AI44" s="1591"/>
      <c r="AJ44" s="1591"/>
      <c r="AK44" s="1591"/>
      <c r="AL44" s="1591"/>
      <c r="AM44" s="1591"/>
      <c r="AN44" s="1591"/>
      <c r="AO44" s="1591"/>
      <c r="AP44" s="1591"/>
    </row>
    <row r="45" spans="1:42" s="1589" customFormat="1" hidden="1">
      <c r="A45" s="1588"/>
      <c r="B45" s="165"/>
      <c r="R45" s="1598"/>
      <c r="S45" s="1598"/>
      <c r="T45" s="1598"/>
      <c r="U45" s="1598"/>
      <c r="V45" s="1598"/>
      <c r="W45" s="1598"/>
      <c r="X45" s="1599"/>
      <c r="Y45" s="1599"/>
      <c r="Z45" s="1600"/>
      <c r="AA45" s="1599"/>
      <c r="AB45" s="1599"/>
      <c r="AC45" s="1599"/>
      <c r="AD45" s="1600"/>
      <c r="AE45" s="1600"/>
      <c r="AF45" s="1600"/>
      <c r="AG45" s="1599"/>
      <c r="AH45" s="1591"/>
      <c r="AI45" s="1591"/>
      <c r="AJ45" s="1591"/>
      <c r="AK45" s="1591"/>
      <c r="AL45" s="1591"/>
      <c r="AM45" s="1591"/>
      <c r="AN45" s="1591"/>
      <c r="AO45" s="1591"/>
      <c r="AP45" s="1591"/>
    </row>
    <row r="46" spans="1:42" s="1589" customFormat="1" hidden="1">
      <c r="A46" s="1588"/>
      <c r="B46" s="165"/>
      <c r="R46" s="1598"/>
      <c r="S46" s="1598"/>
      <c r="T46" s="1598"/>
      <c r="U46" s="1598"/>
      <c r="V46" s="1598"/>
      <c r="W46" s="1598"/>
      <c r="X46" s="1599"/>
      <c r="Y46" s="1599"/>
      <c r="Z46" s="1600"/>
      <c r="AA46" s="1599"/>
      <c r="AB46" s="1599"/>
      <c r="AC46" s="1599"/>
      <c r="AD46" s="1600"/>
      <c r="AE46" s="1600"/>
      <c r="AF46" s="1600"/>
      <c r="AG46" s="1599"/>
      <c r="AH46" s="1591"/>
      <c r="AI46" s="1591"/>
      <c r="AJ46" s="1591"/>
      <c r="AK46" s="1591"/>
      <c r="AL46" s="1591"/>
      <c r="AM46" s="1591"/>
      <c r="AN46" s="1591"/>
      <c r="AO46" s="1591"/>
      <c r="AP46" s="1591"/>
    </row>
    <row r="47" spans="1:42" s="1589" customFormat="1" hidden="1">
      <c r="A47" s="1588"/>
      <c r="B47" s="165"/>
      <c r="R47" s="1598"/>
      <c r="S47" s="1598"/>
      <c r="T47" s="1598"/>
      <c r="U47" s="1598"/>
      <c r="V47" s="1598"/>
      <c r="W47" s="1598"/>
      <c r="X47" s="1599"/>
      <c r="Y47" s="1599"/>
      <c r="Z47" s="1600"/>
      <c r="AA47" s="1599"/>
      <c r="AB47" s="1599"/>
      <c r="AC47" s="1599"/>
      <c r="AD47" s="1600"/>
      <c r="AE47" s="1600"/>
      <c r="AF47" s="1600"/>
      <c r="AG47" s="1599"/>
      <c r="AH47" s="1591"/>
      <c r="AI47" s="1591"/>
      <c r="AJ47" s="1591"/>
      <c r="AK47" s="1591"/>
      <c r="AL47" s="1591"/>
      <c r="AM47" s="1591"/>
      <c r="AN47" s="1591"/>
      <c r="AO47" s="1591"/>
      <c r="AP47" s="1591"/>
    </row>
    <row r="48" spans="1:42" s="1589" customFormat="1" hidden="1">
      <c r="A48" s="1588"/>
      <c r="B48" s="165"/>
      <c r="R48" s="1598"/>
      <c r="S48" s="1598"/>
      <c r="T48" s="1598"/>
      <c r="U48" s="1598"/>
      <c r="V48" s="1598"/>
      <c r="W48" s="1598"/>
      <c r="X48" s="1599"/>
      <c r="Y48" s="1599"/>
      <c r="Z48" s="1600"/>
      <c r="AA48" s="1599"/>
      <c r="AB48" s="1599"/>
      <c r="AC48" s="1599"/>
      <c r="AD48" s="1600"/>
      <c r="AE48" s="1600"/>
      <c r="AF48" s="1600"/>
      <c r="AG48" s="1599"/>
      <c r="AH48" s="1591"/>
      <c r="AI48" s="1591"/>
      <c r="AJ48" s="1591"/>
      <c r="AK48" s="1591"/>
      <c r="AL48" s="1591"/>
      <c r="AM48" s="1591"/>
      <c r="AN48" s="1591"/>
      <c r="AO48" s="1591"/>
      <c r="AP48" s="1591"/>
    </row>
    <row r="49" spans="1:43" s="1589" customFormat="1" hidden="1">
      <c r="A49" s="1588"/>
      <c r="B49" s="165"/>
      <c r="R49" s="1598"/>
      <c r="S49" s="1598"/>
      <c r="T49" s="1598"/>
      <c r="U49" s="1598"/>
      <c r="V49" s="1598"/>
      <c r="W49" s="1598"/>
      <c r="X49" s="1599"/>
      <c r="Y49" s="1599"/>
      <c r="Z49" s="1600"/>
      <c r="AA49" s="1599"/>
      <c r="AB49" s="1599"/>
      <c r="AC49" s="1599"/>
      <c r="AD49" s="1600"/>
      <c r="AE49" s="1600"/>
      <c r="AF49" s="1600"/>
      <c r="AG49" s="1599"/>
      <c r="AH49" s="1591"/>
      <c r="AI49" s="1591"/>
      <c r="AJ49" s="1591"/>
      <c r="AK49" s="1591"/>
      <c r="AL49" s="1591"/>
      <c r="AM49" s="1591"/>
      <c r="AN49" s="1591"/>
      <c r="AO49" s="1591"/>
      <c r="AP49" s="1591"/>
    </row>
    <row r="50" spans="1:43" s="1589" customFormat="1" hidden="1">
      <c r="A50" s="1588"/>
      <c r="B50" s="165"/>
      <c r="R50" s="1598"/>
      <c r="S50" s="1598"/>
      <c r="T50" s="1598"/>
      <c r="U50" s="1598"/>
      <c r="V50" s="1598"/>
      <c r="W50" s="1598"/>
      <c r="X50" s="1599"/>
      <c r="Y50" s="1599"/>
      <c r="Z50" s="1600"/>
      <c r="AA50" s="1599"/>
      <c r="AB50" s="1599"/>
      <c r="AC50" s="1599"/>
      <c r="AD50" s="1600"/>
      <c r="AE50" s="1600"/>
      <c r="AF50" s="1600"/>
      <c r="AG50" s="1599"/>
      <c r="AH50" s="1591"/>
      <c r="AI50" s="1591"/>
      <c r="AJ50" s="1591"/>
      <c r="AK50" s="1591"/>
      <c r="AL50" s="1591"/>
      <c r="AM50" s="1591"/>
      <c r="AN50" s="1591"/>
      <c r="AO50" s="1591"/>
      <c r="AP50" s="1591"/>
    </row>
    <row r="51" spans="1:43" s="1589" customFormat="1" hidden="1">
      <c r="A51" s="1588"/>
      <c r="B51" s="165"/>
      <c r="R51" s="1598"/>
      <c r="S51" s="1598"/>
      <c r="T51" s="1598"/>
      <c r="U51" s="1598"/>
      <c r="V51" s="1598"/>
      <c r="W51" s="1598"/>
      <c r="X51" s="1599"/>
      <c r="Y51" s="1599"/>
      <c r="Z51" s="1600"/>
      <c r="AA51" s="1599"/>
      <c r="AB51" s="1599"/>
      <c r="AC51" s="1599"/>
      <c r="AD51" s="1600"/>
      <c r="AE51" s="1600"/>
      <c r="AF51" s="1600"/>
      <c r="AG51" s="1599"/>
      <c r="AH51" s="1591"/>
      <c r="AI51" s="1591"/>
      <c r="AJ51" s="1591"/>
      <c r="AK51" s="1591"/>
      <c r="AL51" s="1591"/>
      <c r="AM51" s="1591"/>
      <c r="AN51" s="1591"/>
      <c r="AO51" s="1591"/>
      <c r="AP51" s="1591"/>
    </row>
    <row r="52" spans="1:43" s="1589" customFormat="1" hidden="1">
      <c r="A52" s="1588"/>
      <c r="B52" s="165"/>
      <c r="R52" s="1598"/>
      <c r="S52" s="1598"/>
      <c r="T52" s="1598"/>
      <c r="U52" s="1598"/>
      <c r="V52" s="1598"/>
      <c r="W52" s="1598"/>
      <c r="X52" s="1599"/>
      <c r="Y52" s="1599"/>
      <c r="Z52" s="1600"/>
      <c r="AA52" s="1599"/>
      <c r="AB52" s="1599"/>
      <c r="AC52" s="1599"/>
      <c r="AD52" s="1600"/>
      <c r="AE52" s="1600"/>
      <c r="AF52" s="1600"/>
      <c r="AG52" s="1599"/>
      <c r="AH52" s="1591"/>
      <c r="AI52" s="1591"/>
      <c r="AJ52" s="1591"/>
      <c r="AK52" s="1591"/>
      <c r="AL52" s="1591"/>
      <c r="AM52" s="1591"/>
      <c r="AN52" s="1591"/>
      <c r="AO52" s="1591"/>
      <c r="AP52" s="1591"/>
    </row>
    <row r="53" spans="1:43" s="1589" customFormat="1" hidden="1">
      <c r="A53" s="1588"/>
      <c r="B53" s="165"/>
      <c r="R53" s="1598"/>
      <c r="S53" s="1598"/>
      <c r="T53" s="1598"/>
      <c r="U53" s="1598"/>
      <c r="V53" s="1598"/>
      <c r="W53" s="1598"/>
      <c r="X53" s="1599"/>
      <c r="Y53" s="1599"/>
      <c r="Z53" s="1600"/>
      <c r="AA53" s="1599"/>
      <c r="AB53" s="1599"/>
      <c r="AC53" s="1599"/>
      <c r="AD53" s="1600"/>
      <c r="AE53" s="1600"/>
      <c r="AF53" s="1600"/>
      <c r="AG53" s="1599"/>
      <c r="AH53" s="1591"/>
      <c r="AI53" s="1591"/>
      <c r="AJ53" s="1591"/>
      <c r="AK53" s="1591"/>
      <c r="AL53" s="1591"/>
      <c r="AM53" s="1591"/>
      <c r="AN53" s="1591"/>
      <c r="AO53" s="1591"/>
      <c r="AP53" s="1591"/>
    </row>
    <row r="54" spans="1:43" s="1589" customFormat="1" hidden="1">
      <c r="A54" s="1588"/>
      <c r="B54" s="165"/>
      <c r="R54" s="1598"/>
      <c r="S54" s="1598"/>
      <c r="T54" s="1598"/>
      <c r="U54" s="1598"/>
      <c r="V54" s="1598"/>
      <c r="W54" s="1598"/>
      <c r="X54" s="1599"/>
      <c r="Y54" s="1599"/>
      <c r="Z54" s="1600"/>
      <c r="AA54" s="1599"/>
      <c r="AB54" s="1599"/>
      <c r="AC54" s="1599"/>
      <c r="AD54" s="1600"/>
      <c r="AE54" s="1600"/>
      <c r="AF54" s="1600"/>
      <c r="AG54" s="1599"/>
      <c r="AH54" s="1591"/>
      <c r="AI54" s="1591"/>
      <c r="AJ54" s="1591"/>
      <c r="AK54" s="1591"/>
      <c r="AL54" s="1591"/>
      <c r="AM54" s="1591"/>
      <c r="AN54" s="1591"/>
      <c r="AO54" s="1591"/>
      <c r="AP54" s="1591"/>
    </row>
    <row r="55" spans="1:43" s="1589" customFormat="1" hidden="1">
      <c r="A55" s="1588"/>
      <c r="B55" s="165"/>
      <c r="R55" s="1598"/>
      <c r="S55" s="1598"/>
      <c r="T55" s="1598"/>
      <c r="U55" s="1598"/>
      <c r="V55" s="1598"/>
      <c r="W55" s="1598"/>
      <c r="X55" s="1599"/>
      <c r="Y55" s="1599"/>
      <c r="Z55" s="1600"/>
      <c r="AA55" s="1599"/>
      <c r="AB55" s="1599"/>
      <c r="AC55" s="1599"/>
      <c r="AD55" s="1600"/>
      <c r="AE55" s="1600"/>
      <c r="AF55" s="1600"/>
      <c r="AG55" s="1599"/>
      <c r="AH55" s="1591"/>
      <c r="AI55" s="1591"/>
      <c r="AJ55" s="1591"/>
      <c r="AK55" s="1591"/>
      <c r="AL55" s="1591"/>
      <c r="AM55" s="1591"/>
      <c r="AN55" s="1591"/>
      <c r="AO55" s="1591"/>
      <c r="AP55" s="1591"/>
    </row>
    <row r="56" spans="1:43" s="1589" customFormat="1" hidden="1">
      <c r="A56" s="1588"/>
      <c r="B56" s="165"/>
      <c r="R56" s="1598"/>
      <c r="S56" s="1598"/>
      <c r="T56" s="1598"/>
      <c r="U56" s="1598"/>
      <c r="V56" s="1598"/>
      <c r="W56" s="1598"/>
      <c r="X56" s="1599"/>
      <c r="Y56" s="1599"/>
      <c r="Z56" s="1600"/>
      <c r="AA56" s="1599"/>
      <c r="AB56" s="1599"/>
      <c r="AC56" s="1599"/>
      <c r="AD56" s="1600"/>
      <c r="AE56" s="1600"/>
      <c r="AF56" s="1600"/>
      <c r="AG56" s="1599"/>
      <c r="AH56" s="1591"/>
      <c r="AI56" s="1591"/>
      <c r="AJ56" s="1591"/>
      <c r="AK56" s="1591"/>
      <c r="AL56" s="1591"/>
      <c r="AM56" s="1591"/>
      <c r="AN56" s="1591"/>
      <c r="AO56" s="1591"/>
      <c r="AP56" s="1591"/>
    </row>
    <row r="57" spans="1:43" s="1589" customFormat="1" hidden="1">
      <c r="A57" s="1588"/>
      <c r="B57" s="165"/>
      <c r="R57" s="1598"/>
      <c r="S57" s="1598"/>
      <c r="T57" s="1598"/>
      <c r="U57" s="1598"/>
      <c r="V57" s="1598"/>
      <c r="W57" s="1598"/>
      <c r="X57" s="1599"/>
      <c r="Y57" s="1599"/>
      <c r="Z57" s="1600"/>
      <c r="AA57" s="1599"/>
      <c r="AB57" s="1599"/>
      <c r="AC57" s="1599"/>
      <c r="AD57" s="1600"/>
      <c r="AE57" s="1600"/>
      <c r="AF57" s="1600"/>
      <c r="AG57" s="1599"/>
      <c r="AH57" s="1591"/>
      <c r="AI57" s="1591"/>
      <c r="AJ57" s="1591"/>
      <c r="AK57" s="1591"/>
      <c r="AL57" s="1591"/>
      <c r="AM57" s="1591"/>
      <c r="AN57" s="1591"/>
      <c r="AO57" s="1591"/>
      <c r="AP57" s="1591"/>
    </row>
    <row r="58" spans="1:43" s="1589" customFormat="1" hidden="1">
      <c r="A58" s="1588"/>
      <c r="B58" s="165"/>
      <c r="R58" s="1598"/>
      <c r="S58" s="1598"/>
      <c r="T58" s="1598"/>
      <c r="U58" s="1598"/>
      <c r="V58" s="1598"/>
      <c r="W58" s="1598"/>
      <c r="X58" s="1599"/>
      <c r="Y58" s="1599"/>
      <c r="Z58" s="1600"/>
      <c r="AA58" s="1599"/>
      <c r="AB58" s="1599"/>
      <c r="AC58" s="1599"/>
      <c r="AD58" s="1600"/>
      <c r="AE58" s="1600"/>
      <c r="AF58" s="1600"/>
      <c r="AG58" s="1599"/>
      <c r="AH58" s="1591"/>
      <c r="AI58" s="1591"/>
      <c r="AJ58" s="1591"/>
      <c r="AK58" s="1591"/>
      <c r="AL58" s="1591"/>
      <c r="AM58" s="1591"/>
      <c r="AN58" s="1591"/>
      <c r="AO58" s="1591"/>
      <c r="AP58" s="1591"/>
    </row>
    <row r="59" spans="1:43" s="1589" customFormat="1">
      <c r="A59" s="1588"/>
      <c r="B59" s="165"/>
      <c r="R59" s="1598"/>
      <c r="S59" s="1598"/>
      <c r="T59" s="1598"/>
      <c r="U59" s="1598"/>
      <c r="V59" s="1598"/>
      <c r="W59" s="1598"/>
      <c r="X59" s="1599"/>
      <c r="Y59" s="1599"/>
      <c r="Z59" s="1600"/>
      <c r="AA59" s="1599"/>
      <c r="AB59" s="1599"/>
      <c r="AC59" s="1599"/>
      <c r="AD59" s="1600"/>
      <c r="AE59" s="1600"/>
      <c r="AF59" s="1600"/>
      <c r="AG59" s="1599"/>
      <c r="AH59" s="1591"/>
      <c r="AI59" s="1591"/>
      <c r="AJ59" s="1591"/>
      <c r="AK59" s="1591"/>
      <c r="AL59" s="1591"/>
      <c r="AM59" s="1591"/>
      <c r="AN59" s="1591"/>
      <c r="AO59" s="1591"/>
      <c r="AP59" s="1591"/>
    </row>
    <row r="60" spans="1:43" s="1589" customFormat="1" outlineLevel="1">
      <c r="A60" s="1588"/>
      <c r="B60" s="170" t="s">
        <v>26</v>
      </c>
      <c r="C60" s="171"/>
      <c r="D60" s="171"/>
      <c r="E60" s="171"/>
      <c r="F60" s="171"/>
      <c r="G60" s="171"/>
      <c r="H60" s="171"/>
      <c r="I60" s="171"/>
      <c r="J60" s="171"/>
      <c r="K60" s="171"/>
      <c r="L60" s="171"/>
      <c r="M60" s="171"/>
      <c r="N60" s="171"/>
      <c r="O60" s="171"/>
      <c r="P60" s="171"/>
      <c r="Q60" s="171"/>
      <c r="R60" s="1251"/>
      <c r="S60" s="1251"/>
      <c r="T60" s="1251"/>
      <c r="U60" s="1251"/>
      <c r="V60" s="1251"/>
      <c r="W60" s="1251"/>
      <c r="X60" s="1251"/>
      <c r="Y60" s="1251"/>
      <c r="Z60" s="1251"/>
      <c r="AA60" s="1251"/>
      <c r="AB60" s="1251"/>
      <c r="AC60" s="1251"/>
      <c r="AD60" s="1251"/>
      <c r="AE60" s="1251"/>
      <c r="AF60" s="1251"/>
      <c r="AG60" s="1599"/>
      <c r="AH60" s="1591"/>
      <c r="AI60" s="1591"/>
      <c r="AJ60" s="1591"/>
      <c r="AK60" s="1591"/>
      <c r="AL60" s="1591"/>
      <c r="AM60" s="1591"/>
      <c r="AN60" s="1591"/>
      <c r="AO60" s="1591"/>
      <c r="AP60" s="1591"/>
    </row>
    <row r="61" spans="1:43" s="1589" customFormat="1" outlineLevel="1">
      <c r="A61" s="1588"/>
      <c r="B61" s="190" t="s">
        <v>588</v>
      </c>
      <c r="C61" s="191"/>
      <c r="D61" s="191"/>
      <c r="E61" s="191"/>
      <c r="F61" s="191"/>
      <c r="G61" s="191"/>
      <c r="H61" s="191"/>
      <c r="I61" s="191"/>
      <c r="J61" s="191"/>
      <c r="K61" s="191"/>
      <c r="L61" s="191"/>
      <c r="M61" s="191"/>
      <c r="N61" s="191"/>
      <c r="O61" s="191"/>
      <c r="P61" s="191"/>
      <c r="Q61" s="191"/>
      <c r="R61" s="1624"/>
      <c r="S61" s="1624"/>
      <c r="T61" s="1624"/>
      <c r="U61" s="1624"/>
      <c r="V61" s="1624"/>
      <c r="W61" s="1624"/>
      <c r="X61" s="1624"/>
      <c r="Y61" s="1624"/>
      <c r="Z61" s="1624"/>
      <c r="AA61" s="1624"/>
      <c r="AB61" s="1624"/>
      <c r="AC61" s="1624"/>
      <c r="AD61" s="1624"/>
      <c r="AE61" s="1624"/>
      <c r="AF61" s="1624"/>
      <c r="AG61" s="1599"/>
      <c r="AH61" s="1591"/>
      <c r="AI61" s="1591"/>
      <c r="AJ61" s="1591"/>
      <c r="AK61" s="1591"/>
      <c r="AL61" s="1591"/>
      <c r="AM61" s="1591"/>
      <c r="AN61" s="1591"/>
      <c r="AO61" s="1591"/>
      <c r="AP61" s="1591"/>
    </row>
    <row r="62" spans="1:43" s="1589" customFormat="1" outlineLevel="1">
      <c r="A62" s="1588"/>
      <c r="B62" s="562"/>
      <c r="C62" s="562"/>
      <c r="D62" s="562"/>
      <c r="E62" s="562"/>
      <c r="F62" s="562"/>
      <c r="G62" s="562"/>
      <c r="H62" s="562"/>
      <c r="I62" s="562"/>
      <c r="J62" s="562"/>
      <c r="K62" s="562"/>
      <c r="L62" s="562"/>
      <c r="M62" s="562"/>
      <c r="N62" s="562"/>
      <c r="O62" s="561"/>
      <c r="P62" s="194"/>
      <c r="Q62" s="194"/>
      <c r="R62" s="1625"/>
      <c r="S62" s="1625"/>
      <c r="T62" s="1625"/>
      <c r="U62" s="1625"/>
      <c r="V62" s="1625"/>
      <c r="W62" s="1625"/>
      <c r="X62" s="1626"/>
      <c r="Y62" s="1627"/>
      <c r="Z62" s="1627"/>
      <c r="AA62" s="1627"/>
      <c r="AB62" s="1627"/>
      <c r="AC62" s="1627"/>
      <c r="AD62" s="1627"/>
      <c r="AE62" s="1627"/>
      <c r="AF62" s="1627"/>
      <c r="AG62" s="1599"/>
      <c r="AH62" s="1591"/>
      <c r="AI62" s="1591"/>
      <c r="AJ62" s="1591"/>
      <c r="AK62" s="1591"/>
      <c r="AL62" s="1591"/>
      <c r="AM62" s="1591"/>
      <c r="AN62" s="1591"/>
      <c r="AO62" s="1591"/>
      <c r="AP62" s="1591"/>
    </row>
    <row r="63" spans="1:43" s="1589" customFormat="1" outlineLevel="1">
      <c r="A63" s="1588"/>
      <c r="B63" s="165" t="s">
        <v>1711</v>
      </c>
      <c r="C63" s="165"/>
      <c r="D63" s="165"/>
      <c r="E63" s="167"/>
      <c r="F63" s="167"/>
      <c r="G63" s="167"/>
      <c r="H63" s="167"/>
      <c r="I63" s="167"/>
      <c r="J63" s="167"/>
      <c r="K63" s="167"/>
      <c r="L63" s="167"/>
      <c r="M63" s="167"/>
      <c r="N63" s="167"/>
      <c r="O63" s="197"/>
      <c r="P63" s="198"/>
      <c r="Q63" s="199"/>
      <c r="R63" s="1628"/>
      <c r="S63" s="1628"/>
      <c r="T63" s="1628"/>
      <c r="U63" s="1628"/>
      <c r="V63" s="1628"/>
      <c r="W63" s="1628"/>
      <c r="X63" s="1623">
        <v>2001</v>
      </c>
      <c r="Y63" s="1629"/>
      <c r="Z63" s="1630">
        <v>2003</v>
      </c>
      <c r="AA63" s="1629"/>
      <c r="AB63" s="1630">
        <v>2005</v>
      </c>
      <c r="AC63" s="1630">
        <v>2006</v>
      </c>
      <c r="AD63" s="1630">
        <v>2007</v>
      </c>
      <c r="AE63" s="1630">
        <v>2008</v>
      </c>
      <c r="AF63" s="1630">
        <v>2009</v>
      </c>
      <c r="AG63" s="1630">
        <v>2010</v>
      </c>
      <c r="AH63" s="1630">
        <v>2011</v>
      </c>
      <c r="AI63" s="1630">
        <v>2012</v>
      </c>
      <c r="AJ63" s="1630">
        <v>2013</v>
      </c>
      <c r="AK63" s="1630">
        <v>2014</v>
      </c>
      <c r="AL63" s="1630">
        <v>2015</v>
      </c>
      <c r="AM63" s="1630">
        <v>2016</v>
      </c>
      <c r="AN63" s="1630">
        <v>2017</v>
      </c>
      <c r="AO63" s="817">
        <v>2018</v>
      </c>
      <c r="AP63" s="1630">
        <v>2019</v>
      </c>
      <c r="AQ63" s="817">
        <v>2020</v>
      </c>
    </row>
    <row r="64" spans="1:43" s="1589" customFormat="1" outlineLevel="1">
      <c r="A64" s="1588"/>
      <c r="B64" s="165" t="s">
        <v>1712</v>
      </c>
      <c r="C64" s="165"/>
      <c r="D64" s="165"/>
      <c r="E64" s="167"/>
      <c r="F64" s="167"/>
      <c r="G64" s="167"/>
      <c r="H64" s="167"/>
      <c r="I64" s="167"/>
      <c r="J64" s="167"/>
      <c r="K64" s="167"/>
      <c r="L64" s="167"/>
      <c r="M64" s="167"/>
      <c r="N64" s="167"/>
      <c r="O64" s="197"/>
      <c r="P64" s="198"/>
      <c r="Q64" s="199"/>
      <c r="R64" s="1628"/>
      <c r="S64" s="1628"/>
      <c r="T64" s="1628"/>
      <c r="U64" s="1628"/>
      <c r="V64" s="1628"/>
      <c r="W64" s="1628"/>
      <c r="X64" s="1498"/>
      <c r="Y64" s="1093"/>
      <c r="Z64" s="1498"/>
      <c r="AA64" s="1093"/>
      <c r="AB64" s="1093"/>
      <c r="AC64" s="1093"/>
      <c r="AD64" s="1498"/>
      <c r="AE64" s="1498"/>
      <c r="AF64" s="1498"/>
      <c r="AG64" s="1599"/>
      <c r="AH64" s="1591"/>
      <c r="AI64" s="1591"/>
      <c r="AJ64" s="1591"/>
      <c r="AK64" s="1591"/>
      <c r="AL64" s="1591"/>
      <c r="AM64" s="1591"/>
      <c r="AN64" s="1591"/>
      <c r="AO64" s="1591"/>
      <c r="AP64" s="1591"/>
      <c r="AQ64" s="1591"/>
    </row>
    <row r="65" spans="1:43" s="1589" customFormat="1" outlineLevel="1">
      <c r="A65" s="1588"/>
      <c r="B65" s="204" t="s">
        <v>28</v>
      </c>
      <c r="C65" s="165" t="s">
        <v>29</v>
      </c>
      <c r="D65" s="165"/>
      <c r="E65" s="167"/>
      <c r="F65" s="167"/>
      <c r="G65" s="167"/>
      <c r="H65" s="167"/>
      <c r="I65" s="167"/>
      <c r="J65" s="167"/>
      <c r="K65" s="167"/>
      <c r="L65" s="167"/>
      <c r="M65" s="167"/>
      <c r="N65" s="167"/>
      <c r="O65" s="197"/>
      <c r="P65" s="198"/>
      <c r="Q65" s="199"/>
      <c r="R65" s="1628"/>
      <c r="S65" s="1628"/>
      <c r="T65" s="1628"/>
      <c r="U65" s="1628"/>
      <c r="V65" s="1628"/>
      <c r="W65" s="1628"/>
      <c r="X65" s="1631">
        <v>391691700</v>
      </c>
      <c r="Y65" s="1631">
        <v>440206700</v>
      </c>
      <c r="Z65" s="1631">
        <v>452736500</v>
      </c>
      <c r="AA65" s="1631">
        <v>468700500</v>
      </c>
      <c r="AB65" s="1631">
        <v>500910900</v>
      </c>
      <c r="AC65" s="1631">
        <v>533277700</v>
      </c>
      <c r="AD65" s="1631">
        <v>571809500</v>
      </c>
      <c r="AE65" s="1631">
        <v>606355800</v>
      </c>
      <c r="AF65" s="1631">
        <v>622808600</v>
      </c>
      <c r="AG65" s="1632">
        <v>667061300</v>
      </c>
      <c r="AH65" s="1632">
        <v>711118800</v>
      </c>
      <c r="AI65" s="1632">
        <v>738312100</v>
      </c>
      <c r="AJ65" s="1633">
        <v>758005000</v>
      </c>
      <c r="AK65" s="1633">
        <v>780462700</v>
      </c>
      <c r="AL65" s="1633">
        <v>804812400</v>
      </c>
      <c r="AM65" s="1633">
        <v>834804800</v>
      </c>
      <c r="AN65" s="1633">
        <v>872791400</v>
      </c>
      <c r="AO65" s="1633">
        <v>911576100</v>
      </c>
      <c r="AP65" s="1633">
        <v>935933800</v>
      </c>
      <c r="AQ65" s="1633">
        <v>897449200</v>
      </c>
    </row>
    <row r="66" spans="1:43" s="1589" customFormat="1" ht="5.0999999999999996" customHeight="1" outlineLevel="1">
      <c r="A66" s="1588"/>
      <c r="B66" s="75"/>
      <c r="C66" s="165"/>
      <c r="D66" s="165"/>
      <c r="E66" s="167"/>
      <c r="F66" s="167"/>
      <c r="G66" s="167"/>
      <c r="H66" s="167"/>
      <c r="I66" s="167"/>
      <c r="J66" s="167"/>
      <c r="K66" s="167"/>
      <c r="L66" s="167"/>
      <c r="M66" s="167"/>
      <c r="N66" s="167"/>
      <c r="O66" s="197"/>
      <c r="P66" s="198"/>
      <c r="Q66" s="199"/>
      <c r="R66" s="1628"/>
      <c r="S66" s="1628"/>
      <c r="T66" s="1628"/>
      <c r="U66" s="1628"/>
      <c r="V66" s="1628"/>
      <c r="W66" s="1628"/>
      <c r="X66" s="1631"/>
      <c r="Y66" s="1631"/>
      <c r="Z66" s="1631"/>
      <c r="AA66" s="1631"/>
      <c r="AB66" s="1631"/>
      <c r="AC66" s="1631"/>
      <c r="AD66" s="1631"/>
      <c r="AE66" s="1631"/>
      <c r="AF66" s="1631"/>
      <c r="AG66" s="1633"/>
      <c r="AH66" s="1633"/>
      <c r="AI66" s="1633"/>
      <c r="AJ66" s="1633"/>
      <c r="AK66" s="1633"/>
      <c r="AL66" s="1633"/>
      <c r="AM66" s="1633"/>
      <c r="AN66" s="1633"/>
      <c r="AO66" s="1633"/>
      <c r="AP66" s="1633"/>
      <c r="AQ66" s="1633"/>
    </row>
    <row r="67" spans="1:43" s="1589" customFormat="1" outlineLevel="1">
      <c r="A67" s="1588"/>
      <c r="B67" s="204" t="s">
        <v>30</v>
      </c>
      <c r="C67" s="165" t="s">
        <v>31</v>
      </c>
      <c r="D67" s="165"/>
      <c r="E67" s="167"/>
      <c r="F67" s="167"/>
      <c r="G67" s="167"/>
      <c r="H67" s="167"/>
      <c r="I67" s="167"/>
      <c r="J67" s="167"/>
      <c r="K67" s="167"/>
      <c r="L67" s="167"/>
      <c r="M67" s="167"/>
      <c r="N67" s="167"/>
      <c r="O67" s="197"/>
      <c r="P67" s="198"/>
      <c r="Q67" s="199"/>
      <c r="R67" s="1628"/>
      <c r="S67" s="1628"/>
      <c r="T67" s="1628"/>
      <c r="U67" s="1628"/>
      <c r="V67" s="1628"/>
      <c r="W67" s="1628"/>
      <c r="X67" s="1631">
        <v>431817500</v>
      </c>
      <c r="Y67" s="1631">
        <v>485102299.99999994</v>
      </c>
      <c r="Z67" s="1631">
        <v>502592600</v>
      </c>
      <c r="AA67" s="1631">
        <v>524275100.00000006</v>
      </c>
      <c r="AB67" s="1631">
        <v>562195500</v>
      </c>
      <c r="AC67" s="1631">
        <v>602023500</v>
      </c>
      <c r="AD67" s="1631">
        <v>647765800</v>
      </c>
      <c r="AE67" s="1631">
        <v>692549400</v>
      </c>
      <c r="AF67" s="1631">
        <v>719301700</v>
      </c>
      <c r="AG67" s="1633">
        <v>773660100</v>
      </c>
      <c r="AH67" s="1633">
        <v>825829000</v>
      </c>
      <c r="AI67" s="1633">
        <v>860530800</v>
      </c>
      <c r="AJ67" s="1633">
        <v>887829500</v>
      </c>
      <c r="AK67" s="1633">
        <v>917648000</v>
      </c>
      <c r="AL67" s="1633">
        <v>948766300</v>
      </c>
      <c r="AM67" s="1633">
        <v>989095500</v>
      </c>
      <c r="AN67" s="1633">
        <v>1038593700</v>
      </c>
      <c r="AO67" s="1633">
        <v>1091158300</v>
      </c>
      <c r="AP67" s="1633">
        <v>1132122500</v>
      </c>
      <c r="AQ67" s="1633">
        <v>1107627100</v>
      </c>
    </row>
    <row r="68" spans="1:43" s="1589" customFormat="1" ht="5.0999999999999996" customHeight="1" outlineLevel="1">
      <c r="A68" s="1588"/>
      <c r="B68" s="75"/>
      <c r="C68" s="165"/>
      <c r="D68" s="165"/>
      <c r="E68" s="167"/>
      <c r="F68" s="167"/>
      <c r="G68" s="167"/>
      <c r="H68" s="167"/>
      <c r="I68" s="167"/>
      <c r="J68" s="167"/>
      <c r="K68" s="167"/>
      <c r="L68" s="167"/>
      <c r="M68" s="167"/>
      <c r="N68" s="167"/>
      <c r="O68" s="197"/>
      <c r="P68" s="198"/>
      <c r="Q68" s="199"/>
      <c r="R68" s="1628"/>
      <c r="S68" s="1628"/>
      <c r="T68" s="1628"/>
      <c r="U68" s="1628"/>
      <c r="V68" s="1628"/>
      <c r="W68" s="1628"/>
      <c r="X68" s="626"/>
      <c r="Y68" s="626"/>
      <c r="Z68" s="626"/>
      <c r="AA68" s="626"/>
      <c r="AB68" s="626"/>
      <c r="AC68" s="626"/>
      <c r="AD68" s="626"/>
      <c r="AE68" s="626"/>
      <c r="AF68" s="626"/>
      <c r="AG68" s="1634"/>
      <c r="AH68" s="1634"/>
      <c r="AI68" s="1634"/>
      <c r="AJ68" s="1634"/>
      <c r="AK68" s="1634"/>
      <c r="AL68" s="1634"/>
      <c r="AM68" s="1634"/>
      <c r="AN68" s="1634"/>
      <c r="AO68" s="1634"/>
      <c r="AP68" s="1634"/>
      <c r="AQ68" s="1634"/>
    </row>
    <row r="69" spans="1:43" s="1589" customFormat="1" outlineLevel="1">
      <c r="A69" s="1588"/>
      <c r="B69" s="204" t="s">
        <v>32</v>
      </c>
      <c r="C69" s="165" t="s">
        <v>33</v>
      </c>
      <c r="D69" s="165"/>
      <c r="E69" s="167"/>
      <c r="F69" s="167"/>
      <c r="G69" s="167"/>
      <c r="H69" s="167"/>
      <c r="I69" s="167"/>
      <c r="J69" s="167"/>
      <c r="K69" s="167"/>
      <c r="L69" s="167"/>
      <c r="M69" s="167"/>
      <c r="N69" s="167"/>
      <c r="O69" s="197"/>
      <c r="P69" s="198"/>
      <c r="Q69" s="199"/>
      <c r="R69" s="1628"/>
      <c r="S69" s="1628"/>
      <c r="T69" s="1628"/>
      <c r="U69" s="1628"/>
      <c r="V69" s="1628"/>
      <c r="W69" s="1628"/>
      <c r="X69" s="1631">
        <v>48448000</v>
      </c>
      <c r="Y69" s="1631">
        <v>54083000</v>
      </c>
      <c r="Z69" s="1631">
        <v>57438000</v>
      </c>
      <c r="AA69" s="1631">
        <v>59082000</v>
      </c>
      <c r="AB69" s="1631">
        <f t="shared" ref="AB69:AO69" si="7">SUM(AB71:AB72)</f>
        <v>61006000</v>
      </c>
      <c r="AC69" s="1631">
        <f t="shared" si="7"/>
        <v>63076000</v>
      </c>
      <c r="AD69" s="1631">
        <f t="shared" si="7"/>
        <v>68822000</v>
      </c>
      <c r="AE69" s="1631">
        <f t="shared" si="7"/>
        <v>72164000</v>
      </c>
      <c r="AF69" s="1631">
        <f t="shared" si="7"/>
        <v>72333000</v>
      </c>
      <c r="AG69" s="1633">
        <f t="shared" si="7"/>
        <v>83140000</v>
      </c>
      <c r="AH69" s="1633">
        <f t="shared" si="7"/>
        <v>80269000</v>
      </c>
      <c r="AI69" s="1633">
        <f t="shared" si="7"/>
        <v>87112000</v>
      </c>
      <c r="AJ69" s="1633">
        <f t="shared" si="7"/>
        <v>86766000</v>
      </c>
      <c r="AK69" s="1633">
        <f t="shared" si="7"/>
        <v>91201000</v>
      </c>
      <c r="AL69" s="1633">
        <f t="shared" si="7"/>
        <v>92019000</v>
      </c>
      <c r="AM69" s="1633">
        <f t="shared" si="7"/>
        <v>102991000</v>
      </c>
      <c r="AN69" s="1633">
        <f t="shared" si="7"/>
        <v>110140000</v>
      </c>
      <c r="AO69" s="1633">
        <f t="shared" si="7"/>
        <v>113689000</v>
      </c>
      <c r="AP69" s="1633">
        <f t="shared" ref="AP69:AQ69" si="8">SUM(AP71:AP72)</f>
        <v>116865000</v>
      </c>
      <c r="AQ69" s="1633">
        <f t="shared" si="8"/>
        <v>114465000</v>
      </c>
    </row>
    <row r="70" spans="1:43" s="1589" customFormat="1" ht="5.0999999999999996" customHeight="1" outlineLevel="1">
      <c r="A70" s="1588"/>
      <c r="B70" s="75"/>
      <c r="C70" s="165"/>
      <c r="D70" s="165"/>
      <c r="E70" s="167"/>
      <c r="F70" s="167"/>
      <c r="G70" s="167"/>
      <c r="H70" s="167"/>
      <c r="I70" s="167"/>
      <c r="J70" s="167"/>
      <c r="K70" s="167"/>
      <c r="L70" s="167"/>
      <c r="M70" s="167"/>
      <c r="N70" s="167"/>
      <c r="O70" s="197"/>
      <c r="P70" s="198"/>
      <c r="Q70" s="199"/>
      <c r="R70" s="1628"/>
      <c r="S70" s="1628"/>
      <c r="T70" s="1628"/>
      <c r="U70" s="1628"/>
      <c r="V70" s="1628"/>
      <c r="W70" s="1628"/>
      <c r="X70" s="626"/>
      <c r="Y70" s="626"/>
      <c r="Z70" s="626"/>
      <c r="AA70" s="626"/>
      <c r="AB70" s="626"/>
      <c r="AC70" s="626"/>
      <c r="AD70" s="626"/>
      <c r="AE70" s="626"/>
      <c r="AF70" s="626"/>
      <c r="AG70" s="1634"/>
      <c r="AH70" s="1634"/>
      <c r="AI70" s="1634"/>
      <c r="AJ70" s="1634"/>
      <c r="AK70" s="1634"/>
      <c r="AL70" s="1634"/>
      <c r="AM70" s="1634"/>
      <c r="AN70" s="1634"/>
      <c r="AO70" s="1634"/>
      <c r="AP70" s="1634"/>
      <c r="AQ70" s="1634"/>
    </row>
    <row r="71" spans="1:43" s="1589" customFormat="1" outlineLevel="1">
      <c r="A71" s="1588"/>
      <c r="B71" s="75"/>
      <c r="C71" s="165" t="s">
        <v>34</v>
      </c>
      <c r="D71" s="165"/>
      <c r="E71" s="167"/>
      <c r="F71" s="167"/>
      <c r="G71" s="167"/>
      <c r="H71" s="167"/>
      <c r="I71" s="167"/>
      <c r="J71" s="167"/>
      <c r="K71" s="167"/>
      <c r="L71" s="167"/>
      <c r="M71" s="167"/>
      <c r="N71" s="167"/>
      <c r="O71" s="197"/>
      <c r="P71" s="198"/>
      <c r="Q71" s="199"/>
      <c r="R71" s="1628"/>
      <c r="S71" s="1628"/>
      <c r="T71" s="1628"/>
      <c r="U71" s="1628"/>
      <c r="V71" s="1628"/>
      <c r="W71" s="1628"/>
      <c r="X71" s="1631">
        <v>25835000</v>
      </c>
      <c r="Y71" s="1631">
        <v>31609000</v>
      </c>
      <c r="Z71" s="1631">
        <v>33447000</v>
      </c>
      <c r="AA71" s="1631">
        <v>34572000</v>
      </c>
      <c r="AB71" s="1631">
        <v>36118000</v>
      </c>
      <c r="AC71" s="1631">
        <v>38093000</v>
      </c>
      <c r="AD71" s="1631">
        <v>40942000</v>
      </c>
      <c r="AE71" s="1631">
        <v>43820000</v>
      </c>
      <c r="AF71" s="1631">
        <v>46992000</v>
      </c>
      <c r="AG71" s="1633">
        <v>51800000</v>
      </c>
      <c r="AH71" s="1633">
        <v>54868000</v>
      </c>
      <c r="AI71" s="1633">
        <v>58702000</v>
      </c>
      <c r="AJ71" s="1633">
        <v>59105000</v>
      </c>
      <c r="AK71" s="1633">
        <v>62975000</v>
      </c>
      <c r="AL71" s="1633">
        <v>60162000</v>
      </c>
      <c r="AM71" s="1633">
        <v>68229000</v>
      </c>
      <c r="AN71" s="1633">
        <v>74361000</v>
      </c>
      <c r="AO71" s="1633">
        <v>77471000</v>
      </c>
      <c r="AP71" s="1633">
        <v>82174000</v>
      </c>
      <c r="AQ71" s="1633">
        <v>81452000</v>
      </c>
    </row>
    <row r="72" spans="1:43" s="1589" customFormat="1" outlineLevel="1">
      <c r="A72" s="1588"/>
      <c r="B72" s="75"/>
      <c r="C72" s="165" t="s">
        <v>35</v>
      </c>
      <c r="D72" s="165"/>
      <c r="E72" s="167"/>
      <c r="F72" s="167"/>
      <c r="G72" s="167"/>
      <c r="H72" s="167"/>
      <c r="I72" s="167"/>
      <c r="J72" s="167"/>
      <c r="K72" s="167"/>
      <c r="L72" s="167"/>
      <c r="M72" s="167"/>
      <c r="N72" s="167"/>
      <c r="O72" s="197"/>
      <c r="P72" s="198"/>
      <c r="Q72" s="199"/>
      <c r="R72" s="1628"/>
      <c r="S72" s="1628"/>
      <c r="T72" s="1628"/>
      <c r="U72" s="1628"/>
      <c r="V72" s="1628"/>
      <c r="W72" s="1628"/>
      <c r="X72" s="1631">
        <v>22613000</v>
      </c>
      <c r="Y72" s="1631">
        <v>22474000</v>
      </c>
      <c r="Z72" s="1631">
        <v>23991000</v>
      </c>
      <c r="AA72" s="1631">
        <v>24510000</v>
      </c>
      <c r="AB72" s="1631">
        <v>24888000</v>
      </c>
      <c r="AC72" s="1631">
        <v>24983000</v>
      </c>
      <c r="AD72" s="1631">
        <v>27880000</v>
      </c>
      <c r="AE72" s="1631">
        <v>28344000</v>
      </c>
      <c r="AF72" s="1631">
        <v>25341000</v>
      </c>
      <c r="AG72" s="1633">
        <v>31340000</v>
      </c>
      <c r="AH72" s="1633">
        <v>25401000</v>
      </c>
      <c r="AI72" s="1633">
        <v>28410000</v>
      </c>
      <c r="AJ72" s="1633">
        <v>27661000</v>
      </c>
      <c r="AK72" s="1633">
        <v>28226000</v>
      </c>
      <c r="AL72" s="1633">
        <v>31857000</v>
      </c>
      <c r="AM72" s="1633">
        <v>34762000</v>
      </c>
      <c r="AN72" s="1633">
        <v>35779000</v>
      </c>
      <c r="AO72" s="1633">
        <v>36218000</v>
      </c>
      <c r="AP72" s="1633">
        <v>34691000</v>
      </c>
      <c r="AQ72" s="1633">
        <v>33013000</v>
      </c>
    </row>
    <row r="73" spans="1:43" s="1589" customFormat="1" ht="5.0999999999999996" customHeight="1" outlineLevel="1">
      <c r="A73" s="1588"/>
      <c r="B73" s="75"/>
      <c r="C73" s="165"/>
      <c r="D73" s="165"/>
      <c r="E73" s="167"/>
      <c r="F73" s="167"/>
      <c r="G73" s="167"/>
      <c r="H73" s="167"/>
      <c r="I73" s="167"/>
      <c r="J73" s="167"/>
      <c r="K73" s="167"/>
      <c r="L73" s="167"/>
      <c r="M73" s="167"/>
      <c r="N73" s="167"/>
      <c r="O73" s="197"/>
      <c r="P73" s="198"/>
      <c r="Q73" s="199"/>
      <c r="R73" s="1628"/>
      <c r="S73" s="1628"/>
      <c r="T73" s="1628"/>
      <c r="U73" s="1628"/>
      <c r="V73" s="1628"/>
      <c r="W73" s="1628"/>
      <c r="X73" s="626"/>
      <c r="Y73" s="626"/>
      <c r="Z73" s="626"/>
      <c r="AA73" s="626"/>
      <c r="AB73" s="626"/>
      <c r="AC73" s="626"/>
      <c r="AD73" s="626"/>
      <c r="AE73" s="626"/>
      <c r="AF73" s="626"/>
      <c r="AG73" s="1634"/>
      <c r="AH73" s="1634"/>
      <c r="AI73" s="1634"/>
      <c r="AJ73" s="1634"/>
      <c r="AK73" s="1634"/>
      <c r="AL73" s="1634"/>
      <c r="AM73" s="1634"/>
      <c r="AN73" s="1634"/>
      <c r="AO73" s="1634"/>
      <c r="AP73" s="1634"/>
      <c r="AQ73" s="1634"/>
    </row>
    <row r="74" spans="1:43" s="1589" customFormat="1" outlineLevel="1">
      <c r="A74" s="1588"/>
      <c r="B74" s="204" t="s">
        <v>36</v>
      </c>
      <c r="C74" s="165" t="s">
        <v>37</v>
      </c>
      <c r="D74" s="165"/>
      <c r="E74" s="167"/>
      <c r="F74" s="167"/>
      <c r="G74" s="167"/>
      <c r="H74" s="167"/>
      <c r="I74" s="167"/>
      <c r="J74" s="167"/>
      <c r="K74" s="167"/>
      <c r="L74" s="167"/>
      <c r="M74" s="167"/>
      <c r="N74" s="167"/>
      <c r="O74" s="197"/>
      <c r="P74" s="198"/>
      <c r="Q74" s="199"/>
      <c r="R74" s="1628"/>
      <c r="S74" s="1628"/>
      <c r="T74" s="1628"/>
      <c r="U74" s="1628"/>
      <c r="V74" s="1628"/>
      <c r="W74" s="1628"/>
      <c r="X74" s="1631">
        <v>57430000</v>
      </c>
      <c r="Y74" s="1631">
        <v>62959000</v>
      </c>
      <c r="Z74" s="1631">
        <v>66354000</v>
      </c>
      <c r="AA74" s="1631">
        <v>67758000</v>
      </c>
      <c r="AB74" s="1631">
        <v>69069000</v>
      </c>
      <c r="AC74" s="1631">
        <v>71832000</v>
      </c>
      <c r="AD74" s="1631">
        <v>78414000</v>
      </c>
      <c r="AE74" s="1631">
        <v>83412000</v>
      </c>
      <c r="AF74" s="1631">
        <v>84135000</v>
      </c>
      <c r="AG74" s="1633">
        <v>96573000</v>
      </c>
      <c r="AH74" s="1633">
        <v>93983000</v>
      </c>
      <c r="AI74" s="1633">
        <v>99731000</v>
      </c>
      <c r="AJ74" s="1633">
        <v>99970000</v>
      </c>
      <c r="AK74" s="1633">
        <v>102531000</v>
      </c>
      <c r="AL74" s="1633">
        <v>103254000</v>
      </c>
      <c r="AM74" s="1633">
        <v>113644000</v>
      </c>
      <c r="AN74" s="1633">
        <v>121293000</v>
      </c>
      <c r="AO74" s="1633">
        <v>125207000</v>
      </c>
      <c r="AP74" s="1633">
        <v>127551000</v>
      </c>
      <c r="AQ74" s="1633">
        <v>123219000</v>
      </c>
    </row>
    <row r="75" spans="1:43" s="1589" customFormat="1" ht="5.0999999999999996" customHeight="1" outlineLevel="1">
      <c r="A75" s="1588"/>
      <c r="B75" s="75"/>
      <c r="C75" s="165"/>
      <c r="D75" s="165"/>
      <c r="E75" s="167"/>
      <c r="F75" s="167"/>
      <c r="G75" s="167"/>
      <c r="H75" s="167"/>
      <c r="I75" s="167"/>
      <c r="J75" s="167"/>
      <c r="K75" s="167"/>
      <c r="L75" s="167"/>
      <c r="M75" s="167"/>
      <c r="N75" s="167"/>
      <c r="O75" s="197"/>
      <c r="P75" s="198"/>
      <c r="Q75" s="199"/>
      <c r="R75" s="1628"/>
      <c r="S75" s="1628"/>
      <c r="T75" s="1628"/>
      <c r="U75" s="1628"/>
      <c r="V75" s="1628"/>
      <c r="W75" s="1628"/>
      <c r="X75" s="626"/>
      <c r="Y75" s="626"/>
      <c r="Z75" s="626"/>
      <c r="AA75" s="626"/>
      <c r="AB75" s="626"/>
      <c r="AC75" s="626"/>
      <c r="AD75" s="626"/>
      <c r="AE75" s="626"/>
      <c r="AF75" s="626"/>
      <c r="AG75" s="1634"/>
      <c r="AH75" s="1634"/>
      <c r="AI75" s="1634"/>
      <c r="AJ75" s="1634"/>
      <c r="AK75" s="1634"/>
      <c r="AL75" s="1634"/>
      <c r="AM75" s="1634"/>
      <c r="AN75" s="1634"/>
      <c r="AO75" s="1634"/>
      <c r="AP75" s="1634"/>
      <c r="AQ75" s="1634"/>
    </row>
    <row r="76" spans="1:43" s="1589" customFormat="1" outlineLevel="1">
      <c r="A76" s="1588"/>
      <c r="B76" s="204" t="s">
        <v>38</v>
      </c>
      <c r="C76" s="165" t="s">
        <v>39</v>
      </c>
      <c r="D76" s="165"/>
      <c r="E76" s="167"/>
      <c r="F76" s="167"/>
      <c r="G76" s="167"/>
      <c r="H76" s="167"/>
      <c r="I76" s="167"/>
      <c r="J76" s="167"/>
      <c r="K76" s="167"/>
      <c r="L76" s="167"/>
      <c r="M76" s="167"/>
      <c r="N76" s="167"/>
      <c r="O76" s="197"/>
      <c r="P76" s="198"/>
      <c r="Q76" s="199"/>
      <c r="R76" s="1628"/>
      <c r="S76" s="1628"/>
      <c r="T76" s="1628"/>
      <c r="U76" s="1628"/>
      <c r="V76" s="1628"/>
      <c r="W76" s="1628"/>
      <c r="X76" s="1631">
        <v>59377000</v>
      </c>
      <c r="Y76" s="1631">
        <v>64773000</v>
      </c>
      <c r="Z76" s="1631">
        <v>68197000</v>
      </c>
      <c r="AA76" s="1631">
        <v>69618000</v>
      </c>
      <c r="AB76" s="1631">
        <v>71041000</v>
      </c>
      <c r="AC76" s="1631">
        <v>74041000</v>
      </c>
      <c r="AD76" s="1631">
        <v>80861000</v>
      </c>
      <c r="AE76" s="1631">
        <v>86096000</v>
      </c>
      <c r="AF76" s="1631">
        <v>87043000</v>
      </c>
      <c r="AG76" s="1633">
        <v>99769000</v>
      </c>
      <c r="AH76" s="1633">
        <v>100551000</v>
      </c>
      <c r="AI76" s="1633">
        <v>106402000</v>
      </c>
      <c r="AJ76" s="1633">
        <v>106717000</v>
      </c>
      <c r="AK76" s="1633">
        <v>109451000</v>
      </c>
      <c r="AL76" s="1633">
        <v>110326000</v>
      </c>
      <c r="AM76" s="1633">
        <v>121197000</v>
      </c>
      <c r="AN76" s="1633">
        <v>129065000</v>
      </c>
      <c r="AO76" s="1633">
        <v>133095000</v>
      </c>
      <c r="AP76" s="1633">
        <v>135276000</v>
      </c>
      <c r="AQ76" s="1633">
        <v>131353000</v>
      </c>
    </row>
    <row r="77" spans="1:43" s="1589" customFormat="1" outlineLevel="1">
      <c r="A77" s="1588"/>
      <c r="B77" s="204"/>
      <c r="C77" s="165"/>
      <c r="D77" s="165"/>
      <c r="E77" s="167"/>
      <c r="F77" s="167"/>
      <c r="G77" s="167"/>
      <c r="H77" s="167"/>
      <c r="I77" s="167"/>
      <c r="J77" s="167"/>
      <c r="K77" s="167"/>
      <c r="L77" s="167"/>
      <c r="M77" s="167"/>
      <c r="N77" s="167"/>
      <c r="O77" s="197"/>
      <c r="P77" s="198"/>
      <c r="Q77" s="199"/>
      <c r="R77" s="1628"/>
      <c r="S77" s="1628"/>
      <c r="T77" s="1628"/>
      <c r="U77" s="1628"/>
      <c r="V77" s="1628"/>
      <c r="W77" s="1628"/>
      <c r="X77" s="820"/>
      <c r="Y77" s="1498"/>
      <c r="Z77" s="820"/>
      <c r="AA77" s="1498"/>
      <c r="AB77" s="820"/>
      <c r="AC77" s="1498"/>
      <c r="AD77" s="820"/>
      <c r="AE77" s="820"/>
      <c r="AF77" s="820"/>
      <c r="AG77" s="1599"/>
      <c r="AH77" s="1591"/>
      <c r="AI77" s="1591"/>
      <c r="AJ77" s="1591"/>
      <c r="AK77" s="1591"/>
      <c r="AL77" s="1591"/>
      <c r="AM77" s="1591"/>
      <c r="AN77" s="1591"/>
      <c r="AO77" s="1591"/>
      <c r="AP77" s="165"/>
    </row>
    <row r="78" spans="1:43" s="1589" customFormat="1" outlineLevel="1">
      <c r="A78" s="1588"/>
      <c r="B78" s="165" t="s">
        <v>40</v>
      </c>
      <c r="D78" s="165"/>
      <c r="E78" s="167"/>
      <c r="F78" s="167"/>
      <c r="G78" s="167"/>
      <c r="H78" s="167"/>
      <c r="I78" s="167"/>
      <c r="J78" s="167"/>
      <c r="K78" s="167"/>
      <c r="L78" s="167"/>
      <c r="M78" s="167"/>
      <c r="N78" s="167"/>
      <c r="O78" s="197"/>
      <c r="P78" s="198"/>
      <c r="Q78" s="199"/>
      <c r="R78" s="1628"/>
      <c r="S78" s="1628"/>
      <c r="T78" s="1628"/>
      <c r="U78" s="1628"/>
      <c r="V78" s="1628"/>
      <c r="W78" s="1628"/>
      <c r="X78" s="820"/>
      <c r="Y78" s="1498"/>
      <c r="Z78" s="820"/>
      <c r="AA78" s="1498"/>
      <c r="AB78" s="820"/>
      <c r="AC78" s="1498"/>
      <c r="AD78" s="820"/>
      <c r="AE78" s="820"/>
      <c r="AF78" s="820"/>
      <c r="AG78" s="1599"/>
      <c r="AH78" s="1591"/>
      <c r="AI78" s="1591"/>
      <c r="AJ78" s="1591"/>
      <c r="AK78" s="1591"/>
      <c r="AL78" s="1591"/>
      <c r="AM78" s="1591"/>
      <c r="AN78" s="1591"/>
      <c r="AO78" s="1591"/>
      <c r="AP78" s="165"/>
    </row>
    <row r="79" spans="1:43" s="1589" customFormat="1" ht="6" customHeight="1" outlineLevel="1">
      <c r="A79" s="1588"/>
      <c r="B79" s="75"/>
      <c r="C79" s="165"/>
      <c r="D79" s="165"/>
      <c r="E79" s="167"/>
      <c r="F79" s="167"/>
      <c r="G79" s="167"/>
      <c r="H79" s="167"/>
      <c r="I79" s="167"/>
      <c r="J79" s="167"/>
      <c r="K79" s="167"/>
      <c r="L79" s="167"/>
      <c r="M79" s="167"/>
      <c r="N79" s="167"/>
      <c r="O79" s="197"/>
      <c r="P79" s="198"/>
      <c r="Q79" s="199"/>
      <c r="R79" s="1628"/>
      <c r="S79" s="1628"/>
      <c r="T79" s="1628"/>
      <c r="U79" s="1628"/>
      <c r="V79" s="1628"/>
      <c r="W79" s="1628"/>
      <c r="X79" s="820"/>
      <c r="Y79" s="1498"/>
      <c r="Z79" s="820"/>
      <c r="AA79" s="1498"/>
      <c r="AB79" s="820"/>
      <c r="AC79" s="1498"/>
      <c r="AD79" s="820"/>
      <c r="AE79" s="820"/>
      <c r="AF79" s="820"/>
      <c r="AG79" s="1599"/>
      <c r="AH79" s="1591"/>
      <c r="AI79" s="1591"/>
      <c r="AJ79" s="1591"/>
      <c r="AK79" s="1591"/>
      <c r="AL79" s="1591"/>
      <c r="AM79" s="1591"/>
      <c r="AN79" s="1591"/>
      <c r="AO79" s="1591"/>
      <c r="AP79" s="165"/>
    </row>
    <row r="80" spans="1:43" s="1589" customFormat="1" outlineLevel="1">
      <c r="A80" s="1588"/>
      <c r="B80" s="205" t="s">
        <v>41</v>
      </c>
      <c r="C80" s="206" t="s">
        <v>42</v>
      </c>
      <c r="D80" s="206"/>
      <c r="E80" s="167"/>
      <c r="F80" s="167"/>
      <c r="G80" s="167"/>
      <c r="H80" s="167"/>
      <c r="I80" s="167"/>
      <c r="J80" s="167"/>
      <c r="K80" s="167"/>
      <c r="L80" s="167"/>
      <c r="M80" s="167"/>
      <c r="N80" s="167"/>
      <c r="O80" s="197"/>
      <c r="P80" s="198"/>
      <c r="Q80" s="199"/>
      <c r="R80" s="1628"/>
      <c r="S80" s="1628"/>
      <c r="T80" s="1628"/>
      <c r="U80" s="1628"/>
      <c r="V80" s="1628"/>
      <c r="W80" s="1628"/>
      <c r="X80" s="1635">
        <f>X69/X67</f>
        <v>0.11219554557191407</v>
      </c>
      <c r="Y80" s="1635">
        <f>Y69/Y67</f>
        <v>0.111487824320767</v>
      </c>
      <c r="Z80" s="1635">
        <f>Z69/Z67</f>
        <v>0.11428341762294153</v>
      </c>
      <c r="AA80" s="1635">
        <f t="shared" ref="AA80:AQ80" si="9">AA69/AA67</f>
        <v>0.11269274470597591</v>
      </c>
      <c r="AB80" s="1635">
        <f t="shared" si="9"/>
        <v>0.1085138532770184</v>
      </c>
      <c r="AC80" s="1635">
        <f t="shared" si="9"/>
        <v>0.10477331864952116</v>
      </c>
      <c r="AD80" s="1635">
        <f t="shared" si="9"/>
        <v>0.10624518923351618</v>
      </c>
      <c r="AE80" s="1635">
        <f t="shared" si="9"/>
        <v>0.10420050901784046</v>
      </c>
      <c r="AF80" s="1635">
        <f t="shared" si="9"/>
        <v>0.10056002926171313</v>
      </c>
      <c r="AG80" s="1635">
        <f t="shared" si="9"/>
        <v>0.10746321285019093</v>
      </c>
      <c r="AH80" s="1635">
        <f t="shared" si="9"/>
        <v>9.7198088224075441E-2</v>
      </c>
      <c r="AI80" s="1635">
        <f t="shared" si="9"/>
        <v>0.10123054282310406</v>
      </c>
      <c r="AJ80" s="1635">
        <f t="shared" si="9"/>
        <v>9.7728223718630658E-2</v>
      </c>
      <c r="AK80" s="1635">
        <f t="shared" si="9"/>
        <v>9.938560319425313E-2</v>
      </c>
      <c r="AL80" s="1635">
        <f t="shared" si="9"/>
        <v>9.6988057016780635E-2</v>
      </c>
      <c r="AM80" s="1635">
        <f t="shared" si="9"/>
        <v>0.104126446839562</v>
      </c>
      <c r="AN80" s="1635">
        <f t="shared" si="9"/>
        <v>0.10604724446142895</v>
      </c>
      <c r="AO80" s="1635">
        <f t="shared" si="9"/>
        <v>0.10419111507468715</v>
      </c>
      <c r="AP80" s="1635">
        <f t="shared" si="9"/>
        <v>0.10322646180073269</v>
      </c>
      <c r="AQ80" s="1635">
        <f t="shared" si="9"/>
        <v>0.10334254190783161</v>
      </c>
    </row>
    <row r="81" spans="2:45" ht="5.0999999999999996" customHeight="1" outlineLevel="1">
      <c r="B81" s="75"/>
      <c r="C81" s="165"/>
      <c r="D81" s="165"/>
      <c r="E81" s="167"/>
      <c r="F81" s="167"/>
      <c r="G81" s="167"/>
      <c r="H81" s="167"/>
      <c r="I81" s="167"/>
      <c r="J81" s="167"/>
      <c r="K81" s="167"/>
      <c r="L81" s="167"/>
      <c r="M81" s="167"/>
      <c r="N81" s="167"/>
      <c r="O81" s="197"/>
      <c r="P81" s="198"/>
      <c r="Q81" s="199"/>
      <c r="R81" s="1628"/>
      <c r="S81" s="1628"/>
      <c r="T81" s="1628"/>
      <c r="U81" s="1628"/>
      <c r="V81" s="1628"/>
      <c r="W81" s="1628"/>
      <c r="X81" s="820"/>
      <c r="Y81" s="820"/>
      <c r="Z81" s="820"/>
      <c r="AA81" s="820"/>
      <c r="AB81" s="820"/>
      <c r="AC81" s="820"/>
      <c r="AD81" s="820"/>
      <c r="AE81" s="820"/>
      <c r="AF81" s="820"/>
      <c r="AG81" s="820"/>
      <c r="AH81" s="820"/>
      <c r="AI81" s="820"/>
      <c r="AJ81" s="820"/>
      <c r="AK81" s="820"/>
      <c r="AL81" s="820"/>
      <c r="AM81" s="820"/>
      <c r="AN81" s="820"/>
      <c r="AO81" s="820"/>
      <c r="AP81" s="820"/>
      <c r="AQ81" s="820"/>
      <c r="AR81" s="1589"/>
      <c r="AS81" s="1589"/>
    </row>
    <row r="82" spans="2:45" outlineLevel="1">
      <c r="B82" s="204" t="s">
        <v>43</v>
      </c>
      <c r="C82" s="165" t="s">
        <v>44</v>
      </c>
      <c r="D82" s="165"/>
      <c r="E82" s="167"/>
      <c r="F82" s="167"/>
      <c r="G82" s="167"/>
      <c r="H82" s="167"/>
      <c r="I82" s="167"/>
      <c r="J82" s="167"/>
      <c r="K82" s="167"/>
      <c r="L82" s="167"/>
      <c r="M82" s="167"/>
      <c r="N82" s="167"/>
      <c r="O82" s="197"/>
      <c r="P82" s="198"/>
      <c r="Q82" s="199"/>
      <c r="R82" s="1628"/>
      <c r="S82" s="1628"/>
      <c r="T82" s="1628"/>
      <c r="U82" s="1628"/>
      <c r="V82" s="1628"/>
      <c r="W82" s="1628"/>
      <c r="X82" s="1636">
        <f>X76/X67</f>
        <v>0.13750484869186635</v>
      </c>
      <c r="Y82" s="1636">
        <f>Y76/Y67</f>
        <v>0.13352441330416287</v>
      </c>
      <c r="Z82" s="1636">
        <f>Z76/Z67</f>
        <v>0.13569041804435641</v>
      </c>
      <c r="AA82" s="1636">
        <f t="shared" ref="AA82:AQ82" si="10">AA76/AA67</f>
        <v>0.13278906436716142</v>
      </c>
      <c r="AB82" s="1636">
        <f t="shared" si="10"/>
        <v>0.12636351589438194</v>
      </c>
      <c r="AC82" s="1636">
        <f t="shared" si="10"/>
        <v>0.12298689336878045</v>
      </c>
      <c r="AD82" s="1636">
        <f t="shared" si="10"/>
        <v>0.12483061007543159</v>
      </c>
      <c r="AE82" s="1636">
        <f t="shared" si="10"/>
        <v>0.1243174855107809</v>
      </c>
      <c r="AF82" s="1636">
        <f t="shared" si="10"/>
        <v>0.12101041885484214</v>
      </c>
      <c r="AG82" s="1636">
        <f t="shared" si="10"/>
        <v>0.12895714797751623</v>
      </c>
      <c r="AH82" s="1636">
        <f t="shared" si="10"/>
        <v>0.12175765200786119</v>
      </c>
      <c r="AI82" s="1636">
        <f t="shared" si="10"/>
        <v>0.12364693977252179</v>
      </c>
      <c r="AJ82" s="1636">
        <f t="shared" si="10"/>
        <v>0.12019988072034102</v>
      </c>
      <c r="AK82" s="1636">
        <f t="shared" si="10"/>
        <v>0.11927340330932994</v>
      </c>
      <c r="AL82" s="1636">
        <f t="shared" si="10"/>
        <v>0.11628364118750845</v>
      </c>
      <c r="AM82" s="1636">
        <f t="shared" si="10"/>
        <v>0.1225331628745657</v>
      </c>
      <c r="AN82" s="1636">
        <f t="shared" si="10"/>
        <v>0.12426899951347674</v>
      </c>
      <c r="AO82" s="1636">
        <f t="shared" si="10"/>
        <v>0.12197588562539459</v>
      </c>
      <c r="AP82" s="1636">
        <f t="shared" si="10"/>
        <v>0.11948883623459476</v>
      </c>
      <c r="AQ82" s="1636">
        <f t="shared" si="10"/>
        <v>0.11858955058069634</v>
      </c>
      <c r="AR82" s="1589"/>
      <c r="AS82" s="1589"/>
    </row>
    <row r="83" spans="2:45" ht="5.0999999999999996" customHeight="1" outlineLevel="1">
      <c r="B83" s="75"/>
      <c r="C83" s="165"/>
      <c r="D83" s="165"/>
      <c r="E83" s="167"/>
      <c r="F83" s="167"/>
      <c r="G83" s="167"/>
      <c r="H83" s="167"/>
      <c r="I83" s="167"/>
      <c r="J83" s="167"/>
      <c r="K83" s="167"/>
      <c r="L83" s="167"/>
      <c r="M83" s="167"/>
      <c r="N83" s="167"/>
      <c r="O83" s="197"/>
      <c r="P83" s="198"/>
      <c r="Q83" s="199"/>
      <c r="R83" s="1628"/>
      <c r="S83" s="1628"/>
      <c r="T83" s="1628"/>
      <c r="U83" s="1628"/>
      <c r="V83" s="1628"/>
      <c r="W83" s="1628"/>
      <c r="X83" s="820"/>
      <c r="Y83" s="820"/>
      <c r="Z83" s="820"/>
      <c r="AA83" s="820"/>
      <c r="AB83" s="820"/>
      <c r="AC83" s="820"/>
      <c r="AD83" s="820"/>
      <c r="AE83" s="820"/>
      <c r="AF83" s="820"/>
      <c r="AG83" s="820"/>
      <c r="AH83" s="820"/>
      <c r="AI83" s="820"/>
      <c r="AJ83" s="820"/>
      <c r="AK83" s="820"/>
      <c r="AL83" s="820"/>
      <c r="AM83" s="820"/>
      <c r="AN83" s="820"/>
      <c r="AO83" s="820"/>
      <c r="AP83" s="820"/>
      <c r="AQ83" s="820"/>
      <c r="AR83" s="1589"/>
      <c r="AS83" s="1589"/>
    </row>
    <row r="84" spans="2:45" ht="27.75" customHeight="1" outlineLevel="1">
      <c r="B84" s="204" t="s">
        <v>45</v>
      </c>
      <c r="C84" s="836" t="s">
        <v>589</v>
      </c>
      <c r="D84" s="165"/>
      <c r="E84" s="167"/>
      <c r="F84" s="167"/>
      <c r="G84" s="167"/>
      <c r="H84" s="167"/>
      <c r="I84" s="167"/>
      <c r="J84" s="167"/>
      <c r="K84" s="167"/>
      <c r="L84" s="167"/>
      <c r="M84" s="167"/>
      <c r="N84" s="167"/>
      <c r="O84" s="197"/>
      <c r="P84" s="198"/>
      <c r="Q84" s="199"/>
      <c r="R84" s="1628"/>
      <c r="S84" s="1628"/>
      <c r="T84" s="1628"/>
      <c r="U84" s="1628"/>
      <c r="V84" s="1628"/>
      <c r="W84" s="1628"/>
      <c r="X84" s="1636">
        <f>X76/X65</f>
        <v>0.1515911621308289</v>
      </c>
      <c r="Y84" s="1636">
        <f>Y76/Y65</f>
        <v>0.14714224022487618</v>
      </c>
      <c r="Z84" s="1636">
        <f>Z76/Z65</f>
        <v>0.15063287364725397</v>
      </c>
      <c r="AA84" s="1636">
        <f t="shared" ref="AA84:AQ84" si="11">AA76/AA65</f>
        <v>0.14853408519939706</v>
      </c>
      <c r="AB84" s="1636">
        <f t="shared" si="11"/>
        <v>0.14182362571866575</v>
      </c>
      <c r="AC84" s="1636">
        <f t="shared" si="11"/>
        <v>0.13884135788914481</v>
      </c>
      <c r="AD84" s="1636">
        <f t="shared" si="11"/>
        <v>0.14141248090491676</v>
      </c>
      <c r="AE84" s="1636">
        <f t="shared" si="11"/>
        <v>0.1419892413002399</v>
      </c>
      <c r="AF84" s="1636">
        <f t="shared" si="11"/>
        <v>0.13975882799306238</v>
      </c>
      <c r="AG84" s="1636">
        <f t="shared" si="11"/>
        <v>0.14956496501895702</v>
      </c>
      <c r="AH84" s="1636">
        <f t="shared" si="11"/>
        <v>0.14139831488072035</v>
      </c>
      <c r="AI84" s="1636">
        <f t="shared" si="11"/>
        <v>0.14411520548017567</v>
      </c>
      <c r="AJ84" s="1636">
        <f t="shared" si="11"/>
        <v>0.14078667027262354</v>
      </c>
      <c r="AK84" s="1636">
        <f t="shared" si="11"/>
        <v>0.14023860461236648</v>
      </c>
      <c r="AL84" s="1636">
        <f t="shared" si="11"/>
        <v>0.13708287794770557</v>
      </c>
      <c r="AM84" s="1636">
        <f t="shared" si="11"/>
        <v>0.14518004688042044</v>
      </c>
      <c r="AN84" s="1636">
        <f t="shared" si="11"/>
        <v>0.14787611335308756</v>
      </c>
      <c r="AO84" s="1636">
        <f t="shared" si="11"/>
        <v>0.14600536367726183</v>
      </c>
      <c r="AP84" s="1636">
        <f t="shared" si="11"/>
        <v>0.14453586354077608</v>
      </c>
      <c r="AQ84" s="1636">
        <f t="shared" si="11"/>
        <v>0.14636260191663217</v>
      </c>
      <c r="AR84" s="1589"/>
      <c r="AS84" s="1589"/>
    </row>
    <row r="85" spans="2:45" ht="5.0999999999999996" customHeight="1" outlineLevel="1">
      <c r="B85" s="172"/>
      <c r="C85" s="172"/>
      <c r="D85" s="172"/>
      <c r="E85" s="562"/>
      <c r="F85" s="562"/>
      <c r="G85" s="562"/>
      <c r="H85" s="562"/>
      <c r="I85" s="562"/>
      <c r="J85" s="562"/>
      <c r="K85" s="562"/>
      <c r="L85" s="562"/>
      <c r="M85" s="562"/>
      <c r="N85" s="562"/>
      <c r="O85" s="561"/>
      <c r="P85" s="194"/>
      <c r="Q85" s="194"/>
      <c r="R85" s="1625"/>
      <c r="S85" s="1625"/>
      <c r="T85" s="1625"/>
      <c r="U85" s="1625"/>
      <c r="V85" s="1625"/>
      <c r="W85" s="1625"/>
      <c r="X85" s="1623"/>
      <c r="Y85" s="1623"/>
      <c r="Z85" s="1623"/>
      <c r="AA85" s="1623"/>
      <c r="AB85" s="1623"/>
      <c r="AC85" s="1623"/>
      <c r="AD85" s="1623"/>
      <c r="AE85" s="1623"/>
      <c r="AF85" s="1623"/>
      <c r="AG85" s="1623"/>
      <c r="AH85" s="1623"/>
      <c r="AI85" s="1623"/>
      <c r="AJ85" s="1623"/>
      <c r="AK85" s="1623"/>
      <c r="AL85" s="1623"/>
      <c r="AM85" s="1623"/>
      <c r="AN85" s="1623"/>
      <c r="AO85" s="1623"/>
      <c r="AP85" s="1623"/>
      <c r="AQ85" s="1623"/>
      <c r="AR85" s="1589"/>
      <c r="AS85" s="1589"/>
    </row>
    <row r="86" spans="2:45" ht="6" customHeight="1" outlineLevel="1">
      <c r="B86" s="165"/>
      <c r="C86" s="165"/>
      <c r="D86" s="165"/>
      <c r="E86" s="167"/>
      <c r="F86" s="167"/>
      <c r="G86" s="167"/>
      <c r="H86" s="167"/>
      <c r="I86" s="167"/>
      <c r="J86" s="167"/>
      <c r="K86" s="167"/>
      <c r="L86" s="167"/>
      <c r="M86" s="167"/>
      <c r="N86" s="167"/>
      <c r="O86" s="197"/>
      <c r="P86" s="198"/>
      <c r="Q86" s="199"/>
      <c r="R86" s="1628"/>
      <c r="S86" s="1628"/>
      <c r="T86" s="1628"/>
      <c r="U86" s="1628"/>
      <c r="V86" s="1628"/>
      <c r="W86" s="1628"/>
      <c r="X86" s="1498"/>
      <c r="Y86" s="1498"/>
      <c r="Z86" s="1498"/>
      <c r="AA86" s="1498"/>
      <c r="AB86" s="1498"/>
      <c r="AC86" s="1498"/>
      <c r="AD86" s="1498"/>
      <c r="AE86" s="1498"/>
      <c r="AF86" s="1498"/>
      <c r="AG86" s="1599"/>
      <c r="AQ86" s="1591"/>
      <c r="AR86" s="1589"/>
      <c r="AS86" s="1589"/>
    </row>
    <row r="87" spans="2:45" ht="30" customHeight="1" outlineLevel="1">
      <c r="B87" s="1922" t="s">
        <v>47</v>
      </c>
      <c r="C87" s="1922"/>
      <c r="D87" s="1922"/>
      <c r="E87" s="1922"/>
      <c r="F87" s="1922"/>
      <c r="G87" s="1922"/>
      <c r="H87" s="1922"/>
      <c r="I87" s="1922"/>
      <c r="J87" s="1922"/>
      <c r="K87" s="1922"/>
      <c r="L87" s="1922"/>
      <c r="M87" s="1922"/>
      <c r="N87" s="1922"/>
      <c r="O87" s="1922"/>
      <c r="P87" s="1922"/>
      <c r="Q87" s="1922"/>
      <c r="R87" s="1922"/>
      <c r="S87" s="1922"/>
      <c r="T87" s="1922"/>
      <c r="U87" s="1922"/>
      <c r="V87" s="1922"/>
      <c r="W87" s="1922"/>
      <c r="X87" s="1922"/>
      <c r="Y87" s="1922"/>
      <c r="Z87" s="1922"/>
      <c r="AA87" s="1922"/>
      <c r="AB87" s="1922"/>
      <c r="AC87" s="1922"/>
      <c r="AD87" s="1922"/>
      <c r="AE87" s="1922"/>
      <c r="AF87" s="1922"/>
      <c r="AG87" s="1599"/>
      <c r="AQ87" s="1591"/>
      <c r="AR87" s="1589"/>
      <c r="AS87" s="1589"/>
    </row>
    <row r="88" spans="2:45">
      <c r="B88" s="165"/>
      <c r="R88" s="1598"/>
      <c r="S88" s="1598"/>
      <c r="T88" s="1598"/>
      <c r="U88" s="1598"/>
      <c r="V88" s="1598"/>
      <c r="W88" s="1598"/>
      <c r="X88" s="1599"/>
      <c r="Y88" s="1599"/>
      <c r="Z88" s="1600"/>
      <c r="AA88" s="1599"/>
      <c r="AB88" s="1599"/>
      <c r="AC88" s="1599"/>
      <c r="AD88" s="1600"/>
      <c r="AE88" s="1600"/>
      <c r="AF88" s="1600"/>
      <c r="AG88" s="1599"/>
      <c r="AR88" s="1589"/>
      <c r="AS88" s="1589"/>
    </row>
    <row r="89" spans="2:45">
      <c r="B89" s="165"/>
      <c r="R89" s="1598"/>
      <c r="S89" s="1598"/>
      <c r="T89" s="1598"/>
      <c r="U89" s="1598"/>
      <c r="V89" s="1598"/>
      <c r="W89" s="1598"/>
      <c r="X89" s="1599"/>
      <c r="Y89" s="1599"/>
      <c r="Z89" s="1600"/>
      <c r="AA89" s="1599"/>
      <c r="AB89" s="1599"/>
      <c r="AC89" s="1599"/>
      <c r="AD89" s="1600"/>
      <c r="AE89" s="1600"/>
      <c r="AF89" s="1600"/>
      <c r="AG89" s="1599"/>
      <c r="AR89" s="1589"/>
      <c r="AS89" s="1589"/>
    </row>
    <row r="90" spans="2:45">
      <c r="B90" s="170" t="s">
        <v>590</v>
      </c>
      <c r="C90" s="171"/>
      <c r="D90" s="171"/>
      <c r="E90" s="171"/>
      <c r="F90" s="171"/>
      <c r="G90" s="171"/>
      <c r="H90" s="171"/>
      <c r="I90" s="171"/>
      <c r="J90" s="171"/>
      <c r="K90" s="171"/>
      <c r="L90" s="171"/>
      <c r="M90" s="171"/>
      <c r="N90" s="171"/>
      <c r="O90" s="171"/>
      <c r="P90" s="171"/>
      <c r="Q90" s="171"/>
      <c r="R90" s="1251"/>
      <c r="S90" s="1251"/>
      <c r="T90" s="1251"/>
      <c r="U90" s="1251"/>
      <c r="V90" s="1251"/>
      <c r="W90" s="1251"/>
      <c r="X90" s="1251"/>
      <c r="Y90" s="1251"/>
      <c r="Z90" s="1251"/>
      <c r="AA90" s="1251"/>
      <c r="AB90" s="1251"/>
      <c r="AC90" s="1251"/>
      <c r="AD90" s="1251"/>
      <c r="AE90" s="1251"/>
      <c r="AF90" s="1251"/>
      <c r="AG90" s="1599"/>
      <c r="AR90" s="1589"/>
      <c r="AS90" s="1589"/>
    </row>
    <row r="91" spans="2:45">
      <c r="B91" s="562"/>
      <c r="C91" s="562"/>
      <c r="D91" s="562"/>
      <c r="E91" s="562"/>
      <c r="F91" s="562"/>
      <c r="G91" s="562"/>
      <c r="H91" s="562"/>
      <c r="I91" s="562"/>
      <c r="J91" s="562"/>
      <c r="K91" s="562"/>
      <c r="L91" s="562"/>
      <c r="M91" s="562"/>
      <c r="N91" s="562"/>
      <c r="O91" s="561"/>
      <c r="P91" s="194"/>
      <c r="Q91" s="194"/>
      <c r="R91" s="1625"/>
      <c r="S91" s="1625"/>
      <c r="T91" s="1625"/>
      <c r="U91" s="1625"/>
      <c r="V91" s="1625"/>
      <c r="W91" s="1625"/>
      <c r="X91" s="1626"/>
      <c r="Y91" s="1626"/>
      <c r="Z91" s="1626"/>
      <c r="AA91" s="1626"/>
      <c r="AB91" s="1626"/>
      <c r="AC91" s="1626"/>
      <c r="AD91" s="1626"/>
      <c r="AE91" s="1626"/>
      <c r="AF91" s="1626"/>
      <c r="AG91" s="1599"/>
      <c r="AP91" s="1606"/>
      <c r="AQ91" s="1637"/>
      <c r="AR91" s="1589"/>
      <c r="AS91" s="1589"/>
    </row>
    <row r="92" spans="2:45">
      <c r="B92" s="209"/>
      <c r="C92" s="209"/>
      <c r="D92" s="209"/>
      <c r="E92" s="209"/>
      <c r="F92" s="209"/>
      <c r="G92" s="209"/>
      <c r="H92" s="209"/>
      <c r="I92" s="209"/>
      <c r="J92" s="209"/>
      <c r="K92" s="209"/>
      <c r="L92" s="209"/>
      <c r="M92" s="209"/>
      <c r="N92" s="209"/>
      <c r="O92" s="210"/>
      <c r="P92" s="198"/>
      <c r="Q92" s="198"/>
      <c r="R92" s="1638">
        <v>1995</v>
      </c>
      <c r="S92" s="1638">
        <v>1996</v>
      </c>
      <c r="T92" s="1638">
        <v>1997</v>
      </c>
      <c r="U92" s="1638">
        <v>1998</v>
      </c>
      <c r="V92" s="1638">
        <v>1999</v>
      </c>
      <c r="W92" s="1638">
        <v>2000</v>
      </c>
      <c r="X92" s="1638">
        <v>2001</v>
      </c>
      <c r="Y92" s="1638">
        <v>2002</v>
      </c>
      <c r="Z92" s="1638">
        <v>2003</v>
      </c>
      <c r="AA92" s="1638">
        <v>2004</v>
      </c>
      <c r="AB92" s="1638">
        <v>2005</v>
      </c>
      <c r="AC92" s="1638">
        <v>2006</v>
      </c>
      <c r="AD92" s="1638">
        <v>2007</v>
      </c>
      <c r="AE92" s="1638">
        <v>2008</v>
      </c>
      <c r="AF92" s="1638">
        <v>2009</v>
      </c>
      <c r="AG92" s="1638">
        <v>2010</v>
      </c>
      <c r="AH92" s="1638">
        <v>2011</v>
      </c>
      <c r="AI92" s="1638">
        <v>2012</v>
      </c>
      <c r="AJ92" s="1638">
        <v>2013</v>
      </c>
      <c r="AK92" s="1638">
        <v>2014</v>
      </c>
      <c r="AL92" s="1638">
        <v>2015</v>
      </c>
      <c r="AM92" s="1639" t="s">
        <v>1915</v>
      </c>
      <c r="AN92" s="1639" t="s">
        <v>1916</v>
      </c>
      <c r="AO92" s="1639" t="s">
        <v>1917</v>
      </c>
      <c r="AP92" s="1640">
        <v>2019</v>
      </c>
      <c r="AQ92" s="1640">
        <v>2020</v>
      </c>
      <c r="AR92" s="1589"/>
      <c r="AS92" s="1589"/>
    </row>
    <row r="93" spans="2:45">
      <c r="AM93" s="1589"/>
      <c r="AN93" s="1589"/>
      <c r="AO93" s="1589"/>
      <c r="AP93" s="1589"/>
      <c r="AR93" s="1589"/>
      <c r="AS93" s="1589"/>
    </row>
    <row r="94" spans="2:45">
      <c r="B94" s="217" t="s">
        <v>49</v>
      </c>
      <c r="R94" s="1598">
        <v>229602.59228565282</v>
      </c>
      <c r="S94" s="1598">
        <v>567682.06252094777</v>
      </c>
      <c r="T94" s="1598">
        <v>626875.94499804405</v>
      </c>
      <c r="U94" s="1598">
        <v>576122.03349479078</v>
      </c>
      <c r="V94" s="1641">
        <v>711842.22212506668</v>
      </c>
      <c r="W94" s="1641">
        <v>1889868.968682192</v>
      </c>
      <c r="X94" s="1642">
        <v>2335190.6664986894</v>
      </c>
      <c r="Y94" s="1642">
        <v>2445807.8474679161</v>
      </c>
      <c r="Z94" s="1643">
        <v>2866732.7055505523</v>
      </c>
      <c r="AA94" s="1643">
        <v>3159705.7577211368</v>
      </c>
      <c r="AB94" s="1643">
        <v>3933937.7753906059</v>
      </c>
      <c r="AC94" s="1643">
        <v>4383470.1629434889</v>
      </c>
      <c r="AD94" s="1643">
        <v>5360548.6592820883</v>
      </c>
      <c r="AE94" s="1643">
        <v>6335962.800835209</v>
      </c>
      <c r="AF94" s="1643">
        <v>7144132.7873925855</v>
      </c>
      <c r="AG94" s="1643">
        <v>6602955.3923005834</v>
      </c>
      <c r="AH94" s="1643">
        <v>7236720.6562112821</v>
      </c>
      <c r="AI94" s="1643">
        <v>7862633.2526371926</v>
      </c>
      <c r="AJ94" s="1643">
        <v>8118923.9112453787</v>
      </c>
      <c r="AK94" s="1643">
        <v>7717174.2642191816</v>
      </c>
      <c r="AL94" s="1643">
        <v>8145354.2499718517</v>
      </c>
      <c r="AM94" s="1644">
        <v>11451237.902491985</v>
      </c>
      <c r="AN94" s="1644">
        <v>11924999.101422403</v>
      </c>
      <c r="AO94" s="1644">
        <v>13552307.604349028</v>
      </c>
      <c r="AP94" s="1644">
        <v>14787448.116970496</v>
      </c>
      <c r="AQ94" s="1644">
        <v>15374367.716039618</v>
      </c>
      <c r="AR94" s="1589"/>
      <c r="AS94" s="1589"/>
    </row>
    <row r="95" spans="2:45">
      <c r="B95" s="217"/>
      <c r="R95" s="1598"/>
      <c r="S95" s="1598"/>
      <c r="T95" s="1598"/>
      <c r="V95" s="1645"/>
      <c r="W95" s="1645"/>
      <c r="X95" s="1618"/>
      <c r="Y95" s="1618"/>
      <c r="Z95" s="1646"/>
      <c r="AA95" s="1618"/>
      <c r="AB95" s="1646"/>
      <c r="AC95" s="1646"/>
      <c r="AD95" s="1646"/>
      <c r="AE95" s="1646"/>
      <c r="AF95" s="1646"/>
      <c r="AM95" s="1589"/>
      <c r="AN95" s="1589"/>
      <c r="AO95" s="1589"/>
      <c r="AP95" s="1589"/>
      <c r="AR95" s="1589"/>
      <c r="AS95" s="1589"/>
    </row>
    <row r="96" spans="2:45" ht="45" customHeight="1">
      <c r="B96" s="217"/>
      <c r="C96" s="1647" t="s">
        <v>1585</v>
      </c>
      <c r="D96" s="1648"/>
      <c r="V96" s="1598">
        <v>350585.11929999996</v>
      </c>
      <c r="W96" s="1649">
        <v>1559258.161682192</v>
      </c>
      <c r="X96" s="1649">
        <v>1941525.2694986896</v>
      </c>
      <c r="Y96" s="1649">
        <v>2135828.0704679163</v>
      </c>
      <c r="Z96" s="1649">
        <v>2541601.5175505523</v>
      </c>
      <c r="AA96" s="1649">
        <v>2844333.8067211369</v>
      </c>
      <c r="AB96" s="1649">
        <v>3664205.159390606</v>
      </c>
      <c r="AC96" s="1649">
        <v>4054381.3449434885</v>
      </c>
      <c r="AD96" s="1649">
        <v>4978444.8842820879</v>
      </c>
      <c r="AE96" s="1649">
        <v>5983288.4628352094</v>
      </c>
      <c r="AF96" s="1649">
        <v>6749105.9013925856</v>
      </c>
      <c r="AG96" s="1649">
        <v>6193548.0193005838</v>
      </c>
      <c r="AH96" s="1649">
        <v>6441803.1262112819</v>
      </c>
      <c r="AI96" s="1650">
        <v>6831042.8926781928</v>
      </c>
      <c r="AJ96" s="1650">
        <v>7162007.0162123786</v>
      </c>
      <c r="AK96" s="1650">
        <v>7126908.8809605967</v>
      </c>
      <c r="AL96" s="1650">
        <v>7543127.1139718518</v>
      </c>
      <c r="AM96" s="1598">
        <v>10738104.950358456</v>
      </c>
      <c r="AN96" s="1598">
        <v>11204936.819001403</v>
      </c>
      <c r="AO96" s="1598">
        <v>12778126.508486029</v>
      </c>
      <c r="AP96" s="1598">
        <v>13028361.059970496</v>
      </c>
      <c r="AQ96" s="1598">
        <v>13351269.022039618</v>
      </c>
      <c r="AR96" s="1589"/>
      <c r="AS96" s="1589"/>
    </row>
    <row r="97" spans="2:46">
      <c r="B97" s="217"/>
      <c r="C97" s="1648" t="s">
        <v>591</v>
      </c>
      <c r="R97" s="1598"/>
      <c r="S97" s="1598"/>
      <c r="T97" s="1598"/>
      <c r="V97" s="1618">
        <v>0</v>
      </c>
      <c r="W97" s="1618">
        <v>605588.161682192</v>
      </c>
      <c r="X97" s="1618">
        <v>708865.26949868957</v>
      </c>
      <c r="Y97" s="1618">
        <v>708758.07046791655</v>
      </c>
      <c r="Z97" s="1618">
        <v>776261.5175505525</v>
      </c>
      <c r="AA97" s="1618">
        <v>895433.80672113714</v>
      </c>
      <c r="AB97" s="1618">
        <v>1325205.159390606</v>
      </c>
      <c r="AC97" s="1618">
        <v>1498981.3449434885</v>
      </c>
      <c r="AD97" s="1618">
        <v>1764149.5773117852</v>
      </c>
      <c r="AE97" s="1618">
        <v>2056488.4628352097</v>
      </c>
      <c r="AF97" s="1618">
        <v>2837705.9013925856</v>
      </c>
      <c r="AG97" s="1618">
        <v>2784148.0193005833</v>
      </c>
      <c r="AH97" s="1618">
        <v>2743603.1262112819</v>
      </c>
      <c r="AI97" s="1645">
        <v>2730668.8926781928</v>
      </c>
      <c r="AJ97" s="1645">
        <v>2803618.0162123786</v>
      </c>
      <c r="AK97" s="1645">
        <v>2890229.8809605967</v>
      </c>
      <c r="AL97" s="1645">
        <v>3618901.1139718522</v>
      </c>
      <c r="AM97" s="1615">
        <v>3613798.9503584565</v>
      </c>
      <c r="AN97" s="1615">
        <v>3649114.8190014027</v>
      </c>
      <c r="AO97" s="1615">
        <v>3691646.5084860283</v>
      </c>
      <c r="AP97" s="1615">
        <v>3627381.0599704967</v>
      </c>
      <c r="AQ97" s="1615">
        <v>3289709.0220396174</v>
      </c>
      <c r="AR97" s="1589"/>
      <c r="AS97" s="1589"/>
    </row>
    <row r="98" spans="2:46">
      <c r="B98" s="217"/>
      <c r="C98" s="1651"/>
      <c r="R98" s="1598"/>
      <c r="S98" s="1598"/>
      <c r="T98" s="1598"/>
      <c r="V98" s="1645"/>
      <c r="W98" s="1645"/>
      <c r="X98" s="1618"/>
      <c r="Y98" s="1618"/>
      <c r="Z98" s="1646"/>
      <c r="AA98" s="1618"/>
      <c r="AB98" s="1646"/>
      <c r="AC98" s="1646"/>
      <c r="AD98" s="1646"/>
      <c r="AE98" s="1646"/>
      <c r="AF98" s="1646"/>
      <c r="AI98" s="1590"/>
      <c r="AJ98" s="1590"/>
      <c r="AK98" s="1590"/>
      <c r="AL98" s="1590"/>
      <c r="AM98" s="1590"/>
      <c r="AN98" s="1590"/>
      <c r="AO98" s="1590"/>
      <c r="AP98" s="1590"/>
      <c r="AQ98" s="1590"/>
      <c r="AR98" s="1589"/>
      <c r="AS98" s="1589"/>
    </row>
    <row r="99" spans="2:46">
      <c r="B99" s="217"/>
      <c r="C99" s="1651" t="s">
        <v>56</v>
      </c>
      <c r="R99" s="1598"/>
      <c r="S99" s="1598"/>
      <c r="T99" s="1598"/>
      <c r="V99" s="1645"/>
      <c r="W99" s="1645"/>
      <c r="X99" s="1618"/>
      <c r="Y99" s="1618"/>
      <c r="Z99" s="1646"/>
      <c r="AA99" s="1618"/>
      <c r="AB99" s="1646"/>
      <c r="AC99" s="1646"/>
      <c r="AD99" s="1646"/>
      <c r="AE99" s="1646"/>
      <c r="AF99" s="1646"/>
      <c r="AI99" s="1590"/>
      <c r="AJ99" s="1590"/>
      <c r="AK99" s="1590"/>
      <c r="AL99" s="1615"/>
      <c r="AM99" s="1615"/>
      <c r="AN99" s="1615"/>
      <c r="AO99" s="1615"/>
      <c r="AP99" s="1615"/>
      <c r="AQ99" s="1615"/>
      <c r="AR99" s="1589"/>
      <c r="AS99" s="1589"/>
    </row>
    <row r="100" spans="2:46" ht="27.75" customHeight="1">
      <c r="B100" s="1590"/>
      <c r="C100" s="1648" t="s">
        <v>592</v>
      </c>
      <c r="D100" s="1648"/>
      <c r="V100" s="1598">
        <v>21363.278727619814</v>
      </c>
      <c r="W100" s="1598">
        <v>28276.824000000001</v>
      </c>
      <c r="X100" s="1649">
        <v>20792.642</v>
      </c>
      <c r="Y100" s="1649">
        <v>24948.775000000001</v>
      </c>
      <c r="Z100" s="1652">
        <v>30479.774000000001</v>
      </c>
      <c r="AA100" s="1652">
        <v>32707.54</v>
      </c>
      <c r="AB100" s="1652">
        <v>44377.29</v>
      </c>
      <c r="AC100" s="1649">
        <v>56721.534</v>
      </c>
      <c r="AD100" s="1652">
        <v>104644.822</v>
      </c>
      <c r="AE100" s="1600">
        <v>77144.955000000002</v>
      </c>
      <c r="AF100" s="1600">
        <v>81354.187999999995</v>
      </c>
      <c r="AG100" s="1633">
        <v>88991.455000000002</v>
      </c>
      <c r="AH100" s="1633">
        <v>420863.52600000001</v>
      </c>
      <c r="AI100" s="1653">
        <v>488714.16499999998</v>
      </c>
      <c r="AJ100" s="1653">
        <v>487928.90299999999</v>
      </c>
      <c r="AK100" s="1653">
        <v>474526.20199999999</v>
      </c>
      <c r="AL100" s="1654">
        <v>477352.09700000001</v>
      </c>
      <c r="AM100" s="1655">
        <v>469060.29</v>
      </c>
      <c r="AN100" s="1655">
        <v>436798.83600000001</v>
      </c>
      <c r="AO100" s="1655">
        <v>481219.77899999998</v>
      </c>
      <c r="AP100" s="1655">
        <v>11900</v>
      </c>
      <c r="AQ100" s="1655">
        <v>14900</v>
      </c>
      <c r="AR100" s="1589" t="s">
        <v>1713</v>
      </c>
      <c r="AS100" s="1589" t="s">
        <v>1714</v>
      </c>
      <c r="AT100" s="1589" t="s">
        <v>1586</v>
      </c>
    </row>
    <row r="101" spans="2:46" ht="24.75" customHeight="1">
      <c r="B101" s="1590"/>
      <c r="C101" s="1648" t="s">
        <v>593</v>
      </c>
      <c r="D101" s="1648"/>
      <c r="V101" s="1598">
        <v>154230.8061974468</v>
      </c>
      <c r="W101" s="1598">
        <v>117364.98299999999</v>
      </c>
      <c r="X101" s="1649">
        <v>186936.755</v>
      </c>
      <c r="Y101" s="1649">
        <v>197893.13099999999</v>
      </c>
      <c r="Z101" s="1652">
        <v>202616.17499999999</v>
      </c>
      <c r="AA101" s="1652">
        <v>217780.58100000001</v>
      </c>
      <c r="AB101" s="1652">
        <v>179388.989</v>
      </c>
      <c r="AC101" s="1649">
        <v>196207.78</v>
      </c>
      <c r="AD101" s="1652">
        <v>213679.01199999999</v>
      </c>
      <c r="AE101" s="1600">
        <v>208788.81</v>
      </c>
      <c r="AF101" s="1600">
        <v>229024.90700000001</v>
      </c>
      <c r="AG101" s="1633">
        <v>229102.94099999999</v>
      </c>
      <c r="AH101" s="1633">
        <v>28422.97</v>
      </c>
      <c r="AI101" s="1653">
        <v>137274.18100000001</v>
      </c>
      <c r="AJ101" s="1653">
        <v>142027.886</v>
      </c>
      <c r="AK101" s="1653">
        <v>1995.617</v>
      </c>
      <c r="AL101" s="1654">
        <v>1426.0309999999999</v>
      </c>
      <c r="AM101" s="1656">
        <v>1354.644</v>
      </c>
      <c r="AN101" s="1656">
        <v>1433.623</v>
      </c>
      <c r="AO101" s="1656">
        <v>2324.741</v>
      </c>
      <c r="AP101" s="1656" t="s">
        <v>1715</v>
      </c>
      <c r="AQ101" s="1656" t="s">
        <v>1715</v>
      </c>
      <c r="AR101" s="1589" t="s">
        <v>1716</v>
      </c>
      <c r="AS101" s="1589" t="s">
        <v>1714</v>
      </c>
      <c r="AT101" s="1589" t="s">
        <v>1587</v>
      </c>
    </row>
    <row r="102" spans="2:46" ht="51">
      <c r="B102" s="1590"/>
      <c r="C102" s="1648" t="s">
        <v>594</v>
      </c>
      <c r="D102" s="1648"/>
      <c r="V102" s="1598">
        <v>7471</v>
      </c>
      <c r="W102" s="1598">
        <v>6777</v>
      </c>
      <c r="X102" s="1649">
        <v>7744</v>
      </c>
      <c r="Y102" s="1649">
        <v>14369</v>
      </c>
      <c r="Z102" s="1652">
        <v>26292.407999999999</v>
      </c>
      <c r="AA102" s="1652">
        <v>31824.564999999999</v>
      </c>
      <c r="AB102" s="1652">
        <v>8190.3370000000004</v>
      </c>
      <c r="AC102" s="1649">
        <v>8405.5040000000008</v>
      </c>
      <c r="AD102" s="1652">
        <v>9048.5779999999995</v>
      </c>
      <c r="AE102" s="1600">
        <v>10757.239</v>
      </c>
      <c r="AF102" s="1600">
        <v>25416.537</v>
      </c>
      <c r="AG102" s="1633">
        <v>18947.738000000001</v>
      </c>
      <c r="AH102" s="1633">
        <v>15322.334000000001</v>
      </c>
      <c r="AI102" s="1653">
        <v>17200.920209</v>
      </c>
      <c r="AJ102" s="1653">
        <v>15428.496032999999</v>
      </c>
      <c r="AK102" s="1653">
        <v>21137.910485</v>
      </c>
      <c r="AL102" s="1654">
        <v>22030.886999999999</v>
      </c>
      <c r="AM102" s="1656">
        <v>18555.850209</v>
      </c>
      <c r="AN102" s="1656">
        <v>20991.332420999999</v>
      </c>
      <c r="AO102" s="1656">
        <v>21751.736862999998</v>
      </c>
      <c r="AP102" s="1656" t="s">
        <v>1717</v>
      </c>
      <c r="AQ102" s="1656" t="s">
        <v>1717</v>
      </c>
      <c r="AR102" s="1589" t="s">
        <v>1718</v>
      </c>
      <c r="AS102" s="1589" t="s">
        <v>1719</v>
      </c>
    </row>
    <row r="103" spans="2:46" ht="63.75">
      <c r="B103" s="1590"/>
      <c r="C103" s="1648" t="s">
        <v>595</v>
      </c>
      <c r="D103" s="1648"/>
      <c r="V103" s="1598">
        <v>178192.01790000001</v>
      </c>
      <c r="W103" s="1598">
        <v>178192</v>
      </c>
      <c r="X103" s="1649">
        <v>178192</v>
      </c>
      <c r="Y103" s="1649">
        <v>72768.870999999999</v>
      </c>
      <c r="Z103" s="1652">
        <v>65742.831000000006</v>
      </c>
      <c r="AA103" s="1652">
        <v>33059.264999999999</v>
      </c>
      <c r="AB103" s="1652">
        <v>37776</v>
      </c>
      <c r="AC103" s="1649">
        <v>67754</v>
      </c>
      <c r="AD103" s="1652">
        <v>54731.362999999998</v>
      </c>
      <c r="AE103" s="1600">
        <v>55983.334000000003</v>
      </c>
      <c r="AF103" s="1600">
        <v>59231.254000000001</v>
      </c>
      <c r="AG103" s="1633">
        <v>72365.239000000001</v>
      </c>
      <c r="AH103" s="1633">
        <v>330308.7</v>
      </c>
      <c r="AI103" s="1653">
        <v>388401.09375</v>
      </c>
      <c r="AJ103" s="1653">
        <v>311531.61</v>
      </c>
      <c r="AK103" s="1653">
        <v>92605.653773584912</v>
      </c>
      <c r="AL103" s="1654">
        <v>101418.121</v>
      </c>
      <c r="AM103" s="1656">
        <v>79962.167924528301</v>
      </c>
      <c r="AN103" s="1656">
        <v>81238.490999999995</v>
      </c>
      <c r="AO103" s="1656">
        <v>83384.839000000007</v>
      </c>
      <c r="AP103" s="1656" t="s">
        <v>1715</v>
      </c>
      <c r="AQ103" s="1656" t="s">
        <v>1715</v>
      </c>
      <c r="AR103" s="1589" t="s">
        <v>1716</v>
      </c>
      <c r="AS103" s="1589"/>
      <c r="AT103" s="1589" t="s">
        <v>1588</v>
      </c>
    </row>
    <row r="104" spans="2:46">
      <c r="B104" s="1590"/>
      <c r="C104" s="1589" t="s">
        <v>1720</v>
      </c>
      <c r="R104" s="1589"/>
      <c r="S104" s="1589"/>
      <c r="T104" s="1589"/>
      <c r="U104" s="1589"/>
      <c r="V104" s="1589"/>
      <c r="W104" s="1589"/>
      <c r="X104" s="1589"/>
      <c r="Y104" s="1589"/>
      <c r="Z104" s="1589"/>
      <c r="AA104" s="1589"/>
      <c r="AB104" s="1589"/>
      <c r="AC104" s="1589"/>
      <c r="AD104" s="1589"/>
      <c r="AE104" s="1589"/>
      <c r="AF104" s="1589"/>
      <c r="AG104" s="1599"/>
      <c r="AI104" s="1590"/>
      <c r="AJ104" s="1590"/>
      <c r="AK104" s="1590"/>
      <c r="AL104" s="1657"/>
      <c r="AM104" s="1657"/>
      <c r="AN104" s="1657"/>
      <c r="AO104" s="1657"/>
      <c r="AP104" s="1657"/>
      <c r="AQ104" s="1657"/>
      <c r="AR104" s="1589"/>
      <c r="AS104" s="1589"/>
    </row>
    <row r="105" spans="2:46" ht="38.25">
      <c r="B105" s="1590"/>
      <c r="C105" s="1589" t="s">
        <v>1721</v>
      </c>
      <c r="R105" s="1589"/>
      <c r="S105" s="1589"/>
      <c r="T105" s="1589"/>
      <c r="U105" s="1589"/>
      <c r="V105" s="1658" t="s">
        <v>1715</v>
      </c>
      <c r="W105" s="1658" t="s">
        <v>1715</v>
      </c>
      <c r="X105" s="1658" t="s">
        <v>1715</v>
      </c>
      <c r="Y105" s="1658" t="s">
        <v>1715</v>
      </c>
      <c r="Z105" s="1658" t="s">
        <v>1715</v>
      </c>
      <c r="AA105" s="1658" t="s">
        <v>1715</v>
      </c>
      <c r="AB105" s="1658" t="s">
        <v>1715</v>
      </c>
      <c r="AC105" s="1658" t="s">
        <v>1715</v>
      </c>
      <c r="AD105" s="1658" t="s">
        <v>1715</v>
      </c>
      <c r="AE105" s="1658" t="s">
        <v>1715</v>
      </c>
      <c r="AF105" s="1658" t="s">
        <v>1715</v>
      </c>
      <c r="AG105" s="1658" t="s">
        <v>1715</v>
      </c>
      <c r="AH105" s="1658" t="s">
        <v>1715</v>
      </c>
      <c r="AI105" s="1657" t="s">
        <v>1715</v>
      </c>
      <c r="AJ105" s="1657" t="s">
        <v>1715</v>
      </c>
      <c r="AK105" s="1657" t="s">
        <v>1715</v>
      </c>
      <c r="AL105" s="1657" t="s">
        <v>1715</v>
      </c>
      <c r="AM105" s="1655">
        <v>144200</v>
      </c>
      <c r="AN105" s="1655">
        <v>179600</v>
      </c>
      <c r="AO105" s="1655">
        <v>185500</v>
      </c>
      <c r="AP105" s="1655">
        <v>187100</v>
      </c>
      <c r="AQ105" s="1655">
        <v>218100</v>
      </c>
      <c r="AR105" s="1589" t="s">
        <v>1722</v>
      </c>
      <c r="AS105" s="1589"/>
    </row>
    <row r="106" spans="2:46" ht="51">
      <c r="B106" s="1590"/>
      <c r="C106" s="1589" t="s">
        <v>1723</v>
      </c>
      <c r="R106" s="1589"/>
      <c r="S106" s="1589"/>
      <c r="T106" s="1589"/>
      <c r="U106" s="1589"/>
      <c r="V106" s="1658" t="s">
        <v>1715</v>
      </c>
      <c r="W106" s="1658" t="s">
        <v>1715</v>
      </c>
      <c r="X106" s="1658" t="s">
        <v>1715</v>
      </c>
      <c r="Y106" s="1658" t="s">
        <v>1715</v>
      </c>
      <c r="Z106" s="1658" t="s">
        <v>1715</v>
      </c>
      <c r="AA106" s="1658" t="s">
        <v>1715</v>
      </c>
      <c r="AB106" s="1658" t="s">
        <v>1715</v>
      </c>
      <c r="AC106" s="1658" t="s">
        <v>1715</v>
      </c>
      <c r="AD106" s="1658" t="s">
        <v>1715</v>
      </c>
      <c r="AE106" s="1658" t="s">
        <v>1715</v>
      </c>
      <c r="AF106" s="1658" t="s">
        <v>1715</v>
      </c>
      <c r="AG106" s="1658" t="s">
        <v>1715</v>
      </c>
      <c r="AH106" s="1658" t="s">
        <v>1715</v>
      </c>
      <c r="AI106" s="1657" t="s">
        <v>1715</v>
      </c>
      <c r="AJ106" s="1657" t="s">
        <v>1715</v>
      </c>
      <c r="AK106" s="1657" t="s">
        <v>1715</v>
      </c>
      <c r="AL106" s="1657" t="s">
        <v>1715</v>
      </c>
      <c r="AM106" s="1655">
        <v>0</v>
      </c>
      <c r="AN106" s="1655">
        <v>0</v>
      </c>
      <c r="AO106" s="1655">
        <v>0</v>
      </c>
      <c r="AP106" s="1655">
        <v>1560087.057</v>
      </c>
      <c r="AQ106" s="1655">
        <v>1790098.6939999999</v>
      </c>
      <c r="AR106" s="1589" t="s">
        <v>1722</v>
      </c>
      <c r="AS106" s="1589"/>
    </row>
    <row r="107" spans="2:46">
      <c r="B107" s="1590"/>
      <c r="R107" s="1589"/>
      <c r="S107" s="1589"/>
      <c r="T107" s="1589"/>
      <c r="U107" s="1589"/>
      <c r="V107" s="1589"/>
      <c r="W107" s="1589"/>
      <c r="X107" s="1589"/>
      <c r="Y107" s="1589"/>
      <c r="Z107" s="1589"/>
      <c r="AA107" s="1589"/>
      <c r="AB107" s="1589"/>
      <c r="AC107" s="1589"/>
      <c r="AD107" s="1589"/>
      <c r="AE107" s="1589"/>
      <c r="AF107" s="1589"/>
      <c r="AG107" s="1599"/>
      <c r="AR107" s="1589"/>
      <c r="AS107" s="1589"/>
    </row>
    <row r="108" spans="2:46">
      <c r="B108" s="1590"/>
      <c r="C108" s="165"/>
      <c r="R108" s="1589"/>
      <c r="S108" s="1589"/>
      <c r="T108" s="1589"/>
      <c r="U108" s="1589"/>
      <c r="V108" s="1589"/>
      <c r="W108" s="1589"/>
      <c r="X108" s="1589"/>
      <c r="Y108" s="1589"/>
      <c r="Z108" s="1589"/>
      <c r="AA108" s="1589"/>
      <c r="AB108" s="1589"/>
      <c r="AC108" s="1589"/>
      <c r="AD108" s="1589"/>
      <c r="AE108" s="1589"/>
      <c r="AF108" s="1589"/>
      <c r="AG108" s="1599"/>
      <c r="AR108" s="1589"/>
      <c r="AS108" s="1589"/>
    </row>
    <row r="109" spans="2:46">
      <c r="B109" s="1590"/>
      <c r="R109" s="1589"/>
      <c r="S109" s="1589"/>
      <c r="T109" s="1589"/>
      <c r="U109" s="1589"/>
      <c r="V109" s="1589"/>
      <c r="W109" s="1589"/>
      <c r="X109" s="1589"/>
      <c r="Y109" s="1589"/>
      <c r="Z109" s="1589"/>
      <c r="AA109" s="1589"/>
      <c r="AB109" s="1589"/>
      <c r="AC109" s="1589"/>
      <c r="AD109" s="1589"/>
      <c r="AE109" s="1589"/>
      <c r="AF109" s="1589"/>
      <c r="AG109" s="1599"/>
      <c r="AR109" s="1589"/>
      <c r="AS109" s="1589"/>
    </row>
    <row r="110" spans="2:46" ht="12.75" customHeight="1">
      <c r="B110" s="1590"/>
      <c r="R110" s="1589"/>
      <c r="S110" s="1589"/>
      <c r="T110" s="1589"/>
      <c r="U110" s="1589"/>
      <c r="V110" s="1589"/>
      <c r="W110" s="1589"/>
      <c r="X110" s="1589"/>
      <c r="Y110" s="1589"/>
      <c r="Z110" s="1589"/>
      <c r="AA110" s="1589"/>
      <c r="AB110" s="1589"/>
      <c r="AC110" s="1589"/>
      <c r="AD110" s="1589"/>
      <c r="AE110" s="1589"/>
      <c r="AF110" s="1589"/>
      <c r="AG110" s="1599"/>
      <c r="AR110" s="1589"/>
      <c r="AS110" s="1589"/>
    </row>
    <row r="111" spans="2:46" ht="12.75" customHeight="1">
      <c r="B111" s="1590"/>
      <c r="R111" s="1589"/>
      <c r="S111" s="1589"/>
      <c r="T111" s="1589"/>
      <c r="U111" s="1589"/>
      <c r="V111" s="1589"/>
      <c r="W111" s="1589"/>
      <c r="X111" s="1589"/>
      <c r="Y111" s="1589"/>
      <c r="Z111" s="1589"/>
      <c r="AA111" s="1589"/>
      <c r="AB111" s="1589"/>
      <c r="AC111" s="1589"/>
      <c r="AD111" s="1589"/>
      <c r="AE111" s="1589"/>
      <c r="AF111" s="1589"/>
      <c r="AG111" s="1599"/>
      <c r="AR111" s="1589"/>
      <c r="AS111" s="1589"/>
    </row>
    <row r="112" spans="2:46">
      <c r="AB112" s="1592"/>
      <c r="AR112" s="1589"/>
      <c r="AS112" s="1589"/>
    </row>
    <row r="113" spans="2:45">
      <c r="B113" s="217" t="s">
        <v>78</v>
      </c>
      <c r="C113" s="311"/>
      <c r="R113" s="1590">
        <v>0</v>
      </c>
      <c r="T113" s="1590">
        <v>0</v>
      </c>
      <c r="V113" s="1598">
        <v>0</v>
      </c>
      <c r="W113" s="1598">
        <v>0</v>
      </c>
      <c r="X113" s="1591">
        <v>0</v>
      </c>
      <c r="Y113" s="1591">
        <v>0</v>
      </c>
      <c r="Z113" s="1591">
        <v>0</v>
      </c>
      <c r="AA113" s="1591">
        <v>0</v>
      </c>
      <c r="AB113" s="1591">
        <v>0</v>
      </c>
      <c r="AC113" s="1591">
        <v>0</v>
      </c>
      <c r="AD113" s="1591">
        <v>0</v>
      </c>
      <c r="AE113" s="1591">
        <v>0</v>
      </c>
      <c r="AF113" s="1591">
        <v>0</v>
      </c>
      <c r="AG113" s="1591">
        <v>0</v>
      </c>
      <c r="AH113" s="1591">
        <v>0</v>
      </c>
      <c r="AI113" s="1591">
        <v>0</v>
      </c>
      <c r="AJ113" s="1591">
        <v>0</v>
      </c>
      <c r="AK113" s="1591">
        <v>0</v>
      </c>
      <c r="AL113" s="1591">
        <v>0</v>
      </c>
      <c r="AM113" s="1591">
        <v>0</v>
      </c>
      <c r="AN113" s="1591">
        <v>0</v>
      </c>
      <c r="AO113" s="1591">
        <v>0</v>
      </c>
      <c r="AP113" s="1591">
        <v>0</v>
      </c>
      <c r="AQ113" s="1591">
        <v>0</v>
      </c>
      <c r="AR113" s="1589"/>
      <c r="AS113" s="1589"/>
    </row>
    <row r="114" spans="2:45">
      <c r="B114" s="217"/>
      <c r="C114" s="311"/>
      <c r="V114" s="1598"/>
      <c r="W114" s="1598"/>
      <c r="Z114" s="1591"/>
      <c r="AD114" s="1591"/>
      <c r="AE114" s="1591"/>
      <c r="AF114" s="1591"/>
      <c r="AR114" s="1589"/>
      <c r="AS114" s="1589"/>
    </row>
    <row r="115" spans="2:45">
      <c r="B115" s="217"/>
      <c r="C115" s="311"/>
      <c r="V115" s="1598"/>
      <c r="W115" s="1598"/>
      <c r="Z115" s="1591"/>
      <c r="AD115" s="1591"/>
      <c r="AE115" s="1591"/>
      <c r="AF115" s="1591"/>
      <c r="AL115" s="1649"/>
      <c r="AM115" s="1649"/>
      <c r="AN115" s="1649"/>
      <c r="AO115" s="1649"/>
      <c r="AR115" s="1589"/>
      <c r="AS115" s="1589"/>
    </row>
    <row r="116" spans="2:45" ht="13.5">
      <c r="B116" s="220" t="s">
        <v>240</v>
      </c>
      <c r="C116" s="1659"/>
      <c r="D116" s="1660"/>
      <c r="E116" s="1659"/>
      <c r="F116" s="1659"/>
      <c r="G116" s="1660"/>
      <c r="H116" s="1659"/>
      <c r="I116" s="1659"/>
      <c r="J116" s="1659"/>
      <c r="K116" s="1659"/>
      <c r="L116" s="1659"/>
      <c r="M116" s="1659"/>
      <c r="N116" s="1659"/>
      <c r="O116" s="1659"/>
      <c r="P116" s="1659"/>
      <c r="Q116" s="1659"/>
      <c r="R116" s="1661"/>
      <c r="S116" s="1661"/>
      <c r="T116" s="1661"/>
      <c r="U116" s="1661"/>
      <c r="V116" s="1661"/>
      <c r="W116" s="1661"/>
      <c r="X116" s="1662"/>
      <c r="Y116" s="1662"/>
      <c r="Z116" s="1662"/>
      <c r="AA116" s="1662"/>
      <c r="AB116" s="1662"/>
      <c r="AC116" s="1662"/>
      <c r="AD116" s="1662"/>
      <c r="AE116" s="1662"/>
      <c r="AF116" s="1662"/>
      <c r="AR116" s="1589"/>
      <c r="AS116" s="1589"/>
    </row>
    <row r="117" spans="2:45">
      <c r="B117" s="206" t="s">
        <v>447</v>
      </c>
      <c r="C117" s="165"/>
      <c r="D117" s="165"/>
      <c r="E117" s="165"/>
      <c r="F117" s="165"/>
      <c r="G117" s="165"/>
      <c r="H117" s="165"/>
      <c r="I117" s="1659"/>
      <c r="J117" s="1659"/>
      <c r="K117" s="1659"/>
      <c r="L117" s="1659"/>
      <c r="M117" s="1659"/>
      <c r="N117" s="1659"/>
      <c r="O117" s="1659"/>
      <c r="P117" s="1659"/>
      <c r="Q117" s="1659"/>
      <c r="R117" s="1661"/>
      <c r="S117" s="1661"/>
      <c r="T117" s="1663"/>
      <c r="U117" s="1663"/>
      <c r="V117" s="1663"/>
      <c r="W117" s="1663"/>
      <c r="X117" s="1664"/>
      <c r="Y117" s="1665"/>
      <c r="Z117" s="1664"/>
      <c r="AA117" s="1665"/>
      <c r="AB117" s="1664"/>
      <c r="AC117" s="1665"/>
      <c r="AD117" s="1664"/>
      <c r="AE117" s="1665"/>
      <c r="AF117" s="1664"/>
      <c r="AR117" s="1589"/>
      <c r="AS117" s="1589"/>
    </row>
    <row r="118" spans="2:45" ht="30.75" customHeight="1">
      <c r="B118" s="165" t="s">
        <v>596</v>
      </c>
      <c r="C118" s="836" t="s">
        <v>597</v>
      </c>
      <c r="D118" s="165"/>
      <c r="E118" s="165"/>
      <c r="F118" s="165"/>
      <c r="G118" s="165"/>
      <c r="H118" s="165"/>
      <c r="I118" s="1659"/>
      <c r="J118" s="1659"/>
      <c r="K118" s="1659"/>
      <c r="L118" s="1659"/>
      <c r="M118" s="1659"/>
      <c r="N118" s="1659"/>
      <c r="O118" s="1659"/>
      <c r="P118" s="1659"/>
      <c r="Q118" s="1659"/>
      <c r="R118" s="1661"/>
      <c r="S118" s="1661"/>
      <c r="T118" s="1663"/>
      <c r="U118" s="1663"/>
      <c r="V118" s="1663"/>
      <c r="W118" s="1666">
        <v>2000</v>
      </c>
      <c r="X118" s="1666">
        <v>2001</v>
      </c>
      <c r="Y118" s="1666">
        <v>2002</v>
      </c>
      <c r="Z118" s="1667">
        <v>2003</v>
      </c>
      <c r="AA118" s="1667">
        <v>2004</v>
      </c>
      <c r="AB118" s="1667">
        <v>2005</v>
      </c>
      <c r="AC118" s="1667">
        <v>2006</v>
      </c>
      <c r="AD118" s="1667">
        <v>2007</v>
      </c>
      <c r="AE118" s="1667">
        <v>2008</v>
      </c>
      <c r="AF118" s="1667">
        <v>2009</v>
      </c>
      <c r="AG118" s="1667">
        <v>2010</v>
      </c>
      <c r="AH118" s="1667">
        <v>2011</v>
      </c>
      <c r="AI118" s="1667">
        <v>2012</v>
      </c>
      <c r="AJ118" s="1667">
        <v>2013</v>
      </c>
      <c r="AK118" s="1667">
        <v>2014</v>
      </c>
      <c r="AL118" s="1667">
        <v>2015</v>
      </c>
      <c r="AM118" s="1639" t="s">
        <v>1915</v>
      </c>
      <c r="AN118" s="1639" t="s">
        <v>1916</v>
      </c>
      <c r="AO118" s="1639" t="s">
        <v>1917</v>
      </c>
      <c r="AP118" s="1667">
        <v>2019</v>
      </c>
      <c r="AQ118" s="1667">
        <v>2020</v>
      </c>
      <c r="AR118" s="1668" t="s">
        <v>1589</v>
      </c>
      <c r="AS118" s="1668"/>
    </row>
    <row r="119" spans="2:45" ht="40.5" customHeight="1">
      <c r="B119" s="836" t="s">
        <v>598</v>
      </c>
      <c r="C119" s="1669" t="s">
        <v>1590</v>
      </c>
      <c r="V119" s="1598"/>
      <c r="W119" s="1598">
        <v>163300</v>
      </c>
      <c r="X119" s="1670">
        <v>119300</v>
      </c>
      <c r="Y119" s="1671">
        <v>83300</v>
      </c>
      <c r="Z119" s="1670">
        <v>75500</v>
      </c>
      <c r="AA119" s="1672">
        <v>68400</v>
      </c>
      <c r="AB119" s="1670">
        <v>45600</v>
      </c>
      <c r="AC119" s="1671">
        <v>54800</v>
      </c>
      <c r="AD119" s="1670">
        <v>71303.145587825915</v>
      </c>
      <c r="AE119" s="1646">
        <v>54800</v>
      </c>
      <c r="AF119" s="1670">
        <v>97000</v>
      </c>
      <c r="AG119" s="1670">
        <v>73400</v>
      </c>
      <c r="AH119" s="1670">
        <v>15600</v>
      </c>
      <c r="AI119" s="1670">
        <v>28600</v>
      </c>
      <c r="AJ119" s="1670">
        <v>30800</v>
      </c>
      <c r="AK119" s="1670">
        <v>35800</v>
      </c>
      <c r="AL119" s="1670">
        <v>39500</v>
      </c>
      <c r="AM119" s="1670">
        <v>41400</v>
      </c>
      <c r="AN119" s="1670">
        <v>36700</v>
      </c>
      <c r="AO119" s="1670">
        <v>38000</v>
      </c>
      <c r="AP119" s="1670">
        <v>28900</v>
      </c>
      <c r="AQ119" s="1670">
        <v>33600</v>
      </c>
      <c r="AR119" s="1673"/>
      <c r="AS119" s="1674" t="s">
        <v>1724</v>
      </c>
    </row>
    <row r="120" spans="2:45" ht="57.75" customHeight="1">
      <c r="C120" s="1675" t="s">
        <v>1591</v>
      </c>
      <c r="V120" s="1598"/>
      <c r="W120" s="1598">
        <v>95500</v>
      </c>
      <c r="X120" s="1670">
        <v>108100</v>
      </c>
      <c r="Y120" s="1671">
        <v>100800</v>
      </c>
      <c r="Z120" s="1670">
        <v>87100</v>
      </c>
      <c r="AA120" s="1672">
        <v>83000</v>
      </c>
      <c r="AB120" s="1670">
        <v>65700</v>
      </c>
      <c r="AC120" s="1671">
        <v>86100</v>
      </c>
      <c r="AD120" s="1670">
        <v>62300</v>
      </c>
      <c r="AE120" s="1646">
        <v>54900</v>
      </c>
      <c r="AF120" s="1670">
        <v>48800</v>
      </c>
      <c r="AG120" s="1670">
        <v>40100</v>
      </c>
      <c r="AH120" s="1670">
        <v>39000</v>
      </c>
      <c r="AI120" s="1670">
        <v>29000</v>
      </c>
      <c r="AJ120" s="1670">
        <v>27200</v>
      </c>
      <c r="AK120" s="1670">
        <v>29000</v>
      </c>
      <c r="AL120" s="1670">
        <v>31600</v>
      </c>
      <c r="AM120" s="1670">
        <v>31000</v>
      </c>
      <c r="AN120" s="1670">
        <v>24900</v>
      </c>
      <c r="AO120" s="1670">
        <v>23700</v>
      </c>
      <c r="AP120" s="1670">
        <v>22600</v>
      </c>
      <c r="AQ120" s="1670">
        <v>21200</v>
      </c>
      <c r="AR120" s="1673" t="s">
        <v>1725</v>
      </c>
      <c r="AS120" s="1674" t="s">
        <v>1724</v>
      </c>
    </row>
    <row r="121" spans="2:45" ht="12" customHeight="1">
      <c r="B121" s="217"/>
      <c r="C121" s="1676" t="s">
        <v>1726</v>
      </c>
      <c r="V121" s="1598"/>
      <c r="W121" s="1598"/>
      <c r="Z121" s="1591"/>
      <c r="AD121" s="1591"/>
      <c r="AE121" s="1591"/>
      <c r="AF121" s="1591"/>
      <c r="AM121" s="1599">
        <v>1768300</v>
      </c>
      <c r="AN121" s="1599">
        <v>1849600</v>
      </c>
      <c r="AO121" s="1599">
        <v>2775700</v>
      </c>
      <c r="AP121" s="1599">
        <v>3045700</v>
      </c>
      <c r="AQ121" s="1599">
        <v>3306700</v>
      </c>
      <c r="AR121" s="1591"/>
      <c r="AS121" s="1589"/>
    </row>
    <row r="122" spans="2:45">
      <c r="B122" s="217"/>
      <c r="C122" s="1677" t="s">
        <v>1727</v>
      </c>
      <c r="V122" s="1598"/>
      <c r="W122" s="1598"/>
      <c r="AJ122" s="1606"/>
      <c r="AK122" s="1606"/>
      <c r="AL122" s="1606"/>
      <c r="AM122" s="1642">
        <v>66562</v>
      </c>
      <c r="AN122" s="1642">
        <v>54456</v>
      </c>
      <c r="AO122" s="1642">
        <v>62024.298855000001</v>
      </c>
      <c r="AP122" s="1642">
        <v>64672.724634999999</v>
      </c>
      <c r="AQ122" s="1642">
        <v>83798.941571000003</v>
      </c>
      <c r="AR122" s="1591"/>
      <c r="AS122" s="1589"/>
    </row>
    <row r="123" spans="2:45">
      <c r="B123" s="2017"/>
      <c r="C123" s="1922"/>
      <c r="D123" s="1922"/>
      <c r="E123" s="1922"/>
      <c r="F123" s="1922"/>
      <c r="G123" s="1922"/>
      <c r="H123" s="1922"/>
      <c r="I123" s="1922"/>
      <c r="J123" s="1922"/>
      <c r="K123" s="1922"/>
      <c r="L123" s="1922"/>
      <c r="M123" s="1922"/>
      <c r="N123" s="1922"/>
      <c r="O123" s="1922"/>
      <c r="P123" s="1922"/>
      <c r="Q123" s="1922"/>
      <c r="R123" s="1922"/>
      <c r="S123" s="1922"/>
      <c r="T123" s="1922"/>
      <c r="U123" s="1922"/>
      <c r="V123" s="1922"/>
      <c r="W123" s="1922"/>
      <c r="X123" s="1922"/>
      <c r="Y123" s="1922"/>
      <c r="Z123" s="1922"/>
      <c r="AA123" s="1922"/>
      <c r="AB123" s="1922"/>
      <c r="AC123" s="1922"/>
      <c r="AD123" s="1922"/>
      <c r="AE123" s="1922"/>
      <c r="AF123" s="1922"/>
      <c r="AP123" s="1589"/>
      <c r="AR123" s="1591"/>
      <c r="AS123" s="1589"/>
    </row>
    <row r="124" spans="2:45" ht="33" customHeight="1">
      <c r="B124" s="1678"/>
      <c r="C124" s="834"/>
      <c r="D124" s="834"/>
      <c r="E124" s="834"/>
      <c r="F124" s="834"/>
      <c r="G124" s="834"/>
      <c r="H124" s="834"/>
      <c r="I124" s="834"/>
      <c r="J124" s="834"/>
      <c r="K124" s="834"/>
      <c r="L124" s="834"/>
      <c r="M124" s="834"/>
      <c r="N124" s="834"/>
      <c r="O124" s="834"/>
      <c r="P124" s="834"/>
      <c r="Q124" s="834"/>
      <c r="R124" s="837"/>
      <c r="S124" s="837"/>
      <c r="T124" s="837"/>
      <c r="U124" s="837"/>
      <c r="V124" s="1638">
        <v>1999</v>
      </c>
      <c r="W124" s="1638">
        <v>2000</v>
      </c>
      <c r="X124" s="1638">
        <v>2001</v>
      </c>
      <c r="Y124" s="1638">
        <v>2002</v>
      </c>
      <c r="Z124" s="1638">
        <v>2003</v>
      </c>
      <c r="AA124" s="1638">
        <v>2004</v>
      </c>
      <c r="AB124" s="1638">
        <v>2005</v>
      </c>
      <c r="AC124" s="1638">
        <v>2006</v>
      </c>
      <c r="AD124" s="1638">
        <v>2007</v>
      </c>
      <c r="AE124" s="1638">
        <v>2008</v>
      </c>
      <c r="AF124" s="1638">
        <v>2009</v>
      </c>
      <c r="AG124" s="1638">
        <v>2010</v>
      </c>
      <c r="AH124" s="1638">
        <v>2011</v>
      </c>
      <c r="AI124" s="1679">
        <v>2012</v>
      </c>
      <c r="AJ124" s="1680">
        <v>2013</v>
      </c>
      <c r="AK124" s="1679">
        <v>2014</v>
      </c>
      <c r="AL124" s="1680">
        <v>2015</v>
      </c>
      <c r="AM124" s="1639" t="s">
        <v>1915</v>
      </c>
      <c r="AN124" s="1639" t="s">
        <v>1916</v>
      </c>
      <c r="AO124" s="1639" t="s">
        <v>1917</v>
      </c>
      <c r="AP124" s="1667">
        <v>2019</v>
      </c>
      <c r="AQ124" s="1667">
        <v>2020</v>
      </c>
      <c r="AR124" s="1591"/>
      <c r="AS124" s="1589"/>
    </row>
    <row r="125" spans="2:45" ht="18" customHeight="1">
      <c r="B125" s="1678"/>
      <c r="C125" s="834" t="s">
        <v>599</v>
      </c>
      <c r="D125" s="834"/>
      <c r="E125" s="834"/>
      <c r="F125" s="834"/>
      <c r="G125" s="834"/>
      <c r="H125" s="834"/>
      <c r="I125" s="834"/>
      <c r="J125" s="834"/>
      <c r="K125" s="834"/>
      <c r="L125" s="834"/>
      <c r="M125" s="834"/>
      <c r="N125" s="834"/>
      <c r="O125" s="834"/>
      <c r="P125" s="834"/>
      <c r="Q125" s="834"/>
      <c r="R125" s="837"/>
      <c r="S125" s="837"/>
      <c r="T125" s="837"/>
      <c r="U125" s="837"/>
      <c r="V125" s="1681">
        <v>350585.11929999996</v>
      </c>
      <c r="W125" s="1682">
        <v>1038130</v>
      </c>
      <c r="X125" s="1683">
        <v>1328720</v>
      </c>
      <c r="Y125" s="1683">
        <v>1541260</v>
      </c>
      <c r="Z125" s="1683">
        <v>1886340</v>
      </c>
      <c r="AA125" s="1683">
        <v>2080000</v>
      </c>
      <c r="AB125" s="1683">
        <v>2656000</v>
      </c>
      <c r="AC125" s="1683">
        <v>2875500</v>
      </c>
      <c r="AD125" s="1683">
        <v>3717995.3069703029</v>
      </c>
      <c r="AE125" s="1683">
        <v>4771300</v>
      </c>
      <c r="AF125" s="1683">
        <v>4833500</v>
      </c>
      <c r="AG125" s="1683">
        <v>4234800</v>
      </c>
      <c r="AH125" s="1683">
        <v>4410400</v>
      </c>
      <c r="AI125" s="1683">
        <v>4743274</v>
      </c>
      <c r="AJ125" s="1683">
        <v>5036489</v>
      </c>
      <c r="AK125" s="1683">
        <v>4937879</v>
      </c>
      <c r="AL125" s="1683">
        <v>5254626</v>
      </c>
      <c r="AM125" s="1683">
        <v>8483406</v>
      </c>
      <c r="AN125" s="1683">
        <v>8903822</v>
      </c>
      <c r="AO125" s="1683">
        <v>10455580</v>
      </c>
      <c r="AP125" s="1683">
        <v>10714680</v>
      </c>
      <c r="AQ125" s="1683">
        <v>11022760.000000002</v>
      </c>
      <c r="AR125" s="1591"/>
      <c r="AS125" s="1674" t="s">
        <v>1724</v>
      </c>
    </row>
    <row r="126" spans="2:45" ht="51" customHeight="1">
      <c r="B126" s="1678"/>
      <c r="C126" s="834" t="s">
        <v>1592</v>
      </c>
      <c r="D126" s="834"/>
      <c r="E126" s="834"/>
      <c r="F126" s="834"/>
      <c r="G126" s="834"/>
      <c r="H126" s="834"/>
      <c r="I126" s="834"/>
      <c r="J126" s="834"/>
      <c r="K126" s="834"/>
      <c r="L126" s="834"/>
      <c r="M126" s="834"/>
      <c r="N126" s="834"/>
      <c r="O126" s="834"/>
      <c r="P126" s="834"/>
      <c r="Q126" s="834"/>
      <c r="R126" s="837"/>
      <c r="S126" s="837"/>
      <c r="T126" s="837"/>
      <c r="U126" s="837"/>
      <c r="V126" s="837">
        <v>0</v>
      </c>
      <c r="W126" s="1682">
        <v>521128.161682192</v>
      </c>
      <c r="X126" s="1683">
        <v>612805.26949868957</v>
      </c>
      <c r="Y126" s="1683">
        <v>594568.07046791655</v>
      </c>
      <c r="Z126" s="1683">
        <v>655261.5175505525</v>
      </c>
      <c r="AA126" s="1683">
        <v>764333.80672113714</v>
      </c>
      <c r="AB126" s="1683">
        <v>1008205.1593906061</v>
      </c>
      <c r="AC126" s="1683">
        <v>1178881.3449434885</v>
      </c>
      <c r="AD126" s="1683">
        <v>1260449.5773117852</v>
      </c>
      <c r="AE126" s="1683">
        <v>1211988.4628352097</v>
      </c>
      <c r="AF126" s="1683">
        <v>1915605.9013925854</v>
      </c>
      <c r="AG126" s="1683">
        <v>1958748.0193005833</v>
      </c>
      <c r="AH126" s="1683">
        <v>2031403.1262112821</v>
      </c>
      <c r="AI126" s="1683">
        <v>2087768.8926781928</v>
      </c>
      <c r="AJ126" s="1683">
        <v>2125518.0162123786</v>
      </c>
      <c r="AK126" s="1683">
        <v>2189029.8809605967</v>
      </c>
      <c r="AL126" s="1683">
        <v>2288501.1139718522</v>
      </c>
      <c r="AM126" s="1683">
        <v>2254698.9503584565</v>
      </c>
      <c r="AN126" s="1683">
        <v>2301114.8190014027</v>
      </c>
      <c r="AO126" s="1683">
        <v>2322546.5084860283</v>
      </c>
      <c r="AP126" s="1683">
        <v>2313681.0599704967</v>
      </c>
      <c r="AQ126" s="1683">
        <v>2328509.0220396174</v>
      </c>
      <c r="AR126" s="1591"/>
      <c r="AS126" s="1589" t="s">
        <v>1728</v>
      </c>
    </row>
    <row r="127" spans="2:45" ht="27" customHeight="1">
      <c r="B127" s="1678"/>
      <c r="C127" s="834" t="s">
        <v>600</v>
      </c>
      <c r="D127" s="834"/>
      <c r="E127" s="834"/>
      <c r="F127" s="834"/>
      <c r="G127" s="834"/>
      <c r="H127" s="834"/>
      <c r="I127" s="834"/>
      <c r="J127" s="834"/>
      <c r="K127" s="834"/>
      <c r="L127" s="834"/>
      <c r="M127" s="834"/>
      <c r="N127" s="834"/>
      <c r="O127" s="834"/>
      <c r="P127" s="834"/>
      <c r="Q127" s="834"/>
      <c r="R127" s="837"/>
      <c r="S127" s="837"/>
      <c r="T127" s="837"/>
      <c r="U127" s="837"/>
      <c r="V127" s="1682">
        <v>350585.11929999996</v>
      </c>
      <c r="W127" s="1682">
        <v>1559258.161682192</v>
      </c>
      <c r="X127" s="1683">
        <v>1941525.2694986896</v>
      </c>
      <c r="Y127" s="1683">
        <v>2135828.0704679163</v>
      </c>
      <c r="Z127" s="1683">
        <v>2541601.5175505523</v>
      </c>
      <c r="AA127" s="1683">
        <v>2844333.8067211369</v>
      </c>
      <c r="AB127" s="1683">
        <v>3664205.159390606</v>
      </c>
      <c r="AC127" s="1683">
        <v>4054381.3449434885</v>
      </c>
      <c r="AD127" s="1683">
        <v>4978444.8842820879</v>
      </c>
      <c r="AE127" s="1683">
        <v>5983288.4628352094</v>
      </c>
      <c r="AF127" s="1683">
        <v>6749105.9013925856</v>
      </c>
      <c r="AG127" s="1683">
        <v>6193548.0193005838</v>
      </c>
      <c r="AH127" s="1683">
        <v>6441803.1262112819</v>
      </c>
      <c r="AI127" s="1683">
        <v>6831042.8926781928</v>
      </c>
      <c r="AJ127" s="1683">
        <v>7162007.0162123786</v>
      </c>
      <c r="AK127" s="1683">
        <v>7126908.8809605967</v>
      </c>
      <c r="AL127" s="1683">
        <v>7543127.1139718518</v>
      </c>
      <c r="AM127" s="1683">
        <v>10738104.950358456</v>
      </c>
      <c r="AN127" s="1683">
        <v>11204936.819001403</v>
      </c>
      <c r="AO127" s="1683">
        <v>12778126.508486029</v>
      </c>
      <c r="AP127" s="1683">
        <v>13028361.059970496</v>
      </c>
      <c r="AQ127" s="1683">
        <v>13351269.022039618</v>
      </c>
      <c r="AR127" s="1591"/>
      <c r="AS127" s="1589"/>
    </row>
    <row r="128" spans="2:45" ht="36" customHeight="1">
      <c r="B128" s="1678"/>
      <c r="C128" s="1648" t="s">
        <v>601</v>
      </c>
      <c r="D128" s="834" t="s">
        <v>601</v>
      </c>
      <c r="E128" s="834"/>
      <c r="F128" s="834"/>
      <c r="G128" s="834"/>
      <c r="H128" s="834"/>
      <c r="I128" s="834"/>
      <c r="J128" s="834"/>
      <c r="K128" s="834"/>
      <c r="L128" s="834"/>
      <c r="M128" s="834"/>
      <c r="N128" s="834"/>
      <c r="O128" s="834"/>
      <c r="P128" s="834"/>
      <c r="Q128" s="834"/>
      <c r="R128" s="837"/>
      <c r="S128" s="837"/>
      <c r="T128" s="837"/>
      <c r="U128" s="837"/>
      <c r="V128" s="837">
        <v>0</v>
      </c>
      <c r="W128" s="1682">
        <v>605588.161682192</v>
      </c>
      <c r="X128" s="1683">
        <v>708865.26949868957</v>
      </c>
      <c r="Y128" s="1683">
        <v>708758.07046791655</v>
      </c>
      <c r="Z128" s="1683">
        <v>776261.5175505525</v>
      </c>
      <c r="AA128" s="1683">
        <v>895433.80672113714</v>
      </c>
      <c r="AB128" s="1683">
        <v>1325205.159390606</v>
      </c>
      <c r="AC128" s="1683">
        <v>1498981.3449434885</v>
      </c>
      <c r="AD128" s="1683">
        <v>1764149.5773117852</v>
      </c>
      <c r="AE128" s="1683">
        <v>2056488.4628352097</v>
      </c>
      <c r="AF128" s="1683">
        <v>2837705.9013925856</v>
      </c>
      <c r="AG128" s="1683">
        <v>2784148.0193005833</v>
      </c>
      <c r="AH128" s="1683">
        <v>2743603.1262112819</v>
      </c>
      <c r="AI128" s="1683">
        <v>2730668.8926781928</v>
      </c>
      <c r="AJ128" s="1683">
        <v>2803618.0162123786</v>
      </c>
      <c r="AK128" s="1683">
        <v>2890229.8809605967</v>
      </c>
      <c r="AL128" s="1683">
        <v>3618901.1139718522</v>
      </c>
      <c r="AM128" s="1683">
        <v>3613798.9503584565</v>
      </c>
      <c r="AN128" s="1683">
        <v>3649114.8190014027</v>
      </c>
      <c r="AO128" s="1683">
        <v>3691646.5084860283</v>
      </c>
      <c r="AP128" s="1683">
        <v>3627381.0599704999</v>
      </c>
      <c r="AQ128" s="1683">
        <v>3289709.0220396174</v>
      </c>
      <c r="AR128" s="1589"/>
      <c r="AS128" s="1589"/>
    </row>
    <row r="129" spans="1:44" s="1589" customFormat="1" ht="18" customHeight="1">
      <c r="A129" s="1588"/>
      <c r="B129" s="1678"/>
      <c r="C129" s="834"/>
      <c r="D129" s="834"/>
      <c r="E129" s="834"/>
      <c r="F129" s="834"/>
      <c r="G129" s="834"/>
      <c r="H129" s="834"/>
      <c r="I129" s="834"/>
      <c r="J129" s="834"/>
      <c r="K129" s="834"/>
      <c r="L129" s="834"/>
      <c r="M129" s="834"/>
      <c r="N129" s="834"/>
      <c r="O129" s="834"/>
      <c r="P129" s="834"/>
      <c r="Q129" s="834"/>
      <c r="R129" s="837"/>
      <c r="S129" s="837"/>
      <c r="T129" s="837"/>
      <c r="U129" s="837"/>
      <c r="V129" s="837"/>
      <c r="W129" s="837"/>
      <c r="X129" s="1684"/>
      <c r="Y129" s="1684"/>
      <c r="Z129" s="1684"/>
      <c r="AA129" s="1684"/>
      <c r="AB129" s="1684"/>
      <c r="AC129" s="1684"/>
      <c r="AD129" s="1684"/>
      <c r="AE129" s="1684"/>
      <c r="AF129" s="1684"/>
      <c r="AG129" s="1591"/>
      <c r="AH129" s="1591"/>
      <c r="AI129" s="1591"/>
      <c r="AJ129" s="1591"/>
      <c r="AK129" s="1591"/>
      <c r="AL129" s="1591"/>
      <c r="AM129" s="1591"/>
      <c r="AN129" s="1591"/>
      <c r="AO129" s="1591"/>
      <c r="AP129" s="1591"/>
    </row>
    <row r="130" spans="1:44" s="1589" customFormat="1" ht="18" customHeight="1">
      <c r="A130" s="1588"/>
      <c r="B130" s="1678"/>
      <c r="C130" s="834"/>
      <c r="D130" s="834"/>
      <c r="E130" s="834"/>
      <c r="F130" s="834"/>
      <c r="G130" s="834"/>
      <c r="H130" s="834"/>
      <c r="I130" s="834"/>
      <c r="J130" s="834"/>
      <c r="K130" s="834"/>
      <c r="L130" s="834"/>
      <c r="M130" s="834"/>
      <c r="N130" s="834"/>
      <c r="O130" s="834"/>
      <c r="P130" s="834"/>
      <c r="Q130" s="834"/>
      <c r="R130" s="837"/>
      <c r="S130" s="837"/>
      <c r="T130" s="837"/>
      <c r="U130" s="837"/>
      <c r="V130" s="837"/>
      <c r="W130" s="837"/>
      <c r="X130" s="1684"/>
      <c r="Y130" s="1684"/>
      <c r="Z130" s="1684"/>
      <c r="AA130" s="1684"/>
      <c r="AB130" s="1684"/>
      <c r="AC130" s="1684"/>
      <c r="AD130" s="1684"/>
      <c r="AE130" s="1684"/>
      <c r="AF130" s="1684"/>
      <c r="AG130" s="1591"/>
      <c r="AH130" s="1591"/>
      <c r="AI130" s="1591"/>
      <c r="AJ130" s="1591"/>
      <c r="AK130" s="1591"/>
      <c r="AL130" s="1649"/>
      <c r="AM130" s="1591"/>
      <c r="AN130" s="1591"/>
      <c r="AO130" s="1591"/>
      <c r="AP130" s="1591"/>
    </row>
    <row r="131" spans="1:44" s="1589" customFormat="1" ht="18" customHeight="1">
      <c r="A131" s="1588"/>
      <c r="B131" s="1678"/>
      <c r="C131" s="834"/>
      <c r="D131" s="834"/>
      <c r="E131" s="834"/>
      <c r="F131" s="834"/>
      <c r="G131" s="834"/>
      <c r="H131" s="834"/>
      <c r="I131" s="834"/>
      <c r="J131" s="834"/>
      <c r="K131" s="834"/>
      <c r="L131" s="834"/>
      <c r="M131" s="834"/>
      <c r="N131" s="834"/>
      <c r="O131" s="834"/>
      <c r="P131" s="834"/>
      <c r="Q131" s="834"/>
      <c r="R131" s="837"/>
      <c r="S131" s="837"/>
      <c r="T131" s="837"/>
      <c r="U131" s="837"/>
      <c r="V131" s="837"/>
      <c r="W131" s="837"/>
      <c r="X131" s="1684"/>
      <c r="Y131" s="1684"/>
      <c r="Z131" s="1684"/>
      <c r="AA131" s="1684"/>
      <c r="AB131" s="1684"/>
      <c r="AC131" s="1684"/>
      <c r="AD131" s="1684"/>
      <c r="AE131" s="1684"/>
      <c r="AF131" s="1684"/>
      <c r="AG131" s="1591"/>
      <c r="AH131" s="1591"/>
      <c r="AI131" s="1591"/>
      <c r="AJ131" s="1591"/>
      <c r="AK131" s="1591"/>
      <c r="AL131" s="1591"/>
      <c r="AM131" s="1591"/>
      <c r="AN131" s="1591"/>
      <c r="AO131" s="1591"/>
      <c r="AP131" s="1591"/>
    </row>
    <row r="132" spans="1:44" s="1589" customFormat="1" ht="18.75" customHeight="1">
      <c r="A132" s="1588"/>
      <c r="B132" s="1674" t="s">
        <v>1729</v>
      </c>
      <c r="C132" s="834"/>
      <c r="D132" s="834"/>
      <c r="E132" s="834"/>
      <c r="F132" s="834"/>
      <c r="G132" s="834"/>
      <c r="H132" s="834"/>
      <c r="I132" s="834"/>
      <c r="J132" s="834"/>
      <c r="K132" s="834"/>
      <c r="L132" s="834"/>
      <c r="M132" s="834"/>
      <c r="N132" s="834"/>
      <c r="O132" s="834"/>
      <c r="P132" s="834"/>
      <c r="Q132" s="834"/>
      <c r="R132" s="837"/>
      <c r="S132" s="837"/>
      <c r="T132" s="837"/>
      <c r="U132" s="837"/>
      <c r="V132" s="837"/>
      <c r="W132" s="837"/>
      <c r="X132" s="1684"/>
      <c r="Y132" s="1684"/>
      <c r="Z132" s="1684"/>
      <c r="AA132" s="1684"/>
      <c r="AB132" s="1684"/>
      <c r="AC132" s="1684"/>
      <c r="AD132" s="1684"/>
      <c r="AE132" s="1684"/>
      <c r="AF132" s="1684"/>
      <c r="AG132" s="1591"/>
      <c r="AH132" s="1591"/>
      <c r="AI132" s="1591"/>
      <c r="AJ132" s="1591"/>
      <c r="AK132" s="1591"/>
      <c r="AL132" s="1591"/>
      <c r="AM132" s="1591"/>
      <c r="AN132" s="1591"/>
      <c r="AO132" s="1591"/>
      <c r="AP132" s="1591"/>
      <c r="AR132" s="1674" t="s">
        <v>1729</v>
      </c>
    </row>
    <row r="133" spans="1:44" s="1589" customFormat="1">
      <c r="A133" s="1588"/>
      <c r="R133" s="1590"/>
      <c r="S133" s="1590"/>
      <c r="T133" s="1590"/>
      <c r="U133" s="1590"/>
      <c r="V133" s="1590"/>
      <c r="W133" s="1590"/>
      <c r="X133" s="1591"/>
      <c r="Y133" s="1591"/>
      <c r="Z133" s="1592"/>
      <c r="AA133" s="1591"/>
      <c r="AB133" s="1591"/>
      <c r="AC133" s="1591"/>
      <c r="AD133" s="1592"/>
      <c r="AE133" s="1592"/>
      <c r="AF133" s="1592"/>
      <c r="AG133" s="1591"/>
      <c r="AH133" s="1591"/>
      <c r="AI133" s="1591"/>
      <c r="AJ133" s="1591"/>
      <c r="AK133" s="1591"/>
      <c r="AL133" s="1591"/>
      <c r="AM133" s="1591"/>
      <c r="AN133" s="1591"/>
      <c r="AO133" s="1591"/>
      <c r="AP133" s="1591"/>
    </row>
    <row r="134" spans="1:44" s="1589" customFormat="1">
      <c r="A134" s="1588"/>
      <c r="R134" s="1590"/>
      <c r="S134" s="1590"/>
      <c r="T134" s="1590"/>
      <c r="U134" s="1590"/>
      <c r="V134" s="1590"/>
      <c r="W134" s="1590"/>
      <c r="X134" s="1591"/>
      <c r="Y134" s="1591"/>
      <c r="Z134" s="1592"/>
      <c r="AA134" s="1591"/>
      <c r="AB134" s="1591"/>
      <c r="AC134" s="1591"/>
      <c r="AD134" s="1592"/>
      <c r="AE134" s="1592"/>
      <c r="AF134" s="1592"/>
      <c r="AG134" s="1591"/>
      <c r="AH134" s="1591"/>
      <c r="AI134" s="1591"/>
      <c r="AJ134" s="1591"/>
      <c r="AK134" s="1591"/>
      <c r="AL134" s="1591"/>
      <c r="AM134" s="1591"/>
      <c r="AN134" s="1591"/>
      <c r="AO134" s="1591"/>
      <c r="AP134" s="1591"/>
    </row>
    <row r="135" spans="1:44" s="1589" customFormat="1">
      <c r="A135" s="1588"/>
      <c r="B135" s="2018" t="s">
        <v>602</v>
      </c>
      <c r="C135" s="2018" t="s">
        <v>603</v>
      </c>
      <c r="D135" s="2018" t="s">
        <v>604</v>
      </c>
      <c r="E135" s="2018" t="s">
        <v>605</v>
      </c>
      <c r="R135" s="1590"/>
      <c r="S135" s="1590"/>
      <c r="T135" s="1590"/>
      <c r="U135" s="1590"/>
      <c r="V135" s="1598"/>
      <c r="W135" s="1598"/>
      <c r="X135" s="1685" t="s">
        <v>1730</v>
      </c>
      <c r="Y135" s="1686"/>
      <c r="Z135" s="1686"/>
      <c r="AA135" s="1686"/>
      <c r="AB135" s="1686"/>
      <c r="AC135" s="1686"/>
      <c r="AD135" s="1686"/>
      <c r="AE135" s="1686"/>
      <c r="AF135" s="1686"/>
      <c r="AG135" s="1686"/>
      <c r="AH135" s="1686"/>
      <c r="AI135" s="1686"/>
      <c r="AJ135" s="1686"/>
      <c r="AK135" s="1686"/>
      <c r="AL135" s="1686"/>
      <c r="AM135" s="1686"/>
      <c r="AN135" s="1686"/>
      <c r="AO135" s="1686"/>
      <c r="AP135" s="1687"/>
      <c r="AQ135" s="1686"/>
      <c r="AR135" s="1687"/>
    </row>
    <row r="136" spans="1:44" s="1589" customFormat="1">
      <c r="A136" s="1588"/>
      <c r="B136" s="2019"/>
      <c r="C136" s="2020"/>
      <c r="D136" s="2020"/>
      <c r="E136" s="2020"/>
      <c r="R136" s="1688">
        <v>1995</v>
      </c>
      <c r="S136" s="1688">
        <v>1996</v>
      </c>
      <c r="T136" s="1688">
        <v>1997</v>
      </c>
      <c r="U136" s="1688">
        <v>1998</v>
      </c>
      <c r="V136" s="1689">
        <v>1999</v>
      </c>
      <c r="W136" s="1690">
        <v>2000</v>
      </c>
      <c r="X136" s="1690">
        <v>2001</v>
      </c>
      <c r="Y136" s="1690">
        <v>2002</v>
      </c>
      <c r="Z136" s="1690">
        <v>2003</v>
      </c>
      <c r="AA136" s="1690">
        <v>2004</v>
      </c>
      <c r="AB136" s="1690">
        <v>2005</v>
      </c>
      <c r="AC136" s="1690">
        <v>2006</v>
      </c>
      <c r="AD136" s="1690">
        <v>2007</v>
      </c>
      <c r="AE136" s="1690">
        <v>2008</v>
      </c>
      <c r="AF136" s="1690">
        <v>2009</v>
      </c>
      <c r="AG136" s="1690">
        <v>2010</v>
      </c>
      <c r="AH136" s="1690">
        <v>2011</v>
      </c>
      <c r="AI136" s="1690">
        <v>2012</v>
      </c>
      <c r="AJ136" s="1690">
        <v>2013</v>
      </c>
      <c r="AK136" s="1690">
        <v>2014</v>
      </c>
      <c r="AL136" s="1690">
        <v>2015</v>
      </c>
      <c r="AM136" s="1691" t="s">
        <v>1915</v>
      </c>
      <c r="AN136" s="1691" t="s">
        <v>1916</v>
      </c>
      <c r="AO136" s="1691" t="s">
        <v>1917</v>
      </c>
      <c r="AP136" s="1692">
        <v>2019</v>
      </c>
      <c r="AQ136" s="1692">
        <v>2020</v>
      </c>
      <c r="AR136" s="1693" t="s">
        <v>1731</v>
      </c>
    </row>
    <row r="137" spans="1:44" s="1589" customFormat="1" ht="10.5" customHeight="1">
      <c r="A137" s="1588"/>
      <c r="B137" s="2021" t="s">
        <v>606</v>
      </c>
      <c r="C137" s="1694" t="s">
        <v>1918</v>
      </c>
      <c r="D137" s="1694"/>
      <c r="E137" s="1695"/>
      <c r="R137" s="1590"/>
      <c r="S137" s="1590"/>
      <c r="T137" s="1590"/>
      <c r="U137" s="1590"/>
      <c r="V137" s="1598"/>
      <c r="W137" s="1696"/>
      <c r="X137" s="1697"/>
      <c r="Y137" s="1697"/>
      <c r="Z137" s="1697"/>
      <c r="AA137" s="1697"/>
      <c r="AB137" s="1697"/>
      <c r="AC137" s="1697"/>
      <c r="AD137" s="1697"/>
      <c r="AE137" s="1698"/>
      <c r="AF137" s="1690"/>
      <c r="AG137" s="1690"/>
      <c r="AH137" s="1690"/>
      <c r="AI137" s="1699"/>
      <c r="AJ137" s="1699"/>
      <c r="AK137" s="1699"/>
      <c r="AL137" s="1699"/>
      <c r="AM137" s="1699"/>
      <c r="AN137" s="1699"/>
      <c r="AO137" s="1699"/>
      <c r="AP137" s="1699"/>
      <c r="AQ137" s="1699"/>
      <c r="AR137" s="1700"/>
    </row>
    <row r="138" spans="1:44" s="1589" customFormat="1" ht="10.5" customHeight="1">
      <c r="A138" s="1588"/>
      <c r="B138" s="2007"/>
      <c r="C138" s="1694" t="s">
        <v>607</v>
      </c>
      <c r="D138" s="1694"/>
      <c r="E138" s="1695"/>
      <c r="R138" s="1590"/>
      <c r="S138" s="1590"/>
      <c r="T138" s="1590"/>
      <c r="U138" s="1590"/>
      <c r="V138" s="1598"/>
      <c r="W138" s="1696"/>
      <c r="X138" s="1697"/>
      <c r="Y138" s="1697"/>
      <c r="Z138" s="1697"/>
      <c r="AA138" s="1697"/>
      <c r="AB138" s="1697"/>
      <c r="AC138" s="1697"/>
      <c r="AD138" s="1697"/>
      <c r="AE138" s="1698"/>
      <c r="AF138" s="1690"/>
      <c r="AG138" s="1690"/>
      <c r="AH138" s="1690"/>
      <c r="AI138" s="1699"/>
      <c r="AJ138" s="1699"/>
      <c r="AK138" s="1699"/>
      <c r="AL138" s="1699"/>
      <c r="AM138" s="1699"/>
      <c r="AN138" s="1699"/>
      <c r="AO138" s="1699"/>
      <c r="AP138" s="1699"/>
      <c r="AQ138" s="1699"/>
      <c r="AR138" s="1700"/>
    </row>
    <row r="139" spans="1:44" s="1589" customFormat="1" ht="10.5" customHeight="1">
      <c r="A139" s="1588"/>
      <c r="B139" s="2007"/>
      <c r="C139" s="1996" t="s">
        <v>608</v>
      </c>
      <c r="D139" s="2009" t="s">
        <v>609</v>
      </c>
      <c r="E139" s="1695" t="s">
        <v>610</v>
      </c>
      <c r="R139" s="1590"/>
      <c r="S139" s="1590"/>
      <c r="T139" s="1590"/>
      <c r="U139" s="1590"/>
      <c r="V139" s="1598"/>
      <c r="W139" s="1696"/>
      <c r="X139" s="1697" t="s">
        <v>269</v>
      </c>
      <c r="Y139" s="1701"/>
      <c r="Z139" s="1697" t="s">
        <v>269</v>
      </c>
      <c r="AA139" s="1698"/>
      <c r="AB139" s="1697" t="s">
        <v>269</v>
      </c>
      <c r="AC139" s="1701"/>
      <c r="AD139" s="1697" t="s">
        <v>269</v>
      </c>
      <c r="AE139" s="1698"/>
      <c r="AF139" s="1690"/>
      <c r="AG139" s="1690" t="s">
        <v>269</v>
      </c>
      <c r="AH139" s="1690" t="s">
        <v>269</v>
      </c>
      <c r="AI139" s="1699" t="s">
        <v>269</v>
      </c>
      <c r="AJ139" s="1699" t="s">
        <v>1732</v>
      </c>
      <c r="AK139" s="1699" t="s">
        <v>1732</v>
      </c>
      <c r="AL139" s="1699" t="s">
        <v>1732</v>
      </c>
      <c r="AM139" s="1699" t="s">
        <v>1732</v>
      </c>
      <c r="AN139" s="1699" t="s">
        <v>1732</v>
      </c>
      <c r="AO139" s="1699" t="s">
        <v>1732</v>
      </c>
      <c r="AP139" s="1699" t="s">
        <v>1732</v>
      </c>
      <c r="AQ139" s="1699" t="s">
        <v>1732</v>
      </c>
      <c r="AR139" s="1700" t="s">
        <v>1733</v>
      </c>
    </row>
    <row r="140" spans="1:44" s="1589" customFormat="1" ht="10.5" customHeight="1">
      <c r="A140" s="1588"/>
      <c r="B140" s="2007"/>
      <c r="C140" s="1996"/>
      <c r="D140" s="2010"/>
      <c r="E140" s="1695" t="s">
        <v>611</v>
      </c>
      <c r="R140" s="1590"/>
      <c r="S140" s="1590"/>
      <c r="T140" s="1590"/>
      <c r="U140" s="1590"/>
      <c r="V140" s="1598"/>
      <c r="W140" s="1696">
        <v>138200</v>
      </c>
      <c r="X140" s="1697">
        <v>159400</v>
      </c>
      <c r="Y140" s="1701">
        <v>170600</v>
      </c>
      <c r="Z140" s="1697">
        <v>353300</v>
      </c>
      <c r="AA140" s="1698">
        <v>388000</v>
      </c>
      <c r="AB140" s="1697">
        <v>411300</v>
      </c>
      <c r="AC140" s="1701">
        <v>431800</v>
      </c>
      <c r="AD140" s="1697">
        <v>756700</v>
      </c>
      <c r="AE140" s="1698">
        <v>832700</v>
      </c>
      <c r="AF140" s="1702">
        <v>840000</v>
      </c>
      <c r="AG140" s="1702">
        <v>383000</v>
      </c>
      <c r="AH140" s="1702">
        <v>343800</v>
      </c>
      <c r="AI140" s="1703">
        <v>298900</v>
      </c>
      <c r="AJ140" s="1703">
        <v>328400</v>
      </c>
      <c r="AK140" s="1703">
        <v>349700</v>
      </c>
      <c r="AL140" s="1703">
        <v>386900</v>
      </c>
      <c r="AM140" s="1703">
        <v>403500</v>
      </c>
      <c r="AN140" s="1703">
        <v>418500</v>
      </c>
      <c r="AO140" s="1703">
        <v>457300</v>
      </c>
      <c r="AP140" s="1703">
        <v>492800</v>
      </c>
      <c r="AQ140" s="1703">
        <v>512900</v>
      </c>
      <c r="AR140" s="1700"/>
    </row>
    <row r="141" spans="1:44" s="1589" customFormat="1" ht="10.5" customHeight="1">
      <c r="A141" s="1588"/>
      <c r="B141" s="2007"/>
      <c r="C141" s="1996"/>
      <c r="D141" s="2011"/>
      <c r="E141" s="1704" t="s">
        <v>1734</v>
      </c>
      <c r="R141" s="1590"/>
      <c r="S141" s="1590"/>
      <c r="T141" s="1590"/>
      <c r="U141" s="1590"/>
      <c r="V141" s="1598"/>
      <c r="W141" s="1696"/>
      <c r="X141" s="1697"/>
      <c r="Y141" s="1701"/>
      <c r="Z141" s="1697"/>
      <c r="AA141" s="1698"/>
      <c r="AB141" s="1697"/>
      <c r="AC141" s="1701"/>
      <c r="AD141" s="1697"/>
      <c r="AE141" s="1698"/>
      <c r="AF141" s="1702"/>
      <c r="AG141" s="1702"/>
      <c r="AH141" s="1702"/>
      <c r="AI141" s="1703"/>
      <c r="AJ141" s="1703"/>
      <c r="AK141" s="1703"/>
      <c r="AL141" s="1703"/>
      <c r="AM141" s="1703">
        <v>106500</v>
      </c>
      <c r="AN141" s="1703">
        <v>95900</v>
      </c>
      <c r="AO141" s="1703">
        <v>185700</v>
      </c>
      <c r="AP141" s="1703">
        <v>233800</v>
      </c>
      <c r="AQ141" s="1703">
        <v>287800</v>
      </c>
      <c r="AR141" s="1700" t="s">
        <v>1735</v>
      </c>
    </row>
    <row r="142" spans="1:44" s="1589" customFormat="1" ht="10.5" customHeight="1">
      <c r="A142" s="1588"/>
      <c r="B142" s="2007"/>
      <c r="C142" s="1996"/>
      <c r="D142" s="1694" t="s">
        <v>1736</v>
      </c>
      <c r="E142" s="1705" t="s">
        <v>1737</v>
      </c>
      <c r="R142" s="1590"/>
      <c r="S142" s="1590"/>
      <c r="T142" s="1590"/>
      <c r="U142" s="1590"/>
      <c r="V142" s="1598"/>
      <c r="W142" s="1696"/>
      <c r="X142" s="1697"/>
      <c r="Y142" s="1701"/>
      <c r="Z142" s="1697"/>
      <c r="AA142" s="1698"/>
      <c r="AB142" s="1697"/>
      <c r="AC142" s="1701"/>
      <c r="AD142" s="1697"/>
      <c r="AE142" s="1698"/>
      <c r="AF142" s="1702"/>
      <c r="AG142" s="1702"/>
      <c r="AH142" s="1702"/>
      <c r="AI142" s="1703"/>
      <c r="AJ142" s="1703"/>
      <c r="AK142" s="1703"/>
      <c r="AL142" s="1703"/>
      <c r="AM142" s="1703">
        <v>2924113</v>
      </c>
      <c r="AN142" s="1703">
        <v>2988702</v>
      </c>
      <c r="AO142" s="1703">
        <v>3989254.2988550002</v>
      </c>
      <c r="AP142" s="1703">
        <v>4320402.7246349994</v>
      </c>
      <c r="AQ142" s="1703">
        <v>4659428.941571</v>
      </c>
      <c r="AR142" s="1700" t="s">
        <v>1735</v>
      </c>
    </row>
    <row r="143" spans="1:44" s="1589" customFormat="1" ht="10.5" customHeight="1">
      <c r="A143" s="1588"/>
      <c r="B143" s="2008"/>
      <c r="C143" s="2012" t="s">
        <v>612</v>
      </c>
      <c r="D143" s="2013"/>
      <c r="E143" s="2014"/>
      <c r="R143" s="1590"/>
      <c r="S143" s="1590"/>
      <c r="T143" s="1590"/>
      <c r="U143" s="1590"/>
      <c r="V143" s="1598"/>
      <c r="W143" s="1706">
        <f t="shared" ref="W143:AL143" si="12">W140</f>
        <v>138200</v>
      </c>
      <c r="X143" s="1706">
        <f t="shared" si="12"/>
        <v>159400</v>
      </c>
      <c r="Y143" s="1706">
        <f t="shared" si="12"/>
        <v>170600</v>
      </c>
      <c r="Z143" s="1706">
        <f t="shared" si="12"/>
        <v>353300</v>
      </c>
      <c r="AA143" s="1706">
        <f t="shared" si="12"/>
        <v>388000</v>
      </c>
      <c r="AB143" s="1706">
        <f t="shared" si="12"/>
        <v>411300</v>
      </c>
      <c r="AC143" s="1706">
        <f t="shared" si="12"/>
        <v>431800</v>
      </c>
      <c r="AD143" s="1706">
        <f t="shared" si="12"/>
        <v>756700</v>
      </c>
      <c r="AE143" s="1706">
        <f t="shared" si="12"/>
        <v>832700</v>
      </c>
      <c r="AF143" s="1706">
        <f t="shared" si="12"/>
        <v>840000</v>
      </c>
      <c r="AG143" s="1706">
        <f t="shared" si="12"/>
        <v>383000</v>
      </c>
      <c r="AH143" s="1706">
        <f t="shared" si="12"/>
        <v>343800</v>
      </c>
      <c r="AI143" s="1706">
        <f t="shared" si="12"/>
        <v>298900</v>
      </c>
      <c r="AJ143" s="1706">
        <f t="shared" si="12"/>
        <v>328400</v>
      </c>
      <c r="AK143" s="1706">
        <f t="shared" si="12"/>
        <v>349700</v>
      </c>
      <c r="AL143" s="1706">
        <f t="shared" si="12"/>
        <v>386900</v>
      </c>
      <c r="AM143" s="1706">
        <f>SUM(AM137:AM142)</f>
        <v>3434113</v>
      </c>
      <c r="AN143" s="1706">
        <f>SUM(AN137:AN142)</f>
        <v>3503102</v>
      </c>
      <c r="AO143" s="1706">
        <f>SUM(AO137:AO142)</f>
        <v>4632254.2988550002</v>
      </c>
      <c r="AP143" s="1706">
        <f>SUM(AP137:AP142)</f>
        <v>5047002.7246349994</v>
      </c>
      <c r="AQ143" s="1706">
        <f>SUM(AQ137:AQ142)</f>
        <v>5460128.941571</v>
      </c>
      <c r="AR143" s="1707"/>
    </row>
    <row r="144" spans="1:44" s="1589" customFormat="1" ht="10.5" customHeight="1">
      <c r="A144" s="1588"/>
      <c r="B144" s="2005" t="s">
        <v>613</v>
      </c>
      <c r="C144" s="1708" t="s">
        <v>1918</v>
      </c>
      <c r="D144" s="1708"/>
      <c r="E144" s="1708"/>
      <c r="R144" s="1590"/>
      <c r="S144" s="1590"/>
      <c r="T144" s="1590"/>
      <c r="U144" s="1590"/>
      <c r="V144" s="1598"/>
      <c r="W144" s="1696"/>
      <c r="X144" s="1697"/>
      <c r="Y144" s="1697"/>
      <c r="Z144" s="1697"/>
      <c r="AA144" s="1697"/>
      <c r="AB144" s="1697"/>
      <c r="AC144" s="1697"/>
      <c r="AD144" s="1697"/>
      <c r="AE144" s="1698"/>
      <c r="AF144" s="1702"/>
      <c r="AG144" s="1702"/>
      <c r="AH144" s="1702"/>
      <c r="AI144" s="1703"/>
      <c r="AJ144" s="1703"/>
      <c r="AK144" s="1703"/>
      <c r="AL144" s="1703"/>
      <c r="AM144" s="1703"/>
      <c r="AN144" s="1703"/>
      <c r="AO144" s="1703"/>
      <c r="AP144" s="1703"/>
      <c r="AQ144" s="1703"/>
      <c r="AR144" s="1700"/>
    </row>
    <row r="145" spans="1:44" s="1589" customFormat="1" ht="10.5" customHeight="1">
      <c r="A145" s="1588"/>
      <c r="B145" s="2006"/>
      <c r="C145" s="1708" t="s">
        <v>607</v>
      </c>
      <c r="D145" s="1708"/>
      <c r="E145" s="1708"/>
      <c r="R145" s="1590"/>
      <c r="S145" s="1590"/>
      <c r="T145" s="1590"/>
      <c r="U145" s="1590"/>
      <c r="V145" s="1598"/>
      <c r="W145" s="1696"/>
      <c r="X145" s="1697"/>
      <c r="Y145" s="1697"/>
      <c r="Z145" s="1697"/>
      <c r="AA145" s="1697"/>
      <c r="AB145" s="1697"/>
      <c r="AC145" s="1697"/>
      <c r="AD145" s="1697"/>
      <c r="AE145" s="1698"/>
      <c r="AF145" s="1702"/>
      <c r="AG145" s="1702"/>
      <c r="AH145" s="1702"/>
      <c r="AI145" s="1703"/>
      <c r="AJ145" s="1703"/>
      <c r="AK145" s="1703"/>
      <c r="AL145" s="1703"/>
      <c r="AM145" s="1703"/>
      <c r="AN145" s="1703"/>
      <c r="AO145" s="1703"/>
      <c r="AP145" s="1703"/>
      <c r="AQ145" s="1703"/>
      <c r="AR145" s="1700"/>
    </row>
    <row r="146" spans="1:44" s="1589" customFormat="1" ht="10.5" customHeight="1">
      <c r="A146" s="1588"/>
      <c r="B146" s="2008"/>
      <c r="C146" s="1993" t="s">
        <v>612</v>
      </c>
      <c r="D146" s="2015"/>
      <c r="E146" s="2016"/>
      <c r="R146" s="1590"/>
      <c r="S146" s="1590"/>
      <c r="T146" s="1590"/>
      <c r="U146" s="1590"/>
      <c r="V146" s="1598"/>
      <c r="W146" s="1709"/>
      <c r="X146" s="1709"/>
      <c r="Y146" s="1709"/>
      <c r="Z146" s="1709"/>
      <c r="AA146" s="1709"/>
      <c r="AB146" s="1709"/>
      <c r="AC146" s="1709"/>
      <c r="AD146" s="1709"/>
      <c r="AE146" s="1709"/>
      <c r="AF146" s="1709"/>
      <c r="AG146" s="1709"/>
      <c r="AH146" s="1709"/>
      <c r="AI146" s="1709"/>
      <c r="AJ146" s="1709"/>
      <c r="AK146" s="1709"/>
      <c r="AL146" s="1709"/>
      <c r="AM146" s="1709"/>
      <c r="AN146" s="1709"/>
      <c r="AO146" s="1709"/>
      <c r="AP146" s="1709"/>
      <c r="AQ146" s="1709"/>
      <c r="AR146" s="1707"/>
    </row>
    <row r="147" spans="1:44" s="1589" customFormat="1" ht="10.5" customHeight="1">
      <c r="A147" s="1588"/>
      <c r="B147" s="2005" t="s">
        <v>614</v>
      </c>
      <c r="C147" s="1708" t="s">
        <v>615</v>
      </c>
      <c r="D147" s="1708" t="s">
        <v>616</v>
      </c>
      <c r="E147" s="1710" t="s">
        <v>617</v>
      </c>
      <c r="R147" s="1590"/>
      <c r="S147" s="1590"/>
      <c r="T147" s="1590"/>
      <c r="U147" s="1590"/>
      <c r="V147" s="1598"/>
      <c r="W147" s="1696">
        <v>0</v>
      </c>
      <c r="X147" s="1697">
        <v>0</v>
      </c>
      <c r="Y147" s="1701">
        <v>0</v>
      </c>
      <c r="Z147" s="1697">
        <v>0</v>
      </c>
      <c r="AA147" s="1698">
        <v>0</v>
      </c>
      <c r="AB147" s="1697">
        <v>0</v>
      </c>
      <c r="AC147" s="1701">
        <v>0</v>
      </c>
      <c r="AD147" s="1697">
        <v>0</v>
      </c>
      <c r="AE147" s="1698">
        <v>0</v>
      </c>
      <c r="AF147" s="1702">
        <v>3600</v>
      </c>
      <c r="AG147" s="1702">
        <v>9400</v>
      </c>
      <c r="AH147" s="1702">
        <v>4700</v>
      </c>
      <c r="AI147" s="1703">
        <v>4602</v>
      </c>
      <c r="AJ147" s="1703">
        <v>14900</v>
      </c>
      <c r="AK147" s="1703">
        <v>10400</v>
      </c>
      <c r="AL147" s="1703">
        <v>11600</v>
      </c>
      <c r="AM147" s="1703">
        <v>17427</v>
      </c>
      <c r="AN147" s="1703">
        <v>13900</v>
      </c>
      <c r="AO147" s="1703">
        <v>28100</v>
      </c>
      <c r="AP147" s="1703">
        <v>21540</v>
      </c>
      <c r="AQ147" s="1703" t="s">
        <v>269</v>
      </c>
      <c r="AR147" s="1700"/>
    </row>
    <row r="148" spans="1:44" s="1589" customFormat="1" ht="10.5" customHeight="1">
      <c r="A148" s="1588"/>
      <c r="B148" s="2006"/>
      <c r="C148" s="2002" t="s">
        <v>1738</v>
      </c>
      <c r="D148" s="1708" t="s">
        <v>618</v>
      </c>
      <c r="E148" s="1710" t="s">
        <v>619</v>
      </c>
      <c r="R148" s="1590"/>
      <c r="S148" s="1590"/>
      <c r="T148" s="1590"/>
      <c r="U148" s="1590"/>
      <c r="V148" s="1598"/>
      <c r="W148" s="1696">
        <v>3010</v>
      </c>
      <c r="X148" s="1697">
        <v>7170</v>
      </c>
      <c r="Y148" s="1701">
        <v>3750</v>
      </c>
      <c r="Z148" s="1697">
        <v>18600</v>
      </c>
      <c r="AA148" s="1698">
        <v>21700</v>
      </c>
      <c r="AB148" s="1697">
        <v>12800</v>
      </c>
      <c r="AC148" s="1701">
        <v>15000</v>
      </c>
      <c r="AD148" s="1697">
        <v>33500</v>
      </c>
      <c r="AE148" s="1698">
        <v>62700</v>
      </c>
      <c r="AF148" s="1702">
        <v>47200</v>
      </c>
      <c r="AG148" s="1702">
        <v>30800</v>
      </c>
      <c r="AH148" s="1702">
        <v>31100</v>
      </c>
      <c r="AI148" s="1703">
        <v>40700</v>
      </c>
      <c r="AJ148" s="1703">
        <v>45500</v>
      </c>
      <c r="AK148" s="1703">
        <v>70200</v>
      </c>
      <c r="AL148" s="1703">
        <v>81100</v>
      </c>
      <c r="AM148" s="1703">
        <v>93200</v>
      </c>
      <c r="AN148" s="1703">
        <v>101700</v>
      </c>
      <c r="AO148" s="1703">
        <v>106400</v>
      </c>
      <c r="AP148" s="1703">
        <v>121200</v>
      </c>
      <c r="AQ148" s="1703">
        <v>136100</v>
      </c>
      <c r="AR148" s="1700"/>
    </row>
    <row r="149" spans="1:44" s="1589" customFormat="1" ht="10.5" customHeight="1">
      <c r="A149" s="1588"/>
      <c r="B149" s="2006"/>
      <c r="C149" s="2003"/>
      <c r="D149" s="1708" t="s">
        <v>620</v>
      </c>
      <c r="E149" s="1710" t="s">
        <v>621</v>
      </c>
      <c r="R149" s="1590"/>
      <c r="S149" s="1590"/>
      <c r="T149" s="1590"/>
      <c r="U149" s="1590"/>
      <c r="V149" s="1598"/>
      <c r="W149" s="1696">
        <v>15200</v>
      </c>
      <c r="X149" s="1697">
        <v>20250</v>
      </c>
      <c r="Y149" s="1701">
        <v>34300</v>
      </c>
      <c r="Z149" s="1697">
        <v>58700</v>
      </c>
      <c r="AA149" s="1698">
        <v>71700</v>
      </c>
      <c r="AB149" s="1697">
        <v>66500</v>
      </c>
      <c r="AC149" s="1701">
        <v>156300</v>
      </c>
      <c r="AD149" s="1697">
        <v>267800</v>
      </c>
      <c r="AE149" s="1698">
        <v>319600</v>
      </c>
      <c r="AF149" s="1702">
        <v>341200</v>
      </c>
      <c r="AG149" s="1702">
        <v>332700</v>
      </c>
      <c r="AH149" s="1702">
        <v>281400</v>
      </c>
      <c r="AI149" s="1703">
        <v>239000</v>
      </c>
      <c r="AJ149" s="1703">
        <v>246100</v>
      </c>
      <c r="AK149" s="1703">
        <v>255700</v>
      </c>
      <c r="AL149" s="1703">
        <v>269900</v>
      </c>
      <c r="AM149" s="1703">
        <v>284200</v>
      </c>
      <c r="AN149" s="1703">
        <v>294800</v>
      </c>
      <c r="AO149" s="1703">
        <v>314100</v>
      </c>
      <c r="AP149" s="1703">
        <v>336500</v>
      </c>
      <c r="AQ149" s="1703">
        <v>347600</v>
      </c>
      <c r="AR149" s="1700"/>
    </row>
    <row r="150" spans="1:44" s="1589" customFormat="1" ht="10.5" customHeight="1">
      <c r="A150" s="1588"/>
      <c r="B150" s="2006"/>
      <c r="C150" s="2004"/>
      <c r="D150" s="1708" t="s">
        <v>622</v>
      </c>
      <c r="E150" s="1710" t="s">
        <v>623</v>
      </c>
      <c r="R150" s="1590"/>
      <c r="S150" s="1590"/>
      <c r="T150" s="1590"/>
      <c r="U150" s="1590"/>
      <c r="V150" s="1598"/>
      <c r="W150" s="1696">
        <v>0</v>
      </c>
      <c r="X150" s="1697">
        <v>0</v>
      </c>
      <c r="Y150" s="1701">
        <v>0</v>
      </c>
      <c r="Z150" s="1697">
        <v>0</v>
      </c>
      <c r="AA150" s="1698">
        <v>0</v>
      </c>
      <c r="AB150" s="1697">
        <v>0</v>
      </c>
      <c r="AC150" s="1701">
        <v>0</v>
      </c>
      <c r="AD150" s="1697">
        <v>0</v>
      </c>
      <c r="AE150" s="1698">
        <v>0</v>
      </c>
      <c r="AF150" s="1702" t="s">
        <v>269</v>
      </c>
      <c r="AG150" s="1702" t="s">
        <v>269</v>
      </c>
      <c r="AH150" s="1702" t="s">
        <v>269</v>
      </c>
      <c r="AI150" s="1703">
        <v>300</v>
      </c>
      <c r="AJ150" s="1703">
        <v>300</v>
      </c>
      <c r="AK150" s="1703">
        <v>18</v>
      </c>
      <c r="AL150" s="1703" t="s">
        <v>269</v>
      </c>
      <c r="AM150" s="1703">
        <v>0</v>
      </c>
      <c r="AN150" s="1703">
        <v>0</v>
      </c>
      <c r="AO150" s="1703">
        <v>0</v>
      </c>
      <c r="AP150" s="1703">
        <v>0</v>
      </c>
      <c r="AQ150" s="1703">
        <v>0</v>
      </c>
      <c r="AR150" s="1700" t="s">
        <v>1739</v>
      </c>
    </row>
    <row r="151" spans="1:44" s="1589" customFormat="1" ht="10.5" customHeight="1">
      <c r="A151" s="1588"/>
      <c r="B151" s="2008"/>
      <c r="C151" s="1993" t="s">
        <v>612</v>
      </c>
      <c r="D151" s="2015"/>
      <c r="E151" s="2016"/>
      <c r="R151" s="1590"/>
      <c r="S151" s="1590"/>
      <c r="T151" s="1590"/>
      <c r="U151" s="1590"/>
      <c r="V151" s="1598"/>
      <c r="W151" s="1711">
        <f>SUM(W147:W150)</f>
        <v>18210</v>
      </c>
      <c r="X151" s="1711">
        <f>SUM(X147:X150)</f>
        <v>27420</v>
      </c>
      <c r="Y151" s="1711">
        <f t="shared" ref="Y151:AQ151" si="13">SUM(Y147:Y150)</f>
        <v>38050</v>
      </c>
      <c r="Z151" s="1711">
        <f t="shared" si="13"/>
        <v>77300</v>
      </c>
      <c r="AA151" s="1711">
        <f t="shared" si="13"/>
        <v>93400</v>
      </c>
      <c r="AB151" s="1711">
        <f t="shared" si="13"/>
        <v>79300</v>
      </c>
      <c r="AC151" s="1711">
        <f t="shared" si="13"/>
        <v>171300</v>
      </c>
      <c r="AD151" s="1711">
        <f t="shared" si="13"/>
        <v>301300</v>
      </c>
      <c r="AE151" s="1711">
        <f t="shared" si="13"/>
        <v>382300</v>
      </c>
      <c r="AF151" s="1711">
        <f t="shared" si="13"/>
        <v>392000</v>
      </c>
      <c r="AG151" s="1711">
        <f t="shared" si="13"/>
        <v>372900</v>
      </c>
      <c r="AH151" s="1711">
        <f t="shared" si="13"/>
        <v>317200</v>
      </c>
      <c r="AI151" s="1711">
        <f t="shared" si="13"/>
        <v>284602</v>
      </c>
      <c r="AJ151" s="1711">
        <f t="shared" si="13"/>
        <v>306800</v>
      </c>
      <c r="AK151" s="1711">
        <f t="shared" si="13"/>
        <v>336318</v>
      </c>
      <c r="AL151" s="1711">
        <f t="shared" si="13"/>
        <v>362600</v>
      </c>
      <c r="AM151" s="1711">
        <f t="shared" si="13"/>
        <v>394827</v>
      </c>
      <c r="AN151" s="1711">
        <f t="shared" si="13"/>
        <v>410400</v>
      </c>
      <c r="AO151" s="1711">
        <f t="shared" si="13"/>
        <v>448600</v>
      </c>
      <c r="AP151" s="1711">
        <f t="shared" si="13"/>
        <v>479240</v>
      </c>
      <c r="AQ151" s="1711">
        <f t="shared" si="13"/>
        <v>483700</v>
      </c>
      <c r="AR151" s="1700"/>
    </row>
    <row r="152" spans="1:44" s="1589" customFormat="1" ht="10.5" customHeight="1">
      <c r="A152" s="1588"/>
      <c r="B152" s="2005" t="s">
        <v>624</v>
      </c>
      <c r="W152" s="1712"/>
      <c r="X152" s="1713"/>
      <c r="Y152" s="1713"/>
      <c r="Z152" s="1713"/>
      <c r="AA152" s="1713"/>
      <c r="AB152" s="1713"/>
      <c r="AC152" s="1713"/>
      <c r="AD152" s="1713"/>
      <c r="AE152" s="1713"/>
      <c r="AF152" s="1591"/>
      <c r="AG152" s="1591"/>
      <c r="AH152" s="1591"/>
    </row>
    <row r="153" spans="1:44" s="1589" customFormat="1" ht="10.5" customHeight="1">
      <c r="A153" s="1588"/>
      <c r="B153" s="2006"/>
      <c r="W153" s="1712"/>
      <c r="X153" s="1713"/>
      <c r="Y153" s="1713"/>
      <c r="Z153" s="1713"/>
      <c r="AA153" s="1713"/>
      <c r="AB153" s="1713"/>
      <c r="AC153" s="1713"/>
      <c r="AD153" s="1713"/>
      <c r="AE153" s="1713"/>
      <c r="AF153" s="1591"/>
      <c r="AG153" s="1591"/>
      <c r="AH153" s="1591"/>
    </row>
    <row r="154" spans="1:44" s="1589" customFormat="1" ht="10.5" customHeight="1">
      <c r="A154" s="1588"/>
      <c r="B154" s="2007"/>
      <c r="C154" s="1694" t="s">
        <v>1919</v>
      </c>
      <c r="D154" s="1694"/>
      <c r="E154" s="1695"/>
      <c r="R154" s="1590"/>
      <c r="S154" s="1590"/>
      <c r="T154" s="1590"/>
      <c r="U154" s="1590"/>
      <c r="V154" s="1598"/>
      <c r="W154" s="1696"/>
      <c r="X154" s="1697"/>
      <c r="Y154" s="1701"/>
      <c r="Z154" s="1697"/>
      <c r="AA154" s="1697"/>
      <c r="AB154" s="1697"/>
      <c r="AC154" s="1697"/>
      <c r="AD154" s="1697"/>
      <c r="AE154" s="1698"/>
      <c r="AF154" s="1702"/>
      <c r="AG154" s="1702"/>
      <c r="AH154" s="1702"/>
      <c r="AI154" s="1703"/>
      <c r="AJ154" s="1703"/>
      <c r="AK154" s="1703"/>
      <c r="AL154" s="1703"/>
      <c r="AM154" s="1703"/>
      <c r="AN154" s="1703"/>
      <c r="AO154" s="1703"/>
      <c r="AP154" s="1703"/>
      <c r="AQ154" s="1703"/>
      <c r="AR154" s="1700"/>
    </row>
    <row r="155" spans="1:44" s="1589" customFormat="1" ht="11.25" customHeight="1">
      <c r="A155" s="1588"/>
      <c r="B155" s="2007"/>
      <c r="C155" s="2009" t="s">
        <v>476</v>
      </c>
      <c r="D155" s="1996" t="s">
        <v>625</v>
      </c>
      <c r="E155" s="1695" t="s">
        <v>626</v>
      </c>
      <c r="R155" s="1590"/>
      <c r="S155" s="1590"/>
      <c r="T155" s="1590"/>
      <c r="U155" s="1590"/>
      <c r="V155" s="1598"/>
      <c r="W155" s="1696"/>
      <c r="X155" s="1697"/>
      <c r="Y155" s="1701"/>
      <c r="Z155" s="1697"/>
      <c r="AA155" s="1698"/>
      <c r="AB155" s="1697"/>
      <c r="AC155" s="1701"/>
      <c r="AD155" s="1697"/>
      <c r="AE155" s="1698"/>
      <c r="AF155" s="1702">
        <v>11000</v>
      </c>
      <c r="AG155" s="1702">
        <v>62800</v>
      </c>
      <c r="AH155" s="1702">
        <v>51900</v>
      </c>
      <c r="AI155" s="1703">
        <v>61900</v>
      </c>
      <c r="AJ155" s="1703">
        <v>52100</v>
      </c>
      <c r="AK155" s="1703">
        <v>59500</v>
      </c>
      <c r="AL155" s="1703">
        <v>53400</v>
      </c>
      <c r="AM155" s="1703">
        <v>49100</v>
      </c>
      <c r="AN155" s="1703">
        <v>76900</v>
      </c>
      <c r="AO155" s="1703">
        <v>78500</v>
      </c>
      <c r="AP155" s="1703">
        <v>65400</v>
      </c>
      <c r="AQ155" s="1703">
        <v>82000</v>
      </c>
      <c r="AR155" s="1700"/>
    </row>
    <row r="156" spans="1:44" s="1589" customFormat="1" ht="11.25" customHeight="1">
      <c r="A156" s="1588"/>
      <c r="B156" s="2007"/>
      <c r="C156" s="2010"/>
      <c r="D156" s="1996"/>
      <c r="E156" s="1695" t="s">
        <v>627</v>
      </c>
      <c r="R156" s="1590"/>
      <c r="S156" s="1590"/>
      <c r="T156" s="1590"/>
      <c r="U156" s="1590"/>
      <c r="V156" s="1598"/>
      <c r="W156" s="1696">
        <v>7000</v>
      </c>
      <c r="X156" s="1697">
        <v>6900</v>
      </c>
      <c r="Y156" s="1701">
        <v>5300</v>
      </c>
      <c r="Z156" s="1697">
        <v>3400</v>
      </c>
      <c r="AA156" s="1698">
        <v>3500</v>
      </c>
      <c r="AB156" s="1697">
        <v>3500</v>
      </c>
      <c r="AC156" s="1701">
        <v>2300</v>
      </c>
      <c r="AD156" s="1697">
        <v>2200</v>
      </c>
      <c r="AE156" s="1698">
        <v>1900</v>
      </c>
      <c r="AF156" s="1702">
        <v>1600</v>
      </c>
      <c r="AG156" s="1702">
        <v>1300</v>
      </c>
      <c r="AH156" s="1702">
        <v>1300</v>
      </c>
      <c r="AI156" s="1703">
        <v>800</v>
      </c>
      <c r="AJ156" s="1703">
        <v>700</v>
      </c>
      <c r="AK156" s="1703">
        <v>700</v>
      </c>
      <c r="AL156" s="1703">
        <v>1000</v>
      </c>
      <c r="AM156" s="1703">
        <v>1900</v>
      </c>
      <c r="AN156" s="1703">
        <v>1000</v>
      </c>
      <c r="AO156" s="1703">
        <v>600</v>
      </c>
      <c r="AP156" s="1703">
        <v>500</v>
      </c>
      <c r="AQ156" s="1703">
        <v>0</v>
      </c>
      <c r="AR156" s="1700" t="s">
        <v>1740</v>
      </c>
    </row>
    <row r="157" spans="1:44" s="1589" customFormat="1" ht="11.25" customHeight="1">
      <c r="A157" s="1588"/>
      <c r="B157" s="2007"/>
      <c r="C157" s="2010"/>
      <c r="D157" s="1694" t="s">
        <v>628</v>
      </c>
      <c r="E157" s="1695" t="s">
        <v>629</v>
      </c>
      <c r="R157" s="1590"/>
      <c r="S157" s="1590"/>
      <c r="T157" s="1590"/>
      <c r="U157" s="1590"/>
      <c r="V157" s="1598"/>
      <c r="W157" s="1696">
        <v>0</v>
      </c>
      <c r="X157" s="1697">
        <v>0</v>
      </c>
      <c r="Y157" s="1701">
        <v>0</v>
      </c>
      <c r="Z157" s="1697">
        <v>0</v>
      </c>
      <c r="AA157" s="1698">
        <v>0</v>
      </c>
      <c r="AB157" s="1697">
        <v>0</v>
      </c>
      <c r="AC157" s="1701">
        <v>0</v>
      </c>
      <c r="AD157" s="1697">
        <v>0</v>
      </c>
      <c r="AE157" s="1698">
        <v>0</v>
      </c>
      <c r="AF157" s="1702" t="s">
        <v>269</v>
      </c>
      <c r="AG157" s="1702" t="s">
        <v>269</v>
      </c>
      <c r="AH157" s="1702" t="s">
        <v>269</v>
      </c>
      <c r="AI157" s="1703" t="s">
        <v>1732</v>
      </c>
      <c r="AJ157" s="1703">
        <v>25</v>
      </c>
      <c r="AK157" s="1703">
        <v>15</v>
      </c>
      <c r="AL157" s="1703">
        <v>281</v>
      </c>
      <c r="AM157" s="1703">
        <v>200</v>
      </c>
      <c r="AN157" s="1703">
        <v>600</v>
      </c>
      <c r="AO157" s="1703">
        <v>400</v>
      </c>
      <c r="AP157" s="1703">
        <v>400</v>
      </c>
      <c r="AQ157" s="1703">
        <v>600</v>
      </c>
      <c r="AR157" s="1700" t="s">
        <v>1739</v>
      </c>
    </row>
    <row r="158" spans="1:44" s="1589" customFormat="1" ht="11.25" customHeight="1">
      <c r="A158" s="1588"/>
      <c r="B158" s="2007"/>
      <c r="C158" s="2010"/>
      <c r="D158" s="1694" t="s">
        <v>630</v>
      </c>
      <c r="E158" s="1695" t="s">
        <v>631</v>
      </c>
      <c r="R158" s="1590"/>
      <c r="S158" s="1590"/>
      <c r="T158" s="1590"/>
      <c r="U158" s="1590"/>
      <c r="V158" s="1598"/>
      <c r="W158" s="1696">
        <v>0</v>
      </c>
      <c r="X158" s="1697">
        <v>0</v>
      </c>
      <c r="Y158" s="1701">
        <v>0</v>
      </c>
      <c r="Z158" s="1697">
        <v>0</v>
      </c>
      <c r="AA158" s="1698">
        <v>0</v>
      </c>
      <c r="AB158" s="1697">
        <v>0</v>
      </c>
      <c r="AC158" s="1701">
        <v>0</v>
      </c>
      <c r="AD158" s="1697">
        <v>0</v>
      </c>
      <c r="AE158" s="1698">
        <v>0</v>
      </c>
      <c r="AF158" s="1702" t="s">
        <v>269</v>
      </c>
      <c r="AG158" s="1702" t="s">
        <v>269</v>
      </c>
      <c r="AH158" s="1702" t="s">
        <v>269</v>
      </c>
      <c r="AI158" s="1703" t="s">
        <v>269</v>
      </c>
      <c r="AJ158" s="1703" t="s">
        <v>1732</v>
      </c>
      <c r="AK158" s="1703" t="s">
        <v>269</v>
      </c>
      <c r="AL158" s="1703" t="s">
        <v>269</v>
      </c>
      <c r="AM158" s="1703" t="s">
        <v>269</v>
      </c>
      <c r="AN158" s="1703" t="s">
        <v>269</v>
      </c>
      <c r="AO158" s="1703" t="s">
        <v>269</v>
      </c>
      <c r="AP158" s="1703" t="s">
        <v>269</v>
      </c>
      <c r="AQ158" s="1703" t="s">
        <v>269</v>
      </c>
      <c r="AR158" s="1700" t="s">
        <v>1741</v>
      </c>
    </row>
    <row r="159" spans="1:44" s="1589" customFormat="1" ht="11.25" customHeight="1">
      <c r="A159" s="1588"/>
      <c r="B159" s="2007"/>
      <c r="C159" s="2011"/>
      <c r="D159" s="1714" t="s">
        <v>1736</v>
      </c>
      <c r="E159" s="1695" t="s">
        <v>1920</v>
      </c>
      <c r="R159" s="1590"/>
      <c r="S159" s="1590"/>
      <c r="T159" s="1590"/>
      <c r="U159" s="1590"/>
      <c r="V159" s="1598"/>
      <c r="W159" s="1696">
        <v>170500</v>
      </c>
      <c r="X159" s="1697">
        <v>196700</v>
      </c>
      <c r="Y159" s="1701">
        <v>252400</v>
      </c>
      <c r="Z159" s="1697">
        <v>276800</v>
      </c>
      <c r="AA159" s="1698">
        <v>331500</v>
      </c>
      <c r="AB159" s="1697">
        <v>379900</v>
      </c>
      <c r="AC159" s="1701">
        <v>397400</v>
      </c>
      <c r="AD159" s="1697">
        <v>397200</v>
      </c>
      <c r="AE159" s="1698">
        <v>596600</v>
      </c>
      <c r="AF159" s="1702">
        <v>688100</v>
      </c>
      <c r="AG159" s="1702">
        <v>734000</v>
      </c>
      <c r="AH159" s="1702">
        <v>598900</v>
      </c>
      <c r="AI159" s="1703">
        <v>594500</v>
      </c>
      <c r="AJ159" s="1703">
        <v>656800</v>
      </c>
      <c r="AK159" s="1703">
        <v>711300</v>
      </c>
      <c r="AL159" s="1703">
        <v>885200</v>
      </c>
      <c r="AM159" s="1703">
        <v>941900</v>
      </c>
      <c r="AN159" s="1703">
        <v>1077500</v>
      </c>
      <c r="AO159" s="1703">
        <v>1175100</v>
      </c>
      <c r="AP159" s="1703">
        <v>1272700</v>
      </c>
      <c r="AQ159" s="1703">
        <v>1333200</v>
      </c>
      <c r="AR159" s="1700" t="s">
        <v>632</v>
      </c>
    </row>
    <row r="160" spans="1:44" s="1589" customFormat="1" ht="11.25" customHeight="1">
      <c r="A160" s="1588"/>
      <c r="B160" s="2008"/>
      <c r="C160" s="2012" t="s">
        <v>612</v>
      </c>
      <c r="D160" s="2013"/>
      <c r="E160" s="2014"/>
      <c r="R160" s="1590"/>
      <c r="S160" s="1590"/>
      <c r="T160" s="1590"/>
      <c r="U160" s="1590"/>
      <c r="V160" s="1598"/>
      <c r="W160" s="1711">
        <f t="shared" ref="W160:AQ160" si="14">SUM(W155:W159)</f>
        <v>177500</v>
      </c>
      <c r="X160" s="1711">
        <f t="shared" si="14"/>
        <v>203600</v>
      </c>
      <c r="Y160" s="1711">
        <f t="shared" si="14"/>
        <v>257700</v>
      </c>
      <c r="Z160" s="1711">
        <f t="shared" si="14"/>
        <v>280200</v>
      </c>
      <c r="AA160" s="1711">
        <f t="shared" si="14"/>
        <v>335000</v>
      </c>
      <c r="AB160" s="1711">
        <f t="shared" si="14"/>
        <v>383400</v>
      </c>
      <c r="AC160" s="1711">
        <f t="shared" si="14"/>
        <v>399700</v>
      </c>
      <c r="AD160" s="1711">
        <f t="shared" si="14"/>
        <v>399400</v>
      </c>
      <c r="AE160" s="1711">
        <f t="shared" si="14"/>
        <v>598500</v>
      </c>
      <c r="AF160" s="1711">
        <f t="shared" si="14"/>
        <v>700700</v>
      </c>
      <c r="AG160" s="1711">
        <f t="shared" si="14"/>
        <v>798100</v>
      </c>
      <c r="AH160" s="1711">
        <f t="shared" si="14"/>
        <v>652100</v>
      </c>
      <c r="AI160" s="1711">
        <f t="shared" si="14"/>
        <v>657200</v>
      </c>
      <c r="AJ160" s="1711">
        <f t="shared" si="14"/>
        <v>709625</v>
      </c>
      <c r="AK160" s="1711">
        <f t="shared" si="14"/>
        <v>771515</v>
      </c>
      <c r="AL160" s="1711">
        <f t="shared" si="14"/>
        <v>939881</v>
      </c>
      <c r="AM160" s="1711">
        <f t="shared" si="14"/>
        <v>993100</v>
      </c>
      <c r="AN160" s="1711">
        <f t="shared" si="14"/>
        <v>1156000</v>
      </c>
      <c r="AO160" s="1711">
        <f t="shared" si="14"/>
        <v>1254600</v>
      </c>
      <c r="AP160" s="1711">
        <f t="shared" si="14"/>
        <v>1339000</v>
      </c>
      <c r="AQ160" s="1711">
        <f t="shared" si="14"/>
        <v>1415800</v>
      </c>
      <c r="AR160" s="1700"/>
    </row>
    <row r="161" spans="1:44" s="1589" customFormat="1" ht="11.25" customHeight="1">
      <c r="A161" s="1588"/>
      <c r="B161" s="2005" t="s">
        <v>633</v>
      </c>
      <c r="C161" s="2002" t="s">
        <v>634</v>
      </c>
      <c r="D161" s="1708" t="s">
        <v>635</v>
      </c>
      <c r="E161" s="1710" t="s">
        <v>636</v>
      </c>
      <c r="R161" s="1590"/>
      <c r="S161" s="1590"/>
      <c r="T161" s="1590"/>
      <c r="U161" s="1590"/>
      <c r="V161" s="1598"/>
      <c r="W161" s="1696">
        <v>0</v>
      </c>
      <c r="X161" s="1697">
        <v>0</v>
      </c>
      <c r="Y161" s="1701">
        <v>0</v>
      </c>
      <c r="Z161" s="1697">
        <v>0</v>
      </c>
      <c r="AA161" s="1698">
        <v>0</v>
      </c>
      <c r="AB161" s="1697">
        <v>0</v>
      </c>
      <c r="AC161" s="1701">
        <v>0</v>
      </c>
      <c r="AD161" s="1697">
        <v>0</v>
      </c>
      <c r="AE161" s="1698">
        <v>0</v>
      </c>
      <c r="AF161" s="1702" t="s">
        <v>269</v>
      </c>
      <c r="AG161" s="1702" t="s">
        <v>269</v>
      </c>
      <c r="AH161" s="1702" t="s">
        <v>269</v>
      </c>
      <c r="AI161" s="1703" t="s">
        <v>269</v>
      </c>
      <c r="AJ161" s="1703" t="s">
        <v>1732</v>
      </c>
      <c r="AK161" s="1703" t="s">
        <v>269</v>
      </c>
      <c r="AL161" s="1703" t="s">
        <v>269</v>
      </c>
      <c r="AM161" s="1703" t="s">
        <v>269</v>
      </c>
      <c r="AN161" s="1703" t="s">
        <v>269</v>
      </c>
      <c r="AO161" s="1703" t="s">
        <v>269</v>
      </c>
      <c r="AP161" s="1703" t="s">
        <v>269</v>
      </c>
      <c r="AQ161" s="1703" t="s">
        <v>269</v>
      </c>
      <c r="AR161" s="1700" t="s">
        <v>1742</v>
      </c>
    </row>
    <row r="162" spans="1:44" s="1589" customFormat="1" ht="11.25" customHeight="1">
      <c r="A162" s="1588"/>
      <c r="B162" s="2006"/>
      <c r="C162" s="2004"/>
      <c r="D162" s="1708" t="s">
        <v>635</v>
      </c>
      <c r="E162" s="1710" t="s">
        <v>1921</v>
      </c>
      <c r="R162" s="1590"/>
      <c r="S162" s="1590"/>
      <c r="T162" s="1590"/>
      <c r="U162" s="1590"/>
      <c r="V162" s="1598"/>
      <c r="W162" s="1696">
        <v>13160</v>
      </c>
      <c r="X162" s="1697">
        <v>14460</v>
      </c>
      <c r="Y162" s="1701">
        <v>14090</v>
      </c>
      <c r="Z162" s="1697">
        <v>14100</v>
      </c>
      <c r="AA162" s="1698">
        <v>14600</v>
      </c>
      <c r="AB162" s="1697">
        <v>244400</v>
      </c>
      <c r="AC162" s="1701">
        <v>244500</v>
      </c>
      <c r="AD162" s="1697">
        <v>333500</v>
      </c>
      <c r="AE162" s="1698">
        <v>363700</v>
      </c>
      <c r="AF162" s="1702">
        <v>345900</v>
      </c>
      <c r="AG162" s="1702">
        <v>304800</v>
      </c>
      <c r="AH162" s="1702">
        <v>245700</v>
      </c>
      <c r="AI162" s="1703">
        <v>180100</v>
      </c>
      <c r="AJ162" s="1703">
        <v>192300</v>
      </c>
      <c r="AK162" s="1703" t="s">
        <v>269</v>
      </c>
      <c r="AL162" s="1703" t="s">
        <v>269</v>
      </c>
      <c r="AM162" s="1703" t="s">
        <v>269</v>
      </c>
      <c r="AN162" s="1703" t="s">
        <v>269</v>
      </c>
      <c r="AO162" s="1703" t="s">
        <v>269</v>
      </c>
      <c r="AP162" s="1703" t="s">
        <v>269</v>
      </c>
      <c r="AQ162" s="1703" t="s">
        <v>269</v>
      </c>
      <c r="AR162" s="1700"/>
    </row>
    <row r="163" spans="1:44" s="1589" customFormat="1" ht="11.25" customHeight="1">
      <c r="A163" s="1588"/>
      <c r="B163" s="2006"/>
      <c r="C163" s="2002" t="s">
        <v>637</v>
      </c>
      <c r="D163" s="1708" t="s">
        <v>638</v>
      </c>
      <c r="E163" s="1710" t="s">
        <v>1922</v>
      </c>
      <c r="R163" s="1590"/>
      <c r="S163" s="1590"/>
      <c r="T163" s="1590"/>
      <c r="U163" s="1590"/>
      <c r="V163" s="1598"/>
      <c r="W163" s="1696">
        <v>71300</v>
      </c>
      <c r="X163" s="1697">
        <v>81600</v>
      </c>
      <c r="Y163" s="1701">
        <v>100100</v>
      </c>
      <c r="Z163" s="1697">
        <v>106900</v>
      </c>
      <c r="AA163" s="1698">
        <v>116500</v>
      </c>
      <c r="AB163" s="1697">
        <v>72600</v>
      </c>
      <c r="AC163" s="1701">
        <v>75600</v>
      </c>
      <c r="AD163" s="1697">
        <v>170200</v>
      </c>
      <c r="AE163" s="1698">
        <v>196400</v>
      </c>
      <c r="AF163" s="1702">
        <v>214900</v>
      </c>
      <c r="AG163" s="1702">
        <v>191900</v>
      </c>
      <c r="AH163" s="1702">
        <v>179300</v>
      </c>
      <c r="AI163" s="1703">
        <v>96200</v>
      </c>
      <c r="AJ163" s="1703">
        <v>105800</v>
      </c>
      <c r="AK163" s="1703">
        <v>108100</v>
      </c>
      <c r="AL163" s="1703">
        <v>45300</v>
      </c>
      <c r="AM163" s="1703">
        <v>43600</v>
      </c>
      <c r="AN163" s="1703">
        <v>44900</v>
      </c>
      <c r="AO163" s="1703">
        <v>46400</v>
      </c>
      <c r="AP163" s="1703">
        <v>63800</v>
      </c>
      <c r="AQ163" s="1703">
        <v>64300</v>
      </c>
      <c r="AR163" s="1700"/>
    </row>
    <row r="164" spans="1:44" s="1589" customFormat="1" ht="11.25" customHeight="1">
      <c r="A164" s="1588"/>
      <c r="B164" s="2006"/>
      <c r="C164" s="2003"/>
      <c r="D164" s="2002" t="s">
        <v>639</v>
      </c>
      <c r="E164" s="1710" t="s">
        <v>1923</v>
      </c>
      <c r="R164" s="1590"/>
      <c r="S164" s="1590"/>
      <c r="T164" s="1590"/>
      <c r="U164" s="1590"/>
      <c r="V164" s="1598"/>
      <c r="W164" s="1696">
        <v>0</v>
      </c>
      <c r="X164" s="1697">
        <v>0</v>
      </c>
      <c r="Y164" s="1701">
        <v>0</v>
      </c>
      <c r="Z164" s="1697">
        <v>0</v>
      </c>
      <c r="AA164" s="1698">
        <v>0</v>
      </c>
      <c r="AB164" s="1697">
        <v>0</v>
      </c>
      <c r="AC164" s="1701">
        <v>0</v>
      </c>
      <c r="AD164" s="1697">
        <v>0</v>
      </c>
      <c r="AE164" s="1698">
        <v>0</v>
      </c>
      <c r="AF164" s="1702">
        <v>85600</v>
      </c>
      <c r="AG164" s="1702">
        <v>75000</v>
      </c>
      <c r="AH164" s="1702">
        <v>63700</v>
      </c>
      <c r="AI164" s="1703">
        <v>44800</v>
      </c>
      <c r="AJ164" s="1703">
        <v>49400</v>
      </c>
      <c r="AK164" s="1703" t="s">
        <v>269</v>
      </c>
      <c r="AL164" s="1703" t="s">
        <v>269</v>
      </c>
      <c r="AM164" s="1703" t="s">
        <v>269</v>
      </c>
      <c r="AN164" s="1703" t="s">
        <v>269</v>
      </c>
      <c r="AO164" s="1703" t="s">
        <v>269</v>
      </c>
      <c r="AP164" s="1703" t="s">
        <v>269</v>
      </c>
      <c r="AQ164" s="1703" t="s">
        <v>269</v>
      </c>
      <c r="AR164" s="1700" t="s">
        <v>1743</v>
      </c>
    </row>
    <row r="165" spans="1:44" s="1589" customFormat="1" ht="11.25" customHeight="1">
      <c r="A165" s="1588"/>
      <c r="B165" s="2006"/>
      <c r="C165" s="2003"/>
      <c r="D165" s="2003"/>
      <c r="E165" s="1589" t="s">
        <v>1744</v>
      </c>
      <c r="W165" s="1715"/>
      <c r="X165" s="1701"/>
      <c r="Y165" s="1701"/>
      <c r="Z165" s="1701"/>
      <c r="AA165" s="1701"/>
      <c r="AB165" s="1701"/>
      <c r="AC165" s="1701"/>
      <c r="AD165" s="1701"/>
      <c r="AE165" s="1701"/>
      <c r="AF165" s="1716"/>
      <c r="AG165" s="1716"/>
      <c r="AH165" s="1716"/>
      <c r="AI165" s="1717"/>
      <c r="AJ165" s="1718" t="s">
        <v>1732</v>
      </c>
      <c r="AK165" s="1717">
        <v>6300</v>
      </c>
      <c r="AL165" s="1717">
        <v>6700</v>
      </c>
      <c r="AM165" s="1715">
        <v>7000</v>
      </c>
      <c r="AN165" s="1715">
        <v>7200</v>
      </c>
      <c r="AO165" s="1715">
        <v>8000</v>
      </c>
      <c r="AP165" s="1715">
        <v>8900</v>
      </c>
      <c r="AQ165" s="1715">
        <v>9000</v>
      </c>
    </row>
    <row r="166" spans="1:44" s="1589" customFormat="1" ht="11.25" customHeight="1">
      <c r="A166" s="1588"/>
      <c r="B166" s="2006"/>
      <c r="C166" s="2004"/>
      <c r="D166" s="2004"/>
      <c r="E166" s="1710" t="s">
        <v>640</v>
      </c>
      <c r="R166" s="1590"/>
      <c r="S166" s="1590"/>
      <c r="T166" s="1590"/>
      <c r="U166" s="1590"/>
      <c r="V166" s="1598"/>
      <c r="W166" s="1696">
        <v>0</v>
      </c>
      <c r="X166" s="1697">
        <v>0</v>
      </c>
      <c r="Y166" s="1701">
        <v>0</v>
      </c>
      <c r="Z166" s="1697">
        <v>0</v>
      </c>
      <c r="AA166" s="1698">
        <v>0</v>
      </c>
      <c r="AB166" s="1697">
        <v>0</v>
      </c>
      <c r="AC166" s="1701">
        <v>0</v>
      </c>
      <c r="AD166" s="1697">
        <v>0</v>
      </c>
      <c r="AE166" s="1698">
        <v>284400</v>
      </c>
      <c r="AF166" s="1702">
        <v>275700</v>
      </c>
      <c r="AG166" s="1702">
        <v>253700</v>
      </c>
      <c r="AH166" s="1702">
        <v>223500</v>
      </c>
      <c r="AI166" s="1703">
        <v>321800</v>
      </c>
      <c r="AJ166" s="1703">
        <v>330600</v>
      </c>
      <c r="AK166" s="1703">
        <v>586800</v>
      </c>
      <c r="AL166" s="1703">
        <v>1278400</v>
      </c>
      <c r="AM166" s="1703">
        <v>1308500</v>
      </c>
      <c r="AN166" s="1703">
        <v>1295900</v>
      </c>
      <c r="AO166" s="1703">
        <v>1314700</v>
      </c>
      <c r="AP166" s="1703">
        <v>1241000</v>
      </c>
      <c r="AQ166" s="1703">
        <v>887900</v>
      </c>
      <c r="AR166" s="1700" t="s">
        <v>1745</v>
      </c>
    </row>
    <row r="167" spans="1:44" s="1589" customFormat="1" ht="11.25" customHeight="1">
      <c r="A167" s="1588"/>
      <c r="B167" s="2006"/>
      <c r="C167" s="1708" t="s">
        <v>1746</v>
      </c>
      <c r="D167" s="1708"/>
      <c r="E167" s="1710"/>
      <c r="R167" s="1590"/>
      <c r="S167" s="1590"/>
      <c r="T167" s="1590"/>
      <c r="U167" s="1590"/>
      <c r="V167" s="1598"/>
      <c r="W167" s="1696">
        <v>0</v>
      </c>
      <c r="X167" s="1697">
        <v>0</v>
      </c>
      <c r="Y167" s="1701">
        <v>0</v>
      </c>
      <c r="Z167" s="1697">
        <v>0</v>
      </c>
      <c r="AA167" s="1697">
        <v>0</v>
      </c>
      <c r="AB167" s="1697">
        <v>0</v>
      </c>
      <c r="AC167" s="1697">
        <v>0</v>
      </c>
      <c r="AD167" s="1697">
        <v>0</v>
      </c>
      <c r="AE167" s="1698">
        <v>0</v>
      </c>
      <c r="AF167" s="1702"/>
      <c r="AG167" s="1702"/>
      <c r="AH167" s="1702"/>
      <c r="AI167" s="1703"/>
      <c r="AJ167" s="1719"/>
      <c r="AK167" s="1720"/>
      <c r="AL167" s="1720"/>
      <c r="AM167" s="1720"/>
      <c r="AN167" s="1720"/>
      <c r="AO167" s="1720"/>
      <c r="AP167" s="1720"/>
      <c r="AQ167" s="1720"/>
      <c r="AR167" s="1708"/>
    </row>
    <row r="168" spans="1:44" s="1589" customFormat="1" ht="11.25" customHeight="1">
      <c r="A168" s="1588"/>
      <c r="B168" s="2008"/>
      <c r="C168" s="1993" t="s">
        <v>612</v>
      </c>
      <c r="D168" s="2015"/>
      <c r="E168" s="2016"/>
      <c r="R168" s="1590"/>
      <c r="S168" s="1590"/>
      <c r="T168" s="1590"/>
      <c r="U168" s="1590"/>
      <c r="V168" s="1598"/>
      <c r="W168" s="1721">
        <f>SUM(W161:W167)</f>
        <v>84460</v>
      </c>
      <c r="X168" s="1721">
        <f>SUM(X161:X167)</f>
        <v>96060</v>
      </c>
      <c r="Y168" s="1721">
        <f t="shared" ref="Y168:AQ168" si="15">SUM(Y161:Y167)</f>
        <v>114190</v>
      </c>
      <c r="Z168" s="1721">
        <f t="shared" si="15"/>
        <v>121000</v>
      </c>
      <c r="AA168" s="1721">
        <f t="shared" si="15"/>
        <v>131100</v>
      </c>
      <c r="AB168" s="1721">
        <f t="shared" si="15"/>
        <v>317000</v>
      </c>
      <c r="AC168" s="1721">
        <f t="shared" si="15"/>
        <v>320100</v>
      </c>
      <c r="AD168" s="1721">
        <f t="shared" si="15"/>
        <v>503700</v>
      </c>
      <c r="AE168" s="1721">
        <f t="shared" si="15"/>
        <v>844500</v>
      </c>
      <c r="AF168" s="1721">
        <f t="shared" si="15"/>
        <v>922100</v>
      </c>
      <c r="AG168" s="1721">
        <f t="shared" si="15"/>
        <v>825400</v>
      </c>
      <c r="AH168" s="1721">
        <f t="shared" si="15"/>
        <v>712200</v>
      </c>
      <c r="AI168" s="1721">
        <f t="shared" si="15"/>
        <v>642900</v>
      </c>
      <c r="AJ168" s="1722">
        <f t="shared" si="15"/>
        <v>678100</v>
      </c>
      <c r="AK168" s="1722">
        <f t="shared" si="15"/>
        <v>701200</v>
      </c>
      <c r="AL168" s="1722">
        <f t="shared" si="15"/>
        <v>1330400</v>
      </c>
      <c r="AM168" s="1722">
        <f t="shared" si="15"/>
        <v>1359100</v>
      </c>
      <c r="AN168" s="1722">
        <f t="shared" si="15"/>
        <v>1348000</v>
      </c>
      <c r="AO168" s="1722">
        <f t="shared" si="15"/>
        <v>1369100</v>
      </c>
      <c r="AP168" s="1722">
        <f t="shared" si="15"/>
        <v>1313700</v>
      </c>
      <c r="AQ168" s="1722">
        <f t="shared" si="15"/>
        <v>961200</v>
      </c>
      <c r="AR168" s="1708"/>
    </row>
    <row r="169" spans="1:44" s="1589" customFormat="1" ht="11.25" customHeight="1">
      <c r="A169" s="1588"/>
      <c r="B169" s="1723">
        <v>6</v>
      </c>
      <c r="C169" s="1708" t="s">
        <v>1747</v>
      </c>
      <c r="D169" s="1708"/>
      <c r="E169" s="1724" t="s">
        <v>1748</v>
      </c>
      <c r="R169" s="1590"/>
      <c r="S169" s="1590"/>
      <c r="T169" s="1590"/>
      <c r="U169" s="1590"/>
      <c r="V169" s="1598"/>
      <c r="W169" s="1615"/>
      <c r="X169" s="1713"/>
      <c r="Y169" s="1713"/>
      <c r="Z169" s="1617"/>
      <c r="AA169" s="1617"/>
      <c r="AB169" s="1617"/>
      <c r="AC169" s="1713"/>
      <c r="AD169" s="1617"/>
      <c r="AE169" s="1617"/>
      <c r="AF169" s="1725"/>
      <c r="AG169" s="1725"/>
      <c r="AH169" s="1725"/>
      <c r="AI169" s="1726"/>
      <c r="AJ169" s="1726"/>
      <c r="AK169" s="1726"/>
      <c r="AL169" s="1726"/>
      <c r="AM169" s="1726">
        <v>2597800</v>
      </c>
      <c r="AN169" s="1726">
        <v>2818500</v>
      </c>
      <c r="AO169" s="1726">
        <v>3499900</v>
      </c>
      <c r="AP169" s="1726">
        <v>3883300</v>
      </c>
      <c r="AQ169" s="1726">
        <v>4363000</v>
      </c>
      <c r="AR169" s="1708" t="s">
        <v>1735</v>
      </c>
    </row>
    <row r="170" spans="1:44" s="1589" customFormat="1" ht="11.25" customHeight="1">
      <c r="A170" s="1588"/>
      <c r="B170" s="1688" t="s">
        <v>641</v>
      </c>
      <c r="C170" s="2005" t="s">
        <v>642</v>
      </c>
      <c r="D170" s="2002" t="s">
        <v>643</v>
      </c>
      <c r="E170" s="1710" t="s">
        <v>644</v>
      </c>
      <c r="R170" s="1590"/>
      <c r="S170" s="1590"/>
      <c r="T170" s="1590"/>
      <c r="U170" s="1590"/>
      <c r="V170" s="1598"/>
      <c r="W170" s="1696">
        <v>0</v>
      </c>
      <c r="X170" s="1697">
        <v>0</v>
      </c>
      <c r="Y170" s="1701">
        <v>0</v>
      </c>
      <c r="Z170" s="1697">
        <v>0</v>
      </c>
      <c r="AA170" s="1698">
        <v>0</v>
      </c>
      <c r="AB170" s="1697">
        <v>0</v>
      </c>
      <c r="AC170" s="1701">
        <v>0</v>
      </c>
      <c r="AD170" s="1697">
        <v>0</v>
      </c>
      <c r="AE170" s="1698">
        <v>0</v>
      </c>
      <c r="AF170" s="1702" t="s">
        <v>269</v>
      </c>
      <c r="AG170" s="1702" t="s">
        <v>269</v>
      </c>
      <c r="AH170" s="1702" t="s">
        <v>269</v>
      </c>
      <c r="AI170" s="1727">
        <v>390400</v>
      </c>
      <c r="AJ170" s="1726">
        <v>390400</v>
      </c>
      <c r="AK170" s="1726">
        <v>390400</v>
      </c>
      <c r="AL170" s="1726">
        <v>390400</v>
      </c>
      <c r="AM170" s="1726">
        <v>390400</v>
      </c>
      <c r="AN170" s="1726">
        <v>390400</v>
      </c>
      <c r="AO170" s="1726">
        <v>598200</v>
      </c>
      <c r="AP170" s="1726">
        <v>239400</v>
      </c>
      <c r="AQ170" s="1726">
        <v>89900</v>
      </c>
      <c r="AR170" s="1708" t="s">
        <v>1739</v>
      </c>
    </row>
    <row r="171" spans="1:44" s="1589" customFormat="1" ht="11.25" customHeight="1">
      <c r="A171" s="1588"/>
      <c r="B171" s="1728"/>
      <c r="C171" s="2006"/>
      <c r="D171" s="2003"/>
      <c r="E171" s="1710" t="s">
        <v>645</v>
      </c>
      <c r="R171" s="1590"/>
      <c r="S171" s="1590"/>
      <c r="T171" s="1590"/>
      <c r="U171" s="1590"/>
      <c r="V171" s="1598"/>
      <c r="W171" s="1696">
        <v>0</v>
      </c>
      <c r="X171" s="1697">
        <v>0</v>
      </c>
      <c r="Y171" s="1701">
        <v>0</v>
      </c>
      <c r="Z171" s="1697">
        <v>0</v>
      </c>
      <c r="AA171" s="1698">
        <v>0</v>
      </c>
      <c r="AB171" s="1697">
        <v>0</v>
      </c>
      <c r="AC171" s="1701">
        <v>0</v>
      </c>
      <c r="AD171" s="1697">
        <v>0</v>
      </c>
      <c r="AE171" s="1698">
        <v>0</v>
      </c>
      <c r="AF171" s="1702" t="s">
        <v>269</v>
      </c>
      <c r="AG171" s="1702">
        <v>800</v>
      </c>
      <c r="AH171" s="1702" t="s">
        <v>1732</v>
      </c>
      <c r="AI171" s="1727">
        <v>40</v>
      </c>
      <c r="AJ171" s="1726">
        <v>64</v>
      </c>
      <c r="AK171" s="1726">
        <v>36</v>
      </c>
      <c r="AL171" s="1726">
        <v>145</v>
      </c>
      <c r="AM171" s="1726">
        <v>94</v>
      </c>
      <c r="AN171" s="1726">
        <v>100</v>
      </c>
      <c r="AO171" s="1726">
        <v>80</v>
      </c>
      <c r="AP171" s="1726">
        <v>240</v>
      </c>
      <c r="AQ171" s="1726">
        <v>700</v>
      </c>
      <c r="AR171" s="1708" t="s">
        <v>1749</v>
      </c>
    </row>
    <row r="172" spans="1:44" s="1589" customFormat="1" ht="11.25" customHeight="1">
      <c r="A172" s="1588"/>
      <c r="B172" s="1728"/>
      <c r="C172" s="2006"/>
      <c r="D172" s="2003"/>
      <c r="E172" s="1710" t="s">
        <v>646</v>
      </c>
      <c r="R172" s="1590"/>
      <c r="S172" s="1590"/>
      <c r="T172" s="1590"/>
      <c r="U172" s="1590"/>
      <c r="V172" s="1598"/>
      <c r="W172" s="1696">
        <v>0</v>
      </c>
      <c r="X172" s="1697">
        <v>0</v>
      </c>
      <c r="Y172" s="1701">
        <v>0</v>
      </c>
      <c r="Z172" s="1697">
        <v>0</v>
      </c>
      <c r="AA172" s="1698">
        <v>0</v>
      </c>
      <c r="AB172" s="1697">
        <v>0</v>
      </c>
      <c r="AC172" s="1701">
        <v>0</v>
      </c>
      <c r="AD172" s="1697">
        <v>0</v>
      </c>
      <c r="AE172" s="1698">
        <v>0</v>
      </c>
      <c r="AF172" s="1702" t="s">
        <v>269</v>
      </c>
      <c r="AG172" s="1702" t="s">
        <v>269</v>
      </c>
      <c r="AH172" s="1702" t="s">
        <v>269</v>
      </c>
      <c r="AI172" s="1727" t="s">
        <v>269</v>
      </c>
      <c r="AJ172" s="1726" t="s">
        <v>1732</v>
      </c>
      <c r="AK172" s="1726">
        <v>10</v>
      </c>
      <c r="AL172" s="1726">
        <v>400</v>
      </c>
      <c r="AM172" s="1726">
        <v>585</v>
      </c>
      <c r="AN172" s="1726">
        <v>22</v>
      </c>
      <c r="AO172" s="1726">
        <v>300</v>
      </c>
      <c r="AP172" s="1726">
        <v>800</v>
      </c>
      <c r="AQ172" s="1726">
        <v>160</v>
      </c>
      <c r="AR172" s="1708" t="s">
        <v>1739</v>
      </c>
    </row>
    <row r="173" spans="1:44" s="1589" customFormat="1" ht="11.25" customHeight="1">
      <c r="A173" s="1588"/>
      <c r="B173" s="1728"/>
      <c r="C173" s="2006"/>
      <c r="D173" s="2003"/>
      <c r="E173" s="1710" t="s">
        <v>647</v>
      </c>
      <c r="R173" s="1590"/>
      <c r="S173" s="1590"/>
      <c r="T173" s="1590"/>
      <c r="U173" s="1590"/>
      <c r="V173" s="1598"/>
      <c r="W173" s="1696">
        <v>0</v>
      </c>
      <c r="X173" s="1697">
        <v>0</v>
      </c>
      <c r="Y173" s="1701">
        <v>0</v>
      </c>
      <c r="Z173" s="1697">
        <v>0</v>
      </c>
      <c r="AA173" s="1698">
        <v>0</v>
      </c>
      <c r="AB173" s="1697">
        <v>0</v>
      </c>
      <c r="AC173" s="1701">
        <v>0</v>
      </c>
      <c r="AD173" s="1697">
        <v>0</v>
      </c>
      <c r="AE173" s="1698">
        <v>0</v>
      </c>
      <c r="AF173" s="1702">
        <v>100</v>
      </c>
      <c r="AG173" s="1702">
        <v>100</v>
      </c>
      <c r="AH173" s="1702">
        <v>100</v>
      </c>
      <c r="AI173" s="1727">
        <v>932</v>
      </c>
      <c r="AJ173" s="1726">
        <v>1000</v>
      </c>
      <c r="AK173" s="1726">
        <v>2600</v>
      </c>
      <c r="AL173" s="1726">
        <v>4300</v>
      </c>
      <c r="AM173" s="1726">
        <v>6900</v>
      </c>
      <c r="AN173" s="1726">
        <v>9800</v>
      </c>
      <c r="AO173" s="1726">
        <v>13900</v>
      </c>
      <c r="AP173" s="1726">
        <v>11500</v>
      </c>
      <c r="AQ173" s="1726">
        <v>14300</v>
      </c>
      <c r="AR173" s="1708" t="s">
        <v>1745</v>
      </c>
    </row>
    <row r="174" spans="1:44" s="1589" customFormat="1" ht="11.25" customHeight="1">
      <c r="A174" s="1588"/>
      <c r="B174" s="1728"/>
      <c r="C174" s="2006"/>
      <c r="D174" s="2003"/>
      <c r="E174" s="1710" t="s">
        <v>650</v>
      </c>
      <c r="R174" s="1590"/>
      <c r="S174" s="1590"/>
      <c r="T174" s="1590"/>
      <c r="U174" s="1590"/>
      <c r="V174" s="1598"/>
      <c r="W174" s="1696">
        <v>0</v>
      </c>
      <c r="X174" s="1697">
        <v>0</v>
      </c>
      <c r="Y174" s="1701">
        <v>0</v>
      </c>
      <c r="Z174" s="1697">
        <v>0</v>
      </c>
      <c r="AA174" s="1698">
        <v>0</v>
      </c>
      <c r="AB174" s="1697">
        <v>105500</v>
      </c>
      <c r="AC174" s="1701">
        <v>113400</v>
      </c>
      <c r="AD174" s="1697">
        <v>23500</v>
      </c>
      <c r="AE174" s="1698">
        <v>0</v>
      </c>
      <c r="AF174" s="1702" t="s">
        <v>269</v>
      </c>
      <c r="AG174" s="1702" t="s">
        <v>269</v>
      </c>
      <c r="AH174" s="1702">
        <v>89000</v>
      </c>
      <c r="AI174" s="1727">
        <v>86100</v>
      </c>
      <c r="AJ174" s="1726">
        <v>18700</v>
      </c>
      <c r="AK174" s="1726">
        <v>10100</v>
      </c>
      <c r="AL174" s="1726">
        <v>5600</v>
      </c>
      <c r="AM174" s="1726">
        <v>4800</v>
      </c>
      <c r="AN174" s="1726">
        <v>3000</v>
      </c>
      <c r="AO174" s="1726">
        <v>0</v>
      </c>
      <c r="AP174" s="1726">
        <v>0</v>
      </c>
      <c r="AQ174" s="1726">
        <v>0</v>
      </c>
      <c r="AR174" s="1708" t="s">
        <v>1750</v>
      </c>
    </row>
    <row r="175" spans="1:44" s="1589" customFormat="1" ht="11.25" customHeight="1">
      <c r="A175" s="1588"/>
      <c r="B175" s="1728"/>
      <c r="C175" s="2006"/>
      <c r="D175" s="2004"/>
      <c r="E175" s="1134" t="s">
        <v>1751</v>
      </c>
      <c r="R175" s="1590"/>
      <c r="S175" s="1590"/>
      <c r="T175" s="1590"/>
      <c r="U175" s="1590"/>
      <c r="V175" s="1598"/>
      <c r="W175" s="1696"/>
      <c r="X175" s="1697"/>
      <c r="Y175" s="1701"/>
      <c r="Z175" s="1697"/>
      <c r="AA175" s="1698"/>
      <c r="AB175" s="1697"/>
      <c r="AC175" s="1701"/>
      <c r="AD175" s="1697"/>
      <c r="AE175" s="1698"/>
      <c r="AF175" s="1702"/>
      <c r="AG175" s="1702"/>
      <c r="AH175" s="1702"/>
      <c r="AI175" s="1727"/>
      <c r="AJ175" s="1726"/>
      <c r="AK175" s="1726"/>
      <c r="AL175" s="1726"/>
      <c r="AM175" s="1726">
        <v>55800</v>
      </c>
      <c r="AN175" s="1726">
        <v>83100</v>
      </c>
      <c r="AO175" s="1726">
        <v>209600</v>
      </c>
      <c r="AP175" s="1726">
        <v>60900</v>
      </c>
      <c r="AQ175" s="1726">
        <v>26200</v>
      </c>
      <c r="AR175" s="1708" t="s">
        <v>1735</v>
      </c>
    </row>
    <row r="176" spans="1:44" s="1589" customFormat="1" ht="11.25" customHeight="1">
      <c r="A176" s="1588"/>
      <c r="B176" s="1728"/>
      <c r="C176" s="2006"/>
      <c r="D176" s="2002" t="s">
        <v>648</v>
      </c>
      <c r="E176" s="1710" t="s">
        <v>651</v>
      </c>
      <c r="R176" s="1590"/>
      <c r="S176" s="1590"/>
      <c r="T176" s="1590"/>
      <c r="U176" s="1590"/>
      <c r="V176" s="1598"/>
      <c r="W176" s="1696">
        <v>27500</v>
      </c>
      <c r="X176" s="1697">
        <v>69400</v>
      </c>
      <c r="Y176" s="1701">
        <v>120800</v>
      </c>
      <c r="Z176" s="1697">
        <v>113400</v>
      </c>
      <c r="AA176" s="1698">
        <v>153800</v>
      </c>
      <c r="AB176" s="1697">
        <v>222500</v>
      </c>
      <c r="AC176" s="1701">
        <v>268700</v>
      </c>
      <c r="AD176" s="1697">
        <v>348700</v>
      </c>
      <c r="AE176" s="1698">
        <v>468600</v>
      </c>
      <c r="AF176" s="1702">
        <v>325600</v>
      </c>
      <c r="AG176" s="1702">
        <v>273200</v>
      </c>
      <c r="AH176" s="1702">
        <v>236200</v>
      </c>
      <c r="AI176" s="1727">
        <v>239200</v>
      </c>
      <c r="AJ176" s="1726">
        <v>225100</v>
      </c>
      <c r="AK176" s="1726">
        <v>232000</v>
      </c>
      <c r="AL176" s="1726">
        <v>249800</v>
      </c>
      <c r="AM176" s="1726">
        <v>301200</v>
      </c>
      <c r="AN176" s="1726">
        <v>363300</v>
      </c>
      <c r="AO176" s="1726">
        <v>427200</v>
      </c>
      <c r="AP176" s="1726">
        <v>530300</v>
      </c>
      <c r="AQ176" s="1726">
        <v>618900</v>
      </c>
      <c r="AR176" s="1708"/>
    </row>
    <row r="177" spans="1:44" s="1589" customFormat="1" ht="11.25" customHeight="1">
      <c r="A177" s="1588"/>
      <c r="B177" s="1728"/>
      <c r="C177" s="2006"/>
      <c r="D177" s="2004"/>
      <c r="E177" s="1710" t="s">
        <v>649</v>
      </c>
      <c r="R177" s="1590"/>
      <c r="S177" s="1590"/>
      <c r="T177" s="1590"/>
      <c r="U177" s="1590"/>
      <c r="V177" s="1598"/>
      <c r="W177" s="1696">
        <v>14160</v>
      </c>
      <c r="X177" s="1697">
        <v>3440</v>
      </c>
      <c r="Y177" s="1701">
        <v>5020</v>
      </c>
      <c r="Z177" s="1697">
        <v>3140</v>
      </c>
      <c r="AA177" s="1698">
        <v>3900</v>
      </c>
      <c r="AB177" s="1697">
        <v>6800</v>
      </c>
      <c r="AC177" s="1701">
        <v>9500</v>
      </c>
      <c r="AD177" s="1697">
        <v>11000</v>
      </c>
      <c r="AE177" s="1698">
        <v>14800</v>
      </c>
      <c r="AF177" s="1702">
        <v>12100</v>
      </c>
      <c r="AG177" s="1702">
        <v>11300</v>
      </c>
      <c r="AH177" s="1702">
        <v>13500</v>
      </c>
      <c r="AI177" s="1727">
        <v>15200</v>
      </c>
      <c r="AJ177" s="1726">
        <v>18300</v>
      </c>
      <c r="AK177" s="1726">
        <v>19700</v>
      </c>
      <c r="AL177" s="1726">
        <v>24700</v>
      </c>
      <c r="AM177" s="1726">
        <v>33900</v>
      </c>
      <c r="AN177" s="1726">
        <v>17400</v>
      </c>
      <c r="AO177" s="1726">
        <v>21500</v>
      </c>
      <c r="AP177" s="1726">
        <v>19600</v>
      </c>
      <c r="AQ177" s="1726">
        <v>0</v>
      </c>
      <c r="AR177" s="1708"/>
    </row>
    <row r="178" spans="1:44" s="1589" customFormat="1" ht="11.25" customHeight="1">
      <c r="A178" s="1588"/>
      <c r="B178" s="1728"/>
      <c r="C178" s="2008"/>
      <c r="D178" s="1708" t="s">
        <v>1736</v>
      </c>
      <c r="E178" s="1710"/>
      <c r="R178" s="1590"/>
      <c r="S178" s="1590"/>
      <c r="T178" s="1590"/>
      <c r="U178" s="1590"/>
      <c r="V178" s="1598"/>
      <c r="W178" s="1696">
        <v>27500</v>
      </c>
      <c r="X178" s="1697">
        <v>69400</v>
      </c>
      <c r="Y178" s="1701">
        <v>120800</v>
      </c>
      <c r="Z178" s="1697">
        <v>113400</v>
      </c>
      <c r="AA178" s="1698">
        <v>153800</v>
      </c>
      <c r="AB178" s="1697">
        <v>222500</v>
      </c>
      <c r="AC178" s="1701">
        <v>268700</v>
      </c>
      <c r="AD178" s="1697">
        <v>348700</v>
      </c>
      <c r="AE178" s="1698">
        <v>468600</v>
      </c>
      <c r="AF178" s="1702">
        <v>325600</v>
      </c>
      <c r="AG178" s="1702">
        <v>273200</v>
      </c>
      <c r="AH178" s="1702">
        <v>236200</v>
      </c>
      <c r="AI178" s="1727">
        <v>239200</v>
      </c>
      <c r="AJ178" s="1726">
        <v>225100</v>
      </c>
      <c r="AK178" s="1726"/>
      <c r="AL178" s="1726"/>
      <c r="AM178" s="1726"/>
      <c r="AN178" s="1729"/>
      <c r="AO178" s="1729"/>
      <c r="AP178" s="1729"/>
      <c r="AQ178" s="1729"/>
      <c r="AR178" s="1708"/>
    </row>
    <row r="179" spans="1:44" s="1589" customFormat="1" ht="11.25" customHeight="1">
      <c r="A179" s="1588"/>
      <c r="B179" s="1730"/>
      <c r="C179" s="1993" t="s">
        <v>612</v>
      </c>
      <c r="D179" s="1994"/>
      <c r="E179" s="1995"/>
      <c r="R179" s="1590"/>
      <c r="S179" s="1590"/>
      <c r="T179" s="1590"/>
      <c r="U179" s="1590"/>
      <c r="V179" s="1598"/>
      <c r="W179" s="1731">
        <f t="shared" ref="W179:AQ179" si="16">SUM(W169:W178)</f>
        <v>69160</v>
      </c>
      <c r="X179" s="1731">
        <f t="shared" si="16"/>
        <v>142240</v>
      </c>
      <c r="Y179" s="1731">
        <f t="shared" si="16"/>
        <v>246620</v>
      </c>
      <c r="Z179" s="1731">
        <f t="shared" si="16"/>
        <v>229940</v>
      </c>
      <c r="AA179" s="1731">
        <f t="shared" si="16"/>
        <v>311500</v>
      </c>
      <c r="AB179" s="1731">
        <f t="shared" si="16"/>
        <v>557300</v>
      </c>
      <c r="AC179" s="1731">
        <f t="shared" si="16"/>
        <v>660300</v>
      </c>
      <c r="AD179" s="1731">
        <f t="shared" si="16"/>
        <v>731900</v>
      </c>
      <c r="AE179" s="1731">
        <f t="shared" si="16"/>
        <v>952000</v>
      </c>
      <c r="AF179" s="1731">
        <f t="shared" si="16"/>
        <v>663400</v>
      </c>
      <c r="AG179" s="1731">
        <f t="shared" si="16"/>
        <v>558600</v>
      </c>
      <c r="AH179" s="1731">
        <f t="shared" si="16"/>
        <v>575000</v>
      </c>
      <c r="AI179" s="1732">
        <f t="shared" si="16"/>
        <v>971072</v>
      </c>
      <c r="AJ179" s="1732">
        <f t="shared" si="16"/>
        <v>878664</v>
      </c>
      <c r="AK179" s="1732">
        <f t="shared" si="16"/>
        <v>654846</v>
      </c>
      <c r="AL179" s="1732">
        <f t="shared" si="16"/>
        <v>675345</v>
      </c>
      <c r="AM179" s="1733">
        <f t="shared" si="16"/>
        <v>3391479</v>
      </c>
      <c r="AN179" s="1733">
        <f t="shared" si="16"/>
        <v>3685622</v>
      </c>
      <c r="AO179" s="1733">
        <f t="shared" si="16"/>
        <v>4770680</v>
      </c>
      <c r="AP179" s="1733">
        <f t="shared" si="16"/>
        <v>4746040</v>
      </c>
      <c r="AQ179" s="1733">
        <f t="shared" si="16"/>
        <v>5113160</v>
      </c>
      <c r="AR179" s="1734"/>
    </row>
    <row r="180" spans="1:44" s="1589" customFormat="1" ht="11.25" customHeight="1">
      <c r="A180" s="1588"/>
      <c r="B180" s="1728" t="s">
        <v>1752</v>
      </c>
      <c r="C180" s="1735" t="s">
        <v>1753</v>
      </c>
      <c r="D180" s="1694" t="s">
        <v>1754</v>
      </c>
      <c r="E180" s="1736" t="s">
        <v>1755</v>
      </c>
      <c r="R180" s="1590"/>
      <c r="S180" s="1590"/>
      <c r="T180" s="1590"/>
      <c r="U180" s="1590"/>
      <c r="V180" s="1598"/>
      <c r="W180" s="1706"/>
      <c r="X180" s="1706"/>
      <c r="Y180" s="1706"/>
      <c r="Z180" s="1706"/>
      <c r="AA180" s="1706"/>
      <c r="AB180" s="1706"/>
      <c r="AC180" s="1706"/>
      <c r="AD180" s="1706"/>
      <c r="AE180" s="1706"/>
      <c r="AF180" s="1706"/>
      <c r="AG180" s="1706"/>
      <c r="AH180" s="1706"/>
      <c r="AI180" s="1706"/>
      <c r="AJ180" s="1706"/>
      <c r="AK180" s="1706"/>
      <c r="AL180" s="1706"/>
      <c r="AM180" s="1737">
        <v>52700</v>
      </c>
      <c r="AN180" s="1737">
        <v>64500</v>
      </c>
      <c r="AO180" s="1737">
        <v>91900</v>
      </c>
      <c r="AP180" s="1737">
        <v>120200</v>
      </c>
      <c r="AQ180" s="1737">
        <v>141400</v>
      </c>
      <c r="AR180" s="1673" t="s">
        <v>1756</v>
      </c>
    </row>
    <row r="181" spans="1:44" s="1589" customFormat="1" ht="11.25" customHeight="1">
      <c r="A181" s="1588"/>
      <c r="B181" s="1738"/>
      <c r="C181" s="1996" t="s">
        <v>1757</v>
      </c>
      <c r="D181" s="1996"/>
      <c r="E181" s="1996"/>
      <c r="R181" s="1590"/>
      <c r="S181" s="1590"/>
      <c r="T181" s="1590"/>
      <c r="U181" s="1590"/>
      <c r="V181" s="1598"/>
      <c r="W181" s="1706"/>
      <c r="X181" s="1706"/>
      <c r="Y181" s="1706"/>
      <c r="Z181" s="1706"/>
      <c r="AA181" s="1706"/>
      <c r="AB181" s="1706"/>
      <c r="AC181" s="1706"/>
      <c r="AD181" s="1706"/>
      <c r="AE181" s="1706"/>
      <c r="AF181" s="1706"/>
      <c r="AG181" s="1706"/>
      <c r="AH181" s="1706"/>
      <c r="AI181" s="1706"/>
      <c r="AJ181" s="1706"/>
      <c r="AK181" s="1706"/>
      <c r="AL181" s="1706"/>
      <c r="AM181" s="1706">
        <f>AM180</f>
        <v>52700</v>
      </c>
      <c r="AN181" s="1706">
        <f t="shared" ref="AN181:AQ181" si="17">AN180</f>
        <v>64500</v>
      </c>
      <c r="AO181" s="1706">
        <f t="shared" si="17"/>
        <v>91900</v>
      </c>
      <c r="AP181" s="1706">
        <f t="shared" si="17"/>
        <v>120200</v>
      </c>
      <c r="AQ181" s="1706">
        <f t="shared" si="17"/>
        <v>141400</v>
      </c>
      <c r="AR181" s="1709"/>
    </row>
    <row r="182" spans="1:44" s="1589" customFormat="1" ht="11.25" customHeight="1">
      <c r="A182" s="1588"/>
      <c r="B182" s="1997" t="s">
        <v>652</v>
      </c>
      <c r="D182" s="1739"/>
      <c r="E182" s="1739"/>
      <c r="W182" s="1712"/>
      <c r="X182" s="1713"/>
      <c r="Y182" s="1713"/>
      <c r="Z182" s="1713"/>
      <c r="AA182" s="1713"/>
      <c r="AB182" s="1713"/>
      <c r="AC182" s="1713"/>
      <c r="AD182" s="1713"/>
      <c r="AE182" s="1713"/>
      <c r="AF182" s="1591"/>
      <c r="AG182" s="1591"/>
      <c r="AH182" s="1591"/>
    </row>
    <row r="183" spans="1:44" s="1589" customFormat="1" ht="11.25" customHeight="1">
      <c r="A183" s="1588"/>
      <c r="B183" s="1997"/>
      <c r="C183" s="1998" t="s">
        <v>653</v>
      </c>
      <c r="D183" s="1999" t="s">
        <v>1758</v>
      </c>
      <c r="E183" s="1695" t="s">
        <v>654</v>
      </c>
      <c r="R183" s="1590"/>
      <c r="S183" s="1590"/>
      <c r="T183" s="1590"/>
      <c r="U183" s="1590"/>
      <c r="V183" s="1598"/>
      <c r="W183" s="1696">
        <v>17000</v>
      </c>
      <c r="X183" s="1697">
        <v>43800</v>
      </c>
      <c r="Y183" s="1701">
        <v>77600</v>
      </c>
      <c r="Z183" s="1697">
        <v>59500</v>
      </c>
      <c r="AA183" s="1697">
        <v>77000</v>
      </c>
      <c r="AB183" s="1697">
        <v>94000</v>
      </c>
      <c r="AC183" s="1701">
        <v>117500</v>
      </c>
      <c r="AD183" s="1697">
        <f>1662/12998*7922*100</f>
        <v>101295.30697030314</v>
      </c>
      <c r="AE183" s="1698">
        <v>124300</v>
      </c>
      <c r="AF183" s="1702">
        <v>219300</v>
      </c>
      <c r="AG183" s="1702">
        <v>166200</v>
      </c>
      <c r="AH183" s="1702">
        <v>328400</v>
      </c>
      <c r="AI183" s="1703">
        <v>399200</v>
      </c>
      <c r="AJ183" s="1703">
        <v>429000</v>
      </c>
      <c r="AK183" s="1703">
        <v>443400</v>
      </c>
      <c r="AL183" s="1703">
        <v>364700</v>
      </c>
      <c r="AM183" s="1703">
        <v>374200</v>
      </c>
      <c r="AN183" s="1703">
        <v>314900</v>
      </c>
      <c r="AO183" s="1703">
        <v>318200</v>
      </c>
      <c r="AP183" s="1703">
        <v>326200</v>
      </c>
      <c r="AQ183" s="1703">
        <v>338600</v>
      </c>
      <c r="AR183" s="1740"/>
    </row>
    <row r="184" spans="1:44" s="1589" customFormat="1" ht="11.25" customHeight="1">
      <c r="A184" s="1588"/>
      <c r="B184" s="1997"/>
      <c r="C184" s="1998"/>
      <c r="D184" s="2000"/>
      <c r="E184" s="1741" t="s">
        <v>1759</v>
      </c>
      <c r="R184" s="1590"/>
      <c r="S184" s="1590"/>
      <c r="T184" s="1590"/>
      <c r="U184" s="1590"/>
      <c r="V184" s="1598"/>
      <c r="W184" s="1696"/>
      <c r="X184" s="1697"/>
      <c r="Y184" s="1701"/>
      <c r="Z184" s="1697"/>
      <c r="AA184" s="1697"/>
      <c r="AB184" s="1697"/>
      <c r="AC184" s="1701"/>
      <c r="AD184" s="1697"/>
      <c r="AE184" s="1698"/>
      <c r="AF184" s="1702"/>
      <c r="AG184" s="1702"/>
      <c r="AH184" s="1702"/>
      <c r="AI184" s="1703"/>
      <c r="AJ184" s="1703"/>
      <c r="AK184" s="1703"/>
      <c r="AL184" s="1703"/>
      <c r="AM184" s="1742">
        <v>75200</v>
      </c>
      <c r="AN184" s="1742">
        <v>48500</v>
      </c>
      <c r="AO184" s="1742">
        <v>26700</v>
      </c>
      <c r="AP184" s="1742">
        <v>14900</v>
      </c>
      <c r="AQ184" s="1742">
        <v>14400</v>
      </c>
      <c r="AR184" s="1700" t="s">
        <v>1760</v>
      </c>
    </row>
    <row r="185" spans="1:44" s="1589" customFormat="1" ht="11.25" customHeight="1">
      <c r="A185" s="1588"/>
      <c r="B185" s="1997"/>
      <c r="C185" s="1998"/>
      <c r="D185" s="2000"/>
      <c r="E185" s="1741" t="s">
        <v>1761</v>
      </c>
      <c r="R185" s="1590"/>
      <c r="S185" s="1590"/>
      <c r="T185" s="1590"/>
      <c r="U185" s="1590"/>
      <c r="V185" s="1598"/>
      <c r="W185" s="1696"/>
      <c r="X185" s="1697"/>
      <c r="Y185" s="1701"/>
      <c r="Z185" s="1697"/>
      <c r="AA185" s="1697"/>
      <c r="AB185" s="1697"/>
      <c r="AC185" s="1701"/>
      <c r="AD185" s="1697"/>
      <c r="AE185" s="1698"/>
      <c r="AF185" s="1702"/>
      <c r="AG185" s="1702"/>
      <c r="AH185" s="1702"/>
      <c r="AI185" s="1703"/>
      <c r="AJ185" s="1703"/>
      <c r="AK185" s="1703"/>
      <c r="AL185" s="1703"/>
      <c r="AM185" s="1742">
        <v>25900</v>
      </c>
      <c r="AN185" s="1742">
        <v>28100</v>
      </c>
      <c r="AO185" s="1742">
        <v>29700</v>
      </c>
      <c r="AP185" s="1742">
        <v>26700</v>
      </c>
      <c r="AQ185" s="1742">
        <v>29500</v>
      </c>
      <c r="AR185" s="1700" t="s">
        <v>1735</v>
      </c>
    </row>
    <row r="186" spans="1:44" s="1589" customFormat="1" ht="11.25" customHeight="1">
      <c r="A186" s="1588"/>
      <c r="B186" s="1997"/>
      <c r="C186" s="1998"/>
      <c r="D186" s="2001"/>
      <c r="E186" s="1741" t="s">
        <v>1762</v>
      </c>
      <c r="R186" s="1590"/>
      <c r="S186" s="1590"/>
      <c r="T186" s="1590"/>
      <c r="U186" s="1590"/>
      <c r="V186" s="1598"/>
      <c r="W186" s="1696"/>
      <c r="X186" s="1697"/>
      <c r="Y186" s="1701"/>
      <c r="Z186" s="1697"/>
      <c r="AA186" s="1697"/>
      <c r="AB186" s="1697"/>
      <c r="AC186" s="1701"/>
      <c r="AD186" s="1697"/>
      <c r="AE186" s="1698"/>
      <c r="AF186" s="1702"/>
      <c r="AG186" s="1702"/>
      <c r="AH186" s="1702"/>
      <c r="AI186" s="1703"/>
      <c r="AJ186" s="1703"/>
      <c r="AK186" s="1703"/>
      <c r="AL186" s="1703"/>
      <c r="AM186" s="1742">
        <v>56300</v>
      </c>
      <c r="AN186" s="1742">
        <v>53300</v>
      </c>
      <c r="AO186" s="1742">
        <v>51700</v>
      </c>
      <c r="AP186" s="1742">
        <v>49100</v>
      </c>
      <c r="AQ186" s="1742">
        <v>39800</v>
      </c>
      <c r="AR186" s="1700" t="s">
        <v>1760</v>
      </c>
    </row>
    <row r="187" spans="1:44" s="1589" customFormat="1" ht="11.25" customHeight="1">
      <c r="A187" s="1588"/>
      <c r="B187" s="1997"/>
      <c r="C187" s="1998"/>
      <c r="D187" s="1998" t="s">
        <v>598</v>
      </c>
      <c r="E187" s="1695" t="s">
        <v>655</v>
      </c>
      <c r="R187" s="1590"/>
      <c r="S187" s="1590"/>
      <c r="T187" s="1590"/>
      <c r="U187" s="1590"/>
      <c r="V187" s="1598"/>
      <c r="W187" s="1696">
        <v>441700</v>
      </c>
      <c r="X187" s="1697">
        <v>427000</v>
      </c>
      <c r="Y187" s="1701">
        <v>355100</v>
      </c>
      <c r="Z187" s="1697">
        <v>408300</v>
      </c>
      <c r="AA187" s="1698">
        <v>453000</v>
      </c>
      <c r="AB187" s="1697">
        <v>529500</v>
      </c>
      <c r="AC187" s="1701">
        <v>539000</v>
      </c>
      <c r="AD187" s="1697">
        <v>667000</v>
      </c>
      <c r="AE187" s="1698">
        <v>654000</v>
      </c>
      <c r="AF187" s="1702">
        <v>639800</v>
      </c>
      <c r="AG187" s="1702">
        <v>608000</v>
      </c>
      <c r="AH187" s="1702">
        <v>842100</v>
      </c>
      <c r="AI187" s="1703">
        <v>851200</v>
      </c>
      <c r="AJ187" s="1703">
        <v>986200</v>
      </c>
      <c r="AK187" s="1703">
        <v>694400</v>
      </c>
      <c r="AL187" s="1703">
        <v>491700</v>
      </c>
      <c r="AM187" s="1703">
        <v>547300</v>
      </c>
      <c r="AN187" s="1703">
        <v>579500</v>
      </c>
      <c r="AO187" s="1703">
        <v>727000</v>
      </c>
      <c r="AP187" s="1703">
        <v>774800</v>
      </c>
      <c r="AQ187" s="1703">
        <v>838700</v>
      </c>
      <c r="AR187" s="1740"/>
    </row>
    <row r="188" spans="1:44" s="1589" customFormat="1" ht="11.25" customHeight="1">
      <c r="A188" s="1588"/>
      <c r="B188" s="1997"/>
      <c r="C188" s="1998"/>
      <c r="D188" s="1998"/>
      <c r="E188" s="1695" t="s">
        <v>656</v>
      </c>
      <c r="R188" s="1590"/>
      <c r="S188" s="1590"/>
      <c r="T188" s="1590"/>
      <c r="U188" s="1590"/>
      <c r="V188" s="1598"/>
      <c r="W188" s="1696">
        <v>119400</v>
      </c>
      <c r="X188" s="1697">
        <v>298600</v>
      </c>
      <c r="Y188" s="1701">
        <v>402200</v>
      </c>
      <c r="Z188" s="1697">
        <v>470200</v>
      </c>
      <c r="AA188" s="1698">
        <v>444800</v>
      </c>
      <c r="AB188" s="1697">
        <v>506700</v>
      </c>
      <c r="AC188" s="1701">
        <v>504500</v>
      </c>
      <c r="AD188" s="1697">
        <v>605400</v>
      </c>
      <c r="AE188" s="1698">
        <v>851600</v>
      </c>
      <c r="AF188" s="1702">
        <v>781800</v>
      </c>
      <c r="AG188" s="1702">
        <v>795800</v>
      </c>
      <c r="AH188" s="1702">
        <v>875800</v>
      </c>
      <c r="AI188" s="1703">
        <v>877400</v>
      </c>
      <c r="AJ188" s="1703">
        <v>944800</v>
      </c>
      <c r="AK188" s="1703">
        <v>986500</v>
      </c>
      <c r="AL188" s="1703">
        <v>703100</v>
      </c>
      <c r="AM188" s="1703">
        <v>854600</v>
      </c>
      <c r="AN188" s="1703">
        <v>890600</v>
      </c>
      <c r="AO188" s="1703">
        <v>924200</v>
      </c>
      <c r="AP188" s="1703">
        <v>997200</v>
      </c>
      <c r="AQ188" s="1703">
        <v>1078800</v>
      </c>
      <c r="AR188" s="1740"/>
    </row>
    <row r="189" spans="1:44" s="1589" customFormat="1" ht="11.25" customHeight="1">
      <c r="A189" s="1588"/>
      <c r="B189" s="1997"/>
      <c r="C189" s="1998"/>
      <c r="D189" s="1998"/>
      <c r="E189" s="1741" t="s">
        <v>1763</v>
      </c>
      <c r="R189" s="1590"/>
      <c r="S189" s="1590"/>
      <c r="T189" s="1590"/>
      <c r="U189" s="1590"/>
      <c r="V189" s="1598"/>
      <c r="W189" s="1703" t="s">
        <v>1715</v>
      </c>
      <c r="X189" s="1703" t="s">
        <v>1715</v>
      </c>
      <c r="Y189" s="1703" t="s">
        <v>1715</v>
      </c>
      <c r="Z189" s="1703" t="s">
        <v>1715</v>
      </c>
      <c r="AA189" s="1703" t="s">
        <v>1715</v>
      </c>
      <c r="AB189" s="1703" t="s">
        <v>1715</v>
      </c>
      <c r="AC189" s="1703" t="s">
        <v>1715</v>
      </c>
      <c r="AD189" s="1703" t="s">
        <v>1715</v>
      </c>
      <c r="AE189" s="1703" t="s">
        <v>1715</v>
      </c>
      <c r="AF189" s="1703" t="s">
        <v>1715</v>
      </c>
      <c r="AG189" s="1703" t="s">
        <v>1715</v>
      </c>
      <c r="AH189" s="1703" t="s">
        <v>1715</v>
      </c>
      <c r="AI189" s="1703" t="s">
        <v>1715</v>
      </c>
      <c r="AJ189" s="1703" t="s">
        <v>1715</v>
      </c>
      <c r="AK189" s="1703" t="s">
        <v>1715</v>
      </c>
      <c r="AL189" s="1703" t="s">
        <v>1715</v>
      </c>
      <c r="AM189" s="1703" t="s">
        <v>1715</v>
      </c>
      <c r="AN189" s="1703" t="s">
        <v>1715</v>
      </c>
      <c r="AO189" s="1703" t="s">
        <v>1715</v>
      </c>
      <c r="AP189" s="1703">
        <v>1290686.7239999999</v>
      </c>
      <c r="AQ189" s="1703">
        <v>1451452.0319999999</v>
      </c>
      <c r="AR189" s="1700" t="s">
        <v>1735</v>
      </c>
    </row>
    <row r="190" spans="1:44" s="1589" customFormat="1" ht="11.25" customHeight="1">
      <c r="A190" s="1588"/>
      <c r="B190" s="1997"/>
      <c r="C190" s="1998"/>
      <c r="D190" s="1998"/>
      <c r="E190" s="1741" t="s">
        <v>1764</v>
      </c>
      <c r="R190" s="1590"/>
      <c r="S190" s="1590"/>
      <c r="T190" s="1590"/>
      <c r="U190" s="1590"/>
      <c r="V190" s="1598"/>
      <c r="W190" s="1703" t="s">
        <v>1715</v>
      </c>
      <c r="X190" s="1703" t="s">
        <v>1715</v>
      </c>
      <c r="Y190" s="1703" t="s">
        <v>1715</v>
      </c>
      <c r="Z190" s="1703" t="s">
        <v>1715</v>
      </c>
      <c r="AA190" s="1703" t="s">
        <v>1715</v>
      </c>
      <c r="AB190" s="1703" t="s">
        <v>1715</v>
      </c>
      <c r="AC190" s="1703" t="s">
        <v>1715</v>
      </c>
      <c r="AD190" s="1703" t="s">
        <v>1715</v>
      </c>
      <c r="AE190" s="1703" t="s">
        <v>1715</v>
      </c>
      <c r="AF190" s="1703" t="s">
        <v>1715</v>
      </c>
      <c r="AG190" s="1703" t="s">
        <v>1715</v>
      </c>
      <c r="AH190" s="1703" t="s">
        <v>1715</v>
      </c>
      <c r="AI190" s="1703" t="s">
        <v>1715</v>
      </c>
      <c r="AJ190" s="1703" t="s">
        <v>1715</v>
      </c>
      <c r="AK190" s="1703" t="s">
        <v>1715</v>
      </c>
      <c r="AL190" s="1703" t="s">
        <v>1715</v>
      </c>
      <c r="AM190" s="1703" t="s">
        <v>1715</v>
      </c>
      <c r="AN190" s="1703" t="s">
        <v>1715</v>
      </c>
      <c r="AO190" s="1703" t="s">
        <v>1715</v>
      </c>
      <c r="AP190" s="1703">
        <v>269400.33299999998</v>
      </c>
      <c r="AQ190" s="1703">
        <v>338646.66200000001</v>
      </c>
      <c r="AR190" s="1700" t="s">
        <v>1735</v>
      </c>
    </row>
    <row r="191" spans="1:44" s="1589" customFormat="1" ht="11.25" customHeight="1">
      <c r="A191" s="1588"/>
      <c r="B191" s="1997"/>
      <c r="C191" s="1743"/>
      <c r="D191" s="1743"/>
      <c r="E191" s="1739"/>
      <c r="W191" s="1712"/>
      <c r="X191" s="1713"/>
      <c r="Y191" s="1713"/>
      <c r="Z191" s="1713"/>
      <c r="AA191" s="1713"/>
      <c r="AB191" s="1713"/>
      <c r="AC191" s="1713"/>
      <c r="AD191" s="1713"/>
      <c r="AE191" s="1713"/>
      <c r="AF191" s="1591"/>
      <c r="AG191" s="1591"/>
      <c r="AH191" s="1591"/>
      <c r="AK191" s="1717"/>
      <c r="AL191" s="1717"/>
      <c r="AM191" s="1717"/>
      <c r="AN191" s="1717"/>
      <c r="AO191" s="1717"/>
      <c r="AP191" s="1717"/>
      <c r="AQ191" s="1717"/>
      <c r="AR191" s="1717"/>
    </row>
    <row r="192" spans="1:44" s="1589" customFormat="1" ht="11.25" customHeight="1">
      <c r="A192" s="1588"/>
      <c r="B192" s="1997"/>
      <c r="C192" s="1996" t="s">
        <v>657</v>
      </c>
      <c r="D192" s="1996"/>
      <c r="E192" s="1996"/>
      <c r="R192" s="1590"/>
      <c r="S192" s="1590"/>
      <c r="T192" s="1590"/>
      <c r="U192" s="1590"/>
      <c r="V192" s="1598"/>
      <c r="W192" s="1722">
        <f t="shared" ref="W192:AL192" si="18">SUM(W183:W188)</f>
        <v>578100</v>
      </c>
      <c r="X192" s="1722">
        <f t="shared" si="18"/>
        <v>769400</v>
      </c>
      <c r="Y192" s="1722">
        <f t="shared" si="18"/>
        <v>834900</v>
      </c>
      <c r="Z192" s="1722">
        <f t="shared" si="18"/>
        <v>938000</v>
      </c>
      <c r="AA192" s="1722">
        <f t="shared" si="18"/>
        <v>974800</v>
      </c>
      <c r="AB192" s="1722">
        <f t="shared" si="18"/>
        <v>1130200</v>
      </c>
      <c r="AC192" s="1722">
        <f t="shared" si="18"/>
        <v>1161000</v>
      </c>
      <c r="AD192" s="1722">
        <f t="shared" si="18"/>
        <v>1373695.3069703032</v>
      </c>
      <c r="AE192" s="1722">
        <f t="shared" si="18"/>
        <v>1629900</v>
      </c>
      <c r="AF192" s="1722">
        <f t="shared" si="18"/>
        <v>1640900</v>
      </c>
      <c r="AG192" s="1722">
        <f t="shared" si="18"/>
        <v>1570000</v>
      </c>
      <c r="AH192" s="1722">
        <f t="shared" si="18"/>
        <v>2046300</v>
      </c>
      <c r="AI192" s="1722">
        <f t="shared" si="18"/>
        <v>2127800</v>
      </c>
      <c r="AJ192" s="1722">
        <f t="shared" si="18"/>
        <v>2360000</v>
      </c>
      <c r="AK192" s="1721">
        <f t="shared" si="18"/>
        <v>2124300</v>
      </c>
      <c r="AL192" s="1721">
        <f t="shared" si="18"/>
        <v>1559500</v>
      </c>
      <c r="AM192" s="1721">
        <f>SUM(AM182:AM191)</f>
        <v>1933500</v>
      </c>
      <c r="AN192" s="1721">
        <f>SUM(AN182:AN191)</f>
        <v>1914900</v>
      </c>
      <c r="AO192" s="1721">
        <f>SUM(AO182:AO191)</f>
        <v>2077500</v>
      </c>
      <c r="AP192" s="1721">
        <f>SUM(AP182:AP191)</f>
        <v>3748987.057</v>
      </c>
      <c r="AQ192" s="1721">
        <f>SUM(AQ182:AQ191)</f>
        <v>4129898.6939999997</v>
      </c>
      <c r="AR192" s="1744"/>
    </row>
    <row r="193" spans="1:44" s="1589" customFormat="1" ht="11.25" customHeight="1" thickBot="1">
      <c r="A193" s="1588"/>
      <c r="B193" s="1991" t="s">
        <v>24</v>
      </c>
      <c r="C193" s="1991"/>
      <c r="D193" s="1991"/>
      <c r="E193" s="1992"/>
      <c r="R193" s="1590"/>
      <c r="S193" s="1590"/>
      <c r="T193" s="1590"/>
      <c r="U193" s="1590"/>
      <c r="V193" s="1598"/>
      <c r="W193" s="1722">
        <f t="shared" ref="W193:AL193" si="19">W143+W146+W151+W160+W168+W179+W192</f>
        <v>1065630</v>
      </c>
      <c r="X193" s="1722">
        <f t="shared" si="19"/>
        <v>1398120</v>
      </c>
      <c r="Y193" s="1722">
        <f t="shared" si="19"/>
        <v>1662060</v>
      </c>
      <c r="Z193" s="1722">
        <f t="shared" si="19"/>
        <v>1999740</v>
      </c>
      <c r="AA193" s="1722">
        <f t="shared" si="19"/>
        <v>2233800</v>
      </c>
      <c r="AB193" s="1722">
        <f t="shared" si="19"/>
        <v>2878500</v>
      </c>
      <c r="AC193" s="1722">
        <f t="shared" si="19"/>
        <v>3144200</v>
      </c>
      <c r="AD193" s="1722">
        <f t="shared" si="19"/>
        <v>4066695.3069703029</v>
      </c>
      <c r="AE193" s="1722">
        <f t="shared" si="19"/>
        <v>5239900</v>
      </c>
      <c r="AF193" s="1722">
        <f t="shared" si="19"/>
        <v>5159100</v>
      </c>
      <c r="AG193" s="1722">
        <f t="shared" si="19"/>
        <v>4508000</v>
      </c>
      <c r="AH193" s="1722">
        <f t="shared" si="19"/>
        <v>4646600</v>
      </c>
      <c r="AI193" s="1722">
        <f t="shared" si="19"/>
        <v>4982474</v>
      </c>
      <c r="AJ193" s="1722">
        <f t="shared" si="19"/>
        <v>5261589</v>
      </c>
      <c r="AK193" s="1722">
        <f t="shared" si="19"/>
        <v>4937879</v>
      </c>
      <c r="AL193" s="1722">
        <f t="shared" si="19"/>
        <v>5254626</v>
      </c>
      <c r="AM193" s="1722">
        <f>AM143+AM146+AM151+AM160+AM168+AM179+AM181+AM192</f>
        <v>11558819</v>
      </c>
      <c r="AN193" s="1722">
        <f>AN143+AN146+AN151+AN160+AN168+AN179+AN181+AN192</f>
        <v>12082524</v>
      </c>
      <c r="AO193" s="1722">
        <f>AO143+AO146+AO151+AO160+AO168+AO179+AO181+AO192</f>
        <v>14644634.298854999</v>
      </c>
      <c r="AP193" s="1722">
        <f>AP143+AP146+AP151+AP160+AP168+AP179+AP181+AP192</f>
        <v>16794169.781635001</v>
      </c>
      <c r="AQ193" s="1722">
        <f>AQ143+AQ146+AQ151+AQ160+AQ168+AQ179+AQ181+AQ192</f>
        <v>17705287.635570999</v>
      </c>
      <c r="AR193" s="1708"/>
    </row>
    <row r="194" spans="1:44" s="1589" customFormat="1" ht="32.25" customHeight="1">
      <c r="A194" s="1588"/>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row>
    <row r="195" spans="1:44" s="1589" customFormat="1">
      <c r="A195" s="1588"/>
      <c r="R195" s="1590"/>
      <c r="S195" s="1590"/>
      <c r="T195" s="1590"/>
      <c r="U195" s="1590"/>
      <c r="V195" s="1590"/>
      <c r="W195" s="1590"/>
      <c r="X195" s="1591"/>
      <c r="Y195" s="1591"/>
      <c r="Z195" s="1592"/>
      <c r="AA195" s="1591"/>
      <c r="AB195" s="1591"/>
      <c r="AC195" s="1591"/>
      <c r="AD195" s="1592"/>
      <c r="AE195" s="1592"/>
      <c r="AF195" s="1592"/>
      <c r="AG195" s="1591"/>
      <c r="AH195" s="1591"/>
      <c r="AI195" s="1591"/>
      <c r="AJ195" s="1591"/>
      <c r="AK195" s="1591"/>
      <c r="AL195" s="1591"/>
      <c r="AM195" s="1591"/>
      <c r="AN195" s="1591"/>
      <c r="AO195" s="1591"/>
      <c r="AP195" s="1591"/>
    </row>
    <row r="196" spans="1:44" s="1589" customFormat="1">
      <c r="A196" s="1588"/>
      <c r="R196" s="1590"/>
      <c r="S196" s="1590"/>
      <c r="T196" s="1590"/>
      <c r="U196" s="1590"/>
      <c r="V196" s="1590"/>
      <c r="W196" s="1590"/>
      <c r="X196" s="1591"/>
      <c r="Y196" s="1591"/>
      <c r="Z196" s="1592"/>
      <c r="AA196" s="1591"/>
      <c r="AB196" s="1591"/>
      <c r="AC196" s="1591"/>
      <c r="AD196" s="1592"/>
      <c r="AE196" s="1592"/>
      <c r="AF196" s="1592"/>
      <c r="AG196" s="1591"/>
      <c r="AH196" s="1591"/>
      <c r="AI196" s="1591"/>
      <c r="AJ196" s="1591"/>
      <c r="AK196" s="1591"/>
      <c r="AL196" s="1591"/>
      <c r="AM196" s="1591"/>
      <c r="AN196" s="1591"/>
      <c r="AO196" s="1591"/>
      <c r="AP196" s="1591"/>
    </row>
    <row r="197" spans="1:44" s="1589" customFormat="1">
      <c r="A197" s="1588"/>
      <c r="R197" s="1590"/>
      <c r="S197" s="1590"/>
      <c r="T197" s="1590"/>
      <c r="U197" s="1590"/>
      <c r="V197" s="1590"/>
      <c r="W197" s="1590"/>
      <c r="X197" s="1591"/>
      <c r="Y197" s="1591"/>
      <c r="Z197" s="1592"/>
      <c r="AA197" s="1591"/>
      <c r="AB197" s="1591"/>
      <c r="AC197" s="1591"/>
      <c r="AD197" s="1592"/>
      <c r="AE197" s="1592"/>
      <c r="AF197" s="1592"/>
      <c r="AG197" s="1591"/>
      <c r="AH197" s="1591"/>
      <c r="AI197" s="1591"/>
      <c r="AJ197" s="1591"/>
      <c r="AK197" s="1591"/>
      <c r="AL197" s="1591"/>
      <c r="AM197" s="1591"/>
      <c r="AN197" s="1591"/>
      <c r="AO197" s="1591"/>
      <c r="AP197" s="1591"/>
    </row>
    <row r="198" spans="1:44" s="1589" customFormat="1">
      <c r="A198" s="1588"/>
      <c r="R198" s="1590"/>
      <c r="S198" s="1590"/>
      <c r="T198" s="1590"/>
      <c r="U198" s="1590"/>
      <c r="V198" s="1590"/>
      <c r="W198" s="1590"/>
      <c r="X198" s="1591"/>
      <c r="Y198" s="1591"/>
      <c r="Z198" s="1592"/>
      <c r="AA198" s="1591"/>
      <c r="AB198" s="1591"/>
      <c r="AC198" s="1591"/>
      <c r="AD198" s="1592"/>
      <c r="AE198" s="1592"/>
      <c r="AF198" s="1592"/>
      <c r="AG198" s="1591"/>
      <c r="AH198" s="1591"/>
      <c r="AI198" s="1591"/>
      <c r="AJ198" s="1591"/>
      <c r="AK198" s="1591"/>
      <c r="AL198" s="1591"/>
      <c r="AM198" s="1591"/>
      <c r="AN198" s="1591"/>
      <c r="AO198" s="1591"/>
      <c r="AP198" s="1591"/>
    </row>
    <row r="199" spans="1:44" s="1589" customFormat="1">
      <c r="A199" s="1588"/>
      <c r="R199" s="1590"/>
      <c r="S199" s="1590"/>
      <c r="T199" s="1590"/>
      <c r="U199" s="1590"/>
      <c r="V199" s="1590"/>
      <c r="W199" s="1590"/>
      <c r="X199" s="1591"/>
      <c r="Y199" s="1591"/>
      <c r="Z199" s="1592"/>
      <c r="AA199" s="1591"/>
      <c r="AB199" s="1591"/>
      <c r="AC199" s="1591"/>
      <c r="AD199" s="1592"/>
      <c r="AE199" s="1592"/>
      <c r="AF199" s="1592"/>
      <c r="AG199" s="1591"/>
      <c r="AH199" s="1591"/>
      <c r="AI199" s="1591"/>
      <c r="AJ199" s="1591"/>
      <c r="AK199" s="1591"/>
      <c r="AL199" s="1591"/>
      <c r="AM199" s="1591"/>
      <c r="AN199" s="1591"/>
      <c r="AO199" s="1591"/>
      <c r="AP199" s="1591"/>
    </row>
    <row r="200" spans="1:44" s="1589" customFormat="1">
      <c r="A200" s="1588"/>
      <c r="R200" s="1590"/>
      <c r="S200" s="1590"/>
      <c r="T200" s="1590"/>
      <c r="U200" s="1590"/>
      <c r="V200" s="1590"/>
      <c r="W200" s="1590"/>
      <c r="X200" s="1591"/>
      <c r="Y200" s="1591"/>
      <c r="Z200" s="1592"/>
      <c r="AA200" s="1591"/>
      <c r="AB200" s="1591"/>
      <c r="AC200" s="1591"/>
      <c r="AD200" s="1592"/>
      <c r="AE200" s="1592"/>
      <c r="AF200" s="1592"/>
      <c r="AG200" s="1591"/>
      <c r="AH200" s="1591"/>
      <c r="AI200" s="1591"/>
      <c r="AJ200" s="1591"/>
      <c r="AK200" s="1591"/>
      <c r="AL200" s="1591"/>
      <c r="AM200" s="1591"/>
      <c r="AN200" s="1591"/>
      <c r="AO200" s="1591"/>
      <c r="AP200" s="1591"/>
    </row>
    <row r="201" spans="1:44" s="1589" customFormat="1">
      <c r="A201" s="1588"/>
      <c r="R201" s="1590"/>
      <c r="S201" s="1590"/>
      <c r="T201" s="1590"/>
      <c r="U201" s="1590"/>
      <c r="V201" s="1590"/>
      <c r="W201" s="1590"/>
      <c r="X201" s="1591"/>
      <c r="Y201" s="1591"/>
      <c r="Z201" s="1592"/>
      <c r="AA201" s="1591"/>
      <c r="AB201" s="1591"/>
      <c r="AC201" s="1591"/>
      <c r="AD201" s="1592"/>
      <c r="AE201" s="1592"/>
      <c r="AF201" s="1592"/>
      <c r="AG201" s="1591"/>
      <c r="AH201" s="1591"/>
      <c r="AI201" s="1591"/>
      <c r="AJ201" s="1591"/>
      <c r="AK201" s="1591"/>
      <c r="AL201" s="1591"/>
      <c r="AM201" s="1591"/>
      <c r="AN201" s="1591"/>
      <c r="AO201" s="1591"/>
      <c r="AP201" s="1591"/>
    </row>
    <row r="202" spans="1:44" s="1589" customFormat="1">
      <c r="A202" s="1588"/>
      <c r="R202" s="1590"/>
      <c r="S202" s="1590"/>
      <c r="T202" s="1590"/>
      <c r="U202" s="1590"/>
      <c r="V202" s="1590"/>
      <c r="W202" s="1590"/>
      <c r="X202" s="1591"/>
      <c r="Y202" s="1591"/>
      <c r="Z202" s="1592"/>
      <c r="AA202" s="1591"/>
      <c r="AB202" s="1591"/>
      <c r="AC202" s="1591"/>
      <c r="AD202" s="1592"/>
      <c r="AE202" s="1592"/>
      <c r="AF202" s="1592"/>
      <c r="AG202" s="1591"/>
      <c r="AH202" s="1591"/>
      <c r="AI202" s="1591"/>
      <c r="AJ202" s="1591"/>
      <c r="AK202" s="1591"/>
      <c r="AL202" s="1591"/>
      <c r="AM202" s="1591"/>
      <c r="AN202" s="1591"/>
      <c r="AO202" s="1591"/>
      <c r="AP202" s="1591"/>
    </row>
    <row r="203" spans="1:44" s="1589" customFormat="1">
      <c r="A203" s="1588"/>
      <c r="R203" s="1590"/>
      <c r="S203" s="1590"/>
      <c r="T203" s="1590"/>
      <c r="U203" s="1590"/>
      <c r="V203" s="1590"/>
      <c r="W203" s="1590"/>
      <c r="X203" s="1591"/>
      <c r="Y203" s="1591"/>
      <c r="Z203" s="1592"/>
      <c r="AA203" s="1591"/>
      <c r="AB203" s="1591"/>
      <c r="AC203" s="1591"/>
      <c r="AD203" s="1592"/>
      <c r="AE203" s="1592"/>
      <c r="AF203" s="1592"/>
      <c r="AG203" s="1591"/>
      <c r="AH203" s="1591"/>
      <c r="AI203" s="1591"/>
      <c r="AJ203" s="1591"/>
      <c r="AK203" s="1591"/>
      <c r="AL203" s="1591"/>
      <c r="AM203" s="1591"/>
      <c r="AN203" s="1591"/>
      <c r="AO203" s="1591"/>
      <c r="AP203" s="1591"/>
    </row>
    <row r="204" spans="1:44" s="1589" customFormat="1">
      <c r="A204" s="1588"/>
      <c r="R204" s="1590"/>
      <c r="S204" s="1590"/>
      <c r="T204" s="1590"/>
      <c r="U204" s="1590"/>
      <c r="V204" s="1590"/>
      <c r="W204" s="1590"/>
      <c r="X204" s="1591"/>
      <c r="Y204" s="1591"/>
      <c r="Z204" s="1592"/>
      <c r="AA204" s="1591"/>
      <c r="AB204" s="1591"/>
      <c r="AC204" s="1591"/>
      <c r="AD204" s="1592"/>
      <c r="AE204" s="1592"/>
      <c r="AF204" s="1592"/>
      <c r="AG204" s="1591"/>
      <c r="AH204" s="1591"/>
      <c r="AI204" s="1591"/>
      <c r="AJ204" s="1591"/>
      <c r="AK204" s="1591"/>
      <c r="AL204" s="1591"/>
      <c r="AM204" s="1591"/>
      <c r="AN204" s="1591"/>
      <c r="AO204" s="1591"/>
      <c r="AP204" s="1591"/>
    </row>
    <row r="205" spans="1:44" s="1589" customFormat="1">
      <c r="A205" s="1588"/>
      <c r="R205" s="1590"/>
      <c r="S205" s="1590"/>
      <c r="T205" s="1590"/>
      <c r="U205" s="1590"/>
      <c r="V205" s="1590"/>
      <c r="W205" s="1590"/>
      <c r="X205" s="1591"/>
      <c r="Y205" s="1591"/>
      <c r="Z205" s="1592"/>
      <c r="AA205" s="1591"/>
      <c r="AB205" s="1591"/>
      <c r="AC205" s="1591"/>
      <c r="AD205" s="1592"/>
      <c r="AE205" s="1592"/>
      <c r="AF205" s="1592"/>
      <c r="AG205" s="1591"/>
      <c r="AH205" s="1591"/>
      <c r="AI205" s="1591"/>
      <c r="AJ205" s="1591"/>
      <c r="AK205" s="1591"/>
      <c r="AL205" s="1591"/>
      <c r="AM205" s="1591"/>
      <c r="AN205" s="1591"/>
      <c r="AO205" s="1591"/>
      <c r="AP205" s="1591"/>
    </row>
    <row r="206" spans="1:44" s="1589" customFormat="1">
      <c r="A206" s="1588"/>
      <c r="R206" s="1590"/>
      <c r="S206" s="1590"/>
      <c r="T206" s="1590"/>
      <c r="U206" s="1590"/>
      <c r="V206" s="1590"/>
      <c r="W206" s="1590"/>
      <c r="X206" s="1591"/>
      <c r="Y206" s="1591"/>
      <c r="Z206" s="1592"/>
      <c r="AA206" s="1591"/>
      <c r="AB206" s="1591"/>
      <c r="AC206" s="1591"/>
      <c r="AD206" s="1592"/>
      <c r="AE206" s="1592"/>
      <c r="AF206" s="1592"/>
      <c r="AG206" s="1591"/>
      <c r="AH206" s="1591"/>
      <c r="AI206" s="1591"/>
      <c r="AJ206" s="1591"/>
      <c r="AK206" s="1591"/>
      <c r="AL206" s="1591"/>
      <c r="AM206" s="1591"/>
      <c r="AN206" s="1591"/>
      <c r="AO206" s="1591"/>
      <c r="AP206" s="1591"/>
    </row>
    <row r="207" spans="1:44" s="1589" customFormat="1">
      <c r="A207" s="1588"/>
      <c r="R207" s="1590"/>
      <c r="S207" s="1590"/>
      <c r="T207" s="1590"/>
      <c r="U207" s="1590"/>
      <c r="V207" s="1590"/>
      <c r="W207" s="1590"/>
      <c r="X207" s="1591"/>
      <c r="Y207" s="1591"/>
      <c r="Z207" s="1592"/>
      <c r="AA207" s="1591"/>
      <c r="AB207" s="1591"/>
      <c r="AC207" s="1591"/>
      <c r="AD207" s="1592"/>
      <c r="AE207" s="1592"/>
      <c r="AF207" s="1592"/>
      <c r="AG207" s="1591"/>
      <c r="AH207" s="1591"/>
      <c r="AI207" s="1591"/>
      <c r="AJ207" s="1591"/>
      <c r="AK207" s="1591"/>
      <c r="AL207" s="1591"/>
      <c r="AM207" s="1591"/>
      <c r="AN207" s="1591"/>
      <c r="AO207" s="1591"/>
      <c r="AP207" s="1591"/>
    </row>
    <row r="208" spans="1:44" s="1589" customFormat="1">
      <c r="A208" s="1588"/>
      <c r="R208" s="1590"/>
      <c r="S208" s="1590"/>
      <c r="T208" s="1590"/>
      <c r="U208" s="1590"/>
      <c r="V208" s="1590"/>
      <c r="W208" s="1590"/>
      <c r="X208" s="1591"/>
      <c r="Y208" s="1591"/>
      <c r="Z208" s="1592"/>
      <c r="AA208" s="1591"/>
      <c r="AB208" s="1591"/>
      <c r="AC208" s="1591"/>
      <c r="AD208" s="1592"/>
      <c r="AE208" s="1592"/>
      <c r="AF208" s="1592"/>
      <c r="AG208" s="1591"/>
      <c r="AH208" s="1591"/>
      <c r="AI208" s="1591"/>
      <c r="AJ208" s="1591"/>
      <c r="AK208" s="1591"/>
      <c r="AL208" s="1591"/>
      <c r="AM208" s="1591"/>
      <c r="AN208" s="1591"/>
      <c r="AO208" s="1591"/>
      <c r="AP208" s="1591"/>
    </row>
    <row r="209" spans="1:42" s="1589" customFormat="1">
      <c r="A209" s="1588"/>
      <c r="R209" s="1590"/>
      <c r="S209" s="1590"/>
      <c r="T209" s="1590"/>
      <c r="U209" s="1590"/>
      <c r="V209" s="1590"/>
      <c r="W209" s="1590"/>
      <c r="X209" s="1591"/>
      <c r="Y209" s="1591"/>
      <c r="Z209" s="1592"/>
      <c r="AA209" s="1591"/>
      <c r="AB209" s="1591"/>
      <c r="AC209" s="1591"/>
      <c r="AD209" s="1592"/>
      <c r="AE209" s="1592"/>
      <c r="AF209" s="1592"/>
      <c r="AG209" s="1591"/>
      <c r="AH209" s="1591"/>
      <c r="AI209" s="1591"/>
      <c r="AJ209" s="1591"/>
      <c r="AK209" s="1591"/>
      <c r="AL209" s="1591"/>
      <c r="AM209" s="1591"/>
      <c r="AN209" s="1591"/>
      <c r="AO209" s="1591"/>
      <c r="AP209" s="1591"/>
    </row>
    <row r="210" spans="1:42" s="1589" customFormat="1">
      <c r="A210" s="1588"/>
      <c r="R210" s="1590"/>
      <c r="S210" s="1590"/>
      <c r="T210" s="1590"/>
      <c r="U210" s="1590"/>
      <c r="V210" s="1590"/>
      <c r="W210" s="1590"/>
      <c r="X210" s="1591"/>
      <c r="Y210" s="1591"/>
      <c r="Z210" s="1592"/>
      <c r="AA210" s="1591"/>
      <c r="AB210" s="1591"/>
      <c r="AC210" s="1591"/>
      <c r="AD210" s="1592"/>
      <c r="AE210" s="1592"/>
      <c r="AF210" s="1592"/>
      <c r="AG210" s="1591"/>
      <c r="AH210" s="1591"/>
      <c r="AI210" s="1591"/>
      <c r="AJ210" s="1591"/>
      <c r="AK210" s="1591"/>
      <c r="AL210" s="1591"/>
      <c r="AM210" s="1591"/>
      <c r="AN210" s="1591"/>
      <c r="AO210" s="1591"/>
      <c r="AP210" s="1591"/>
    </row>
    <row r="211" spans="1:42" s="1589" customFormat="1">
      <c r="A211" s="1588"/>
      <c r="R211" s="1590"/>
      <c r="S211" s="1590"/>
      <c r="T211" s="1590"/>
      <c r="U211" s="1590"/>
      <c r="V211" s="1590"/>
      <c r="W211" s="1590"/>
      <c r="X211" s="1591"/>
      <c r="Y211" s="1591"/>
      <c r="Z211" s="1592"/>
      <c r="AA211" s="1591"/>
      <c r="AB211" s="1591"/>
      <c r="AC211" s="1591"/>
      <c r="AD211" s="1592"/>
      <c r="AE211" s="1592"/>
      <c r="AF211" s="1592"/>
      <c r="AG211" s="1591"/>
      <c r="AH211" s="1591"/>
      <c r="AI211" s="1591"/>
      <c r="AJ211" s="1591"/>
      <c r="AK211" s="1591"/>
      <c r="AL211" s="1591"/>
      <c r="AM211" s="1591"/>
      <c r="AN211" s="1591"/>
      <c r="AO211" s="1591"/>
      <c r="AP211" s="1591"/>
    </row>
    <row r="212" spans="1:42" s="1589" customFormat="1">
      <c r="A212" s="1588"/>
      <c r="R212" s="1590"/>
      <c r="S212" s="1590"/>
      <c r="T212" s="1590"/>
      <c r="U212" s="1590"/>
      <c r="V212" s="1590"/>
      <c r="W212" s="1590"/>
      <c r="X212" s="1591"/>
      <c r="Y212" s="1591"/>
      <c r="Z212" s="1592"/>
      <c r="AA212" s="1591"/>
      <c r="AB212" s="1591"/>
      <c r="AC212" s="1591"/>
      <c r="AD212" s="1592"/>
      <c r="AE212" s="1592"/>
      <c r="AF212" s="1592"/>
      <c r="AG212" s="1591"/>
      <c r="AH212" s="1591"/>
      <c r="AI212" s="1591"/>
      <c r="AJ212" s="1591"/>
      <c r="AK212" s="1591"/>
      <c r="AL212" s="1591"/>
      <c r="AM212" s="1591"/>
      <c r="AN212" s="1591"/>
      <c r="AO212" s="1591"/>
      <c r="AP212" s="1591"/>
    </row>
    <row r="213" spans="1:42" s="1589" customFormat="1">
      <c r="A213" s="1588"/>
      <c r="R213" s="1590"/>
      <c r="S213" s="1590"/>
      <c r="T213" s="1590"/>
      <c r="U213" s="1590"/>
      <c r="V213" s="1590"/>
      <c r="W213" s="1590"/>
      <c r="X213" s="1591"/>
      <c r="Y213" s="1591"/>
      <c r="Z213" s="1592"/>
      <c r="AA213" s="1591"/>
      <c r="AB213" s="1591"/>
      <c r="AC213" s="1591"/>
      <c r="AD213" s="1592"/>
      <c r="AE213" s="1592"/>
      <c r="AF213" s="1592"/>
      <c r="AG213" s="1591"/>
      <c r="AH213" s="1591"/>
      <c r="AI213" s="1591"/>
      <c r="AJ213" s="1591"/>
      <c r="AK213" s="1591"/>
      <c r="AL213" s="1591"/>
      <c r="AM213" s="1591"/>
      <c r="AN213" s="1591"/>
      <c r="AO213" s="1591"/>
      <c r="AP213" s="1591"/>
    </row>
    <row r="214" spans="1:42" s="1589" customFormat="1">
      <c r="A214" s="1588"/>
      <c r="R214" s="1590"/>
      <c r="S214" s="1590"/>
      <c r="T214" s="1590"/>
      <c r="U214" s="1590"/>
      <c r="V214" s="1590"/>
      <c r="W214" s="1590"/>
      <c r="X214" s="1591"/>
      <c r="Y214" s="1591"/>
      <c r="Z214" s="1592"/>
      <c r="AA214" s="1591"/>
      <c r="AB214" s="1591"/>
      <c r="AC214" s="1591"/>
      <c r="AD214" s="1592"/>
      <c r="AE214" s="1592"/>
      <c r="AF214" s="1592"/>
      <c r="AG214" s="1591"/>
      <c r="AH214" s="1591"/>
      <c r="AI214" s="1591"/>
      <c r="AJ214" s="1591"/>
      <c r="AK214" s="1591"/>
      <c r="AL214" s="1591"/>
      <c r="AM214" s="1591"/>
      <c r="AN214" s="1591"/>
      <c r="AO214" s="1591"/>
      <c r="AP214" s="1591"/>
    </row>
    <row r="215" spans="1:42" s="1589" customFormat="1">
      <c r="A215" s="1588"/>
      <c r="R215" s="1590"/>
      <c r="S215" s="1590"/>
      <c r="T215" s="1590"/>
      <c r="U215" s="1590"/>
      <c r="V215" s="1590"/>
      <c r="W215" s="1590"/>
      <c r="X215" s="1591"/>
      <c r="Y215" s="1591"/>
      <c r="Z215" s="1592"/>
      <c r="AA215" s="1591"/>
      <c r="AB215" s="1591"/>
      <c r="AC215" s="1591"/>
      <c r="AD215" s="1592"/>
      <c r="AE215" s="1592"/>
      <c r="AF215" s="1592"/>
      <c r="AG215" s="1591"/>
      <c r="AH215" s="1591"/>
      <c r="AI215" s="1591"/>
      <c r="AJ215" s="1591"/>
      <c r="AK215" s="1591"/>
      <c r="AL215" s="1591"/>
      <c r="AM215" s="1591"/>
      <c r="AN215" s="1591"/>
      <c r="AO215" s="1591"/>
      <c r="AP215" s="1591"/>
    </row>
    <row r="216" spans="1:42" s="1589" customFormat="1">
      <c r="A216" s="1588"/>
      <c r="R216" s="1590"/>
      <c r="S216" s="1590"/>
      <c r="T216" s="1590"/>
      <c r="U216" s="1590"/>
      <c r="V216" s="1590"/>
      <c r="W216" s="1590"/>
      <c r="X216" s="1591"/>
      <c r="Y216" s="1591"/>
      <c r="Z216" s="1592"/>
      <c r="AA216" s="1591"/>
      <c r="AB216" s="1591"/>
      <c r="AC216" s="1591"/>
      <c r="AD216" s="1592"/>
      <c r="AE216" s="1592"/>
      <c r="AF216" s="1592"/>
      <c r="AG216" s="1591"/>
      <c r="AH216" s="1591"/>
      <c r="AI216" s="1591"/>
      <c r="AJ216" s="1591"/>
      <c r="AK216" s="1591"/>
      <c r="AL216" s="1591"/>
      <c r="AM216" s="1591"/>
      <c r="AN216" s="1591"/>
      <c r="AO216" s="1591"/>
      <c r="AP216" s="1591"/>
    </row>
    <row r="217" spans="1:42" s="1589" customFormat="1">
      <c r="A217" s="1588"/>
      <c r="R217" s="1590"/>
      <c r="S217" s="1590"/>
      <c r="T217" s="1590"/>
      <c r="U217" s="1590"/>
      <c r="V217" s="1590"/>
      <c r="W217" s="1590"/>
      <c r="X217" s="1591"/>
      <c r="Y217" s="1591"/>
      <c r="Z217" s="1592"/>
      <c r="AA217" s="1591"/>
      <c r="AB217" s="1591"/>
      <c r="AC217" s="1591"/>
      <c r="AD217" s="1592"/>
      <c r="AE217" s="1592"/>
      <c r="AF217" s="1592"/>
      <c r="AG217" s="1591"/>
      <c r="AH217" s="1591"/>
      <c r="AI217" s="1591"/>
      <c r="AJ217" s="1591"/>
      <c r="AK217" s="1591"/>
      <c r="AL217" s="1591"/>
      <c r="AM217" s="1591"/>
      <c r="AN217" s="1591"/>
      <c r="AO217" s="1591"/>
      <c r="AP217" s="1591"/>
    </row>
    <row r="218" spans="1:42" s="1589" customFormat="1">
      <c r="A218" s="1588"/>
      <c r="R218" s="1590"/>
      <c r="S218" s="1590"/>
      <c r="T218" s="1590"/>
      <c r="U218" s="1590"/>
      <c r="V218" s="1590"/>
      <c r="W218" s="1590"/>
      <c r="X218" s="1591"/>
      <c r="Y218" s="1591"/>
      <c r="Z218" s="1592"/>
      <c r="AA218" s="1591"/>
      <c r="AB218" s="1591"/>
      <c r="AC218" s="1591"/>
      <c r="AD218" s="1592"/>
      <c r="AE218" s="1592"/>
      <c r="AF218" s="1592"/>
      <c r="AG218" s="1591"/>
      <c r="AH218" s="1591"/>
      <c r="AI218" s="1591"/>
      <c r="AJ218" s="1591"/>
      <c r="AK218" s="1591"/>
      <c r="AL218" s="1591"/>
      <c r="AM218" s="1591"/>
      <c r="AN218" s="1591"/>
      <c r="AO218" s="1591"/>
      <c r="AP218" s="1591"/>
    </row>
    <row r="219" spans="1:42" s="1589" customFormat="1">
      <c r="A219" s="1588"/>
      <c r="R219" s="1590"/>
      <c r="S219" s="1590"/>
      <c r="T219" s="1590"/>
      <c r="U219" s="1590"/>
      <c r="V219" s="1590"/>
      <c r="W219" s="1590"/>
      <c r="X219" s="1591"/>
      <c r="Y219" s="1591"/>
      <c r="Z219" s="1592"/>
      <c r="AA219" s="1591"/>
      <c r="AB219" s="1591"/>
      <c r="AC219" s="1591"/>
      <c r="AD219" s="1592"/>
      <c r="AE219" s="1592"/>
      <c r="AF219" s="1592"/>
      <c r="AG219" s="1591"/>
      <c r="AH219" s="1591"/>
      <c r="AI219" s="1591"/>
      <c r="AJ219" s="1591"/>
      <c r="AK219" s="1591"/>
      <c r="AL219" s="1591"/>
      <c r="AM219" s="1591"/>
      <c r="AN219" s="1591"/>
      <c r="AO219" s="1591"/>
      <c r="AP219" s="1591"/>
    </row>
    <row r="220" spans="1:42" s="1589" customFormat="1">
      <c r="A220" s="1588"/>
      <c r="R220" s="1590"/>
      <c r="S220" s="1590"/>
      <c r="T220" s="1590"/>
      <c r="U220" s="1590"/>
      <c r="V220" s="1590"/>
      <c r="W220" s="1590"/>
      <c r="X220" s="1591"/>
      <c r="Y220" s="1591"/>
      <c r="Z220" s="1592"/>
      <c r="AA220" s="1591"/>
      <c r="AB220" s="1591"/>
      <c r="AC220" s="1591"/>
      <c r="AD220" s="1592"/>
      <c r="AE220" s="1592"/>
      <c r="AF220" s="1592"/>
      <c r="AG220" s="1591"/>
      <c r="AH220" s="1591"/>
      <c r="AI220" s="1591"/>
      <c r="AJ220" s="1591"/>
      <c r="AK220" s="1591"/>
      <c r="AL220" s="1591"/>
      <c r="AM220" s="1591"/>
      <c r="AN220" s="1591"/>
      <c r="AO220" s="1591"/>
      <c r="AP220" s="1591"/>
    </row>
    <row r="221" spans="1:42" s="1589" customFormat="1">
      <c r="A221" s="1588"/>
      <c r="R221" s="1590"/>
      <c r="S221" s="1590"/>
      <c r="T221" s="1590"/>
      <c r="U221" s="1590"/>
      <c r="V221" s="1590"/>
      <c r="W221" s="1590"/>
      <c r="X221" s="1591"/>
      <c r="Y221" s="1591"/>
      <c r="Z221" s="1592"/>
      <c r="AA221" s="1591"/>
      <c r="AB221" s="1591"/>
      <c r="AC221" s="1591"/>
      <c r="AD221" s="1592"/>
      <c r="AE221" s="1592"/>
      <c r="AF221" s="1592"/>
      <c r="AG221" s="1591"/>
      <c r="AH221" s="1591"/>
      <c r="AI221" s="1591"/>
      <c r="AJ221" s="1591"/>
      <c r="AK221" s="1591"/>
      <c r="AL221" s="1591"/>
      <c r="AM221" s="1591"/>
      <c r="AN221" s="1591"/>
      <c r="AO221" s="1591"/>
      <c r="AP221" s="1591"/>
    </row>
    <row r="222" spans="1:42" s="1589" customFormat="1">
      <c r="A222" s="1588"/>
      <c r="R222" s="1590"/>
      <c r="S222" s="1590"/>
      <c r="T222" s="1590"/>
      <c r="U222" s="1590"/>
      <c r="V222" s="1590"/>
      <c r="W222" s="1590"/>
      <c r="X222" s="1591"/>
      <c r="Y222" s="1591"/>
      <c r="Z222" s="1592"/>
      <c r="AA222" s="1591"/>
      <c r="AB222" s="1591"/>
      <c r="AC222" s="1591"/>
      <c r="AD222" s="1592"/>
      <c r="AE222" s="1592"/>
      <c r="AF222" s="1592"/>
      <c r="AG222" s="1591"/>
      <c r="AH222" s="1591"/>
      <c r="AI222" s="1591"/>
      <c r="AJ222" s="1591"/>
      <c r="AK222" s="1591"/>
      <c r="AL222" s="1591"/>
      <c r="AM222" s="1591"/>
      <c r="AN222" s="1591"/>
      <c r="AO222" s="1591"/>
      <c r="AP222" s="1591"/>
    </row>
    <row r="223" spans="1:42" s="1589" customFormat="1">
      <c r="A223" s="1588"/>
      <c r="R223" s="1590"/>
      <c r="S223" s="1590"/>
      <c r="T223" s="1590"/>
      <c r="U223" s="1590"/>
      <c r="V223" s="1590"/>
      <c r="W223" s="1590"/>
      <c r="X223" s="1591"/>
      <c r="Y223" s="1591"/>
      <c r="Z223" s="1592"/>
      <c r="AA223" s="1591"/>
      <c r="AB223" s="1591"/>
      <c r="AC223" s="1591"/>
      <c r="AD223" s="1592"/>
      <c r="AE223" s="1592"/>
      <c r="AF223" s="1592"/>
      <c r="AG223" s="1591"/>
      <c r="AH223" s="1591"/>
      <c r="AI223" s="1591"/>
      <c r="AJ223" s="1591"/>
      <c r="AK223" s="1591"/>
      <c r="AL223" s="1591"/>
      <c r="AM223" s="1591"/>
      <c r="AN223" s="1591"/>
      <c r="AO223" s="1591"/>
      <c r="AP223" s="1591"/>
    </row>
    <row r="224" spans="1:42" s="1589" customFormat="1">
      <c r="A224" s="1588"/>
      <c r="R224" s="1590"/>
      <c r="S224" s="1590"/>
      <c r="T224" s="1590"/>
      <c r="U224" s="1590"/>
      <c r="V224" s="1590"/>
      <c r="W224" s="1590"/>
      <c r="X224" s="1591"/>
      <c r="Y224" s="1591"/>
      <c r="Z224" s="1592"/>
      <c r="AA224" s="1591"/>
      <c r="AB224" s="1591"/>
      <c r="AC224" s="1591"/>
      <c r="AD224" s="1592"/>
      <c r="AE224" s="1592"/>
      <c r="AF224" s="1592"/>
      <c r="AG224" s="1591"/>
      <c r="AH224" s="1591"/>
      <c r="AI224" s="1591"/>
      <c r="AJ224" s="1591"/>
      <c r="AK224" s="1591"/>
      <c r="AL224" s="1591"/>
      <c r="AM224" s="1591"/>
      <c r="AN224" s="1591"/>
      <c r="AO224" s="1591"/>
      <c r="AP224" s="1591"/>
    </row>
    <row r="225" spans="1:42" s="1589" customFormat="1">
      <c r="A225" s="1588"/>
      <c r="R225" s="1590"/>
      <c r="S225" s="1590"/>
      <c r="T225" s="1590"/>
      <c r="U225" s="1590"/>
      <c r="V225" s="1590"/>
      <c r="W225" s="1590"/>
      <c r="X225" s="1591"/>
      <c r="Y225" s="1591"/>
      <c r="Z225" s="1592"/>
      <c r="AA225" s="1591"/>
      <c r="AB225" s="1591"/>
      <c r="AC225" s="1591"/>
      <c r="AD225" s="1592"/>
      <c r="AE225" s="1592"/>
      <c r="AF225" s="1592"/>
      <c r="AG225" s="1591"/>
      <c r="AH225" s="1591"/>
      <c r="AI225" s="1591"/>
      <c r="AJ225" s="1591"/>
      <c r="AK225" s="1591"/>
      <c r="AL225" s="1591"/>
      <c r="AM225" s="1591"/>
      <c r="AN225" s="1591"/>
      <c r="AO225" s="1591"/>
      <c r="AP225" s="1591"/>
    </row>
    <row r="226" spans="1:42" s="1589" customFormat="1">
      <c r="A226" s="1588"/>
      <c r="R226" s="1590"/>
      <c r="S226" s="1590"/>
      <c r="T226" s="1590"/>
      <c r="U226" s="1590"/>
      <c r="V226" s="1590"/>
      <c r="W226" s="1590"/>
      <c r="X226" s="1591"/>
      <c r="Y226" s="1591"/>
      <c r="Z226" s="1592"/>
      <c r="AA226" s="1591"/>
      <c r="AB226" s="1591"/>
      <c r="AC226" s="1591"/>
      <c r="AD226" s="1592"/>
      <c r="AE226" s="1592"/>
      <c r="AF226" s="1592"/>
      <c r="AG226" s="1591"/>
      <c r="AH226" s="1591"/>
      <c r="AI226" s="1591"/>
      <c r="AJ226" s="1591"/>
      <c r="AK226" s="1591"/>
      <c r="AL226" s="1591"/>
      <c r="AM226" s="1591"/>
      <c r="AN226" s="1591"/>
      <c r="AO226" s="1591"/>
      <c r="AP226" s="1591"/>
    </row>
    <row r="227" spans="1:42" s="1589" customFormat="1">
      <c r="A227" s="1588"/>
      <c r="R227" s="1590"/>
      <c r="S227" s="1590"/>
      <c r="T227" s="1590"/>
      <c r="U227" s="1590"/>
      <c r="V227" s="1590"/>
      <c r="W227" s="1590"/>
      <c r="X227" s="1591"/>
      <c r="Y227" s="1591"/>
      <c r="Z227" s="1592"/>
      <c r="AA227" s="1591"/>
      <c r="AB227" s="1591"/>
      <c r="AC227" s="1591"/>
      <c r="AD227" s="1592"/>
      <c r="AE227" s="1592"/>
      <c r="AF227" s="1592"/>
      <c r="AG227" s="1591"/>
      <c r="AH227" s="1591"/>
      <c r="AI227" s="1591"/>
      <c r="AJ227" s="1591"/>
      <c r="AK227" s="1591"/>
      <c r="AL227" s="1591"/>
      <c r="AM227" s="1591"/>
      <c r="AN227" s="1591"/>
      <c r="AO227" s="1591"/>
      <c r="AP227" s="1591"/>
    </row>
    <row r="228" spans="1:42" s="1589" customFormat="1">
      <c r="A228" s="1588"/>
      <c r="R228" s="1590"/>
      <c r="S228" s="1590"/>
      <c r="T228" s="1590"/>
      <c r="U228" s="1590"/>
      <c r="V228" s="1590"/>
      <c r="W228" s="1590"/>
      <c r="X228" s="1591"/>
      <c r="Y228" s="1591"/>
      <c r="Z228" s="1592"/>
      <c r="AA228" s="1591"/>
      <c r="AB228" s="1591"/>
      <c r="AC228" s="1591"/>
      <c r="AD228" s="1592"/>
      <c r="AE228" s="1592"/>
      <c r="AF228" s="1592"/>
      <c r="AG228" s="1591"/>
      <c r="AH228" s="1591"/>
      <c r="AI228" s="1591"/>
      <c r="AJ228" s="1591"/>
      <c r="AK228" s="1591"/>
      <c r="AL228" s="1591"/>
      <c r="AM228" s="1591"/>
      <c r="AN228" s="1591"/>
      <c r="AO228" s="1591"/>
      <c r="AP228" s="1591"/>
    </row>
    <row r="229" spans="1:42" s="1589" customFormat="1">
      <c r="A229" s="1588"/>
      <c r="R229" s="1590"/>
      <c r="S229" s="1590"/>
      <c r="T229" s="1590"/>
      <c r="U229" s="1590"/>
      <c r="V229" s="1590"/>
      <c r="W229" s="1590"/>
      <c r="X229" s="1591"/>
      <c r="Y229" s="1591"/>
      <c r="Z229" s="1592"/>
      <c r="AA229" s="1591"/>
      <c r="AB229" s="1591"/>
      <c r="AC229" s="1591"/>
      <c r="AD229" s="1592"/>
      <c r="AE229" s="1592"/>
      <c r="AF229" s="1592"/>
      <c r="AG229" s="1591"/>
      <c r="AH229" s="1591"/>
      <c r="AI229" s="1591"/>
      <c r="AJ229" s="1591"/>
      <c r="AK229" s="1591"/>
      <c r="AL229" s="1591"/>
      <c r="AM229" s="1591"/>
      <c r="AN229" s="1591"/>
      <c r="AO229" s="1591"/>
      <c r="AP229" s="1591"/>
    </row>
    <row r="230" spans="1:42" s="1589" customFormat="1">
      <c r="A230" s="1588"/>
      <c r="R230" s="1590"/>
      <c r="S230" s="1590"/>
      <c r="T230" s="1590"/>
      <c r="U230" s="1590"/>
      <c r="V230" s="1590"/>
      <c r="W230" s="1590"/>
      <c r="X230" s="1591"/>
      <c r="Y230" s="1591"/>
      <c r="Z230" s="1592"/>
      <c r="AA230" s="1591"/>
      <c r="AB230" s="1591"/>
      <c r="AC230" s="1591"/>
      <c r="AD230" s="1592"/>
      <c r="AE230" s="1592"/>
      <c r="AF230" s="1592"/>
      <c r="AG230" s="1591"/>
      <c r="AH230" s="1591"/>
      <c r="AI230" s="1591"/>
      <c r="AJ230" s="1591"/>
      <c r="AK230" s="1591"/>
      <c r="AL230" s="1591"/>
      <c r="AM230" s="1591"/>
      <c r="AN230" s="1591"/>
      <c r="AO230" s="1591"/>
      <c r="AP230" s="1591"/>
    </row>
    <row r="231" spans="1:42" s="1589" customFormat="1">
      <c r="A231" s="1588"/>
      <c r="R231" s="1590"/>
      <c r="S231" s="1590"/>
      <c r="T231" s="1590"/>
      <c r="U231" s="1590"/>
      <c r="V231" s="1590"/>
      <c r="W231" s="1590"/>
      <c r="X231" s="1591"/>
      <c r="Y231" s="1591"/>
      <c r="Z231" s="1592"/>
      <c r="AA231" s="1591"/>
      <c r="AB231" s="1591"/>
      <c r="AC231" s="1591"/>
      <c r="AD231" s="1592"/>
      <c r="AE231" s="1592"/>
      <c r="AF231" s="1592"/>
      <c r="AG231" s="1591"/>
      <c r="AH231" s="1591"/>
      <c r="AI231" s="1591"/>
      <c r="AJ231" s="1591"/>
      <c r="AK231" s="1591"/>
      <c r="AL231" s="1591"/>
      <c r="AM231" s="1591"/>
      <c r="AN231" s="1591"/>
      <c r="AO231" s="1591"/>
      <c r="AP231" s="1591"/>
    </row>
    <row r="232" spans="1:42" s="1589" customFormat="1">
      <c r="A232" s="1588"/>
      <c r="R232" s="1590"/>
      <c r="S232" s="1590"/>
      <c r="T232" s="1590"/>
      <c r="U232" s="1590"/>
      <c r="V232" s="1590"/>
      <c r="W232" s="1590"/>
      <c r="X232" s="1591"/>
      <c r="Y232" s="1591"/>
      <c r="Z232" s="1592"/>
      <c r="AA232" s="1591"/>
      <c r="AB232" s="1591"/>
      <c r="AC232" s="1591"/>
      <c r="AD232" s="1592"/>
      <c r="AE232" s="1592"/>
      <c r="AF232" s="1592"/>
      <c r="AG232" s="1591"/>
      <c r="AH232" s="1591"/>
      <c r="AI232" s="1591"/>
      <c r="AJ232" s="1591"/>
      <c r="AK232" s="1591"/>
      <c r="AL232" s="1591"/>
      <c r="AM232" s="1591"/>
      <c r="AN232" s="1591"/>
      <c r="AO232" s="1591"/>
      <c r="AP232" s="1591"/>
    </row>
  </sheetData>
  <mergeCells count="36">
    <mergeCell ref="C170:C178"/>
    <mergeCell ref="D170:D175"/>
    <mergeCell ref="D176:D177"/>
    <mergeCell ref="C168:E168"/>
    <mergeCell ref="B161:B168"/>
    <mergeCell ref="C161:C162"/>
    <mergeCell ref="C163:C166"/>
    <mergeCell ref="D164:D166"/>
    <mergeCell ref="B137:B143"/>
    <mergeCell ref="C139:C142"/>
    <mergeCell ref="D139:D141"/>
    <mergeCell ref="C143:E143"/>
    <mergeCell ref="B144:B146"/>
    <mergeCell ref="C146:E146"/>
    <mergeCell ref="A15:AQ15"/>
    <mergeCell ref="B123:AF123"/>
    <mergeCell ref="B135:B136"/>
    <mergeCell ref="C135:C136"/>
    <mergeCell ref="D135:D136"/>
    <mergeCell ref="E135:E136"/>
    <mergeCell ref="B87:AF87"/>
    <mergeCell ref="C148:C150"/>
    <mergeCell ref="B152:B160"/>
    <mergeCell ref="C155:C159"/>
    <mergeCell ref="D155:D156"/>
    <mergeCell ref="C160:E160"/>
    <mergeCell ref="C151:E151"/>
    <mergeCell ref="B147:B151"/>
    <mergeCell ref="B193:E193"/>
    <mergeCell ref="C179:E179"/>
    <mergeCell ref="C181:E181"/>
    <mergeCell ref="B182:B192"/>
    <mergeCell ref="C183:C190"/>
    <mergeCell ref="D183:D186"/>
    <mergeCell ref="D187:D190"/>
    <mergeCell ref="C192:E192"/>
  </mergeCells>
  <pageMargins left="0.70866141732283472" right="0.70866141732283472" top="0.74803149606299213" bottom="0.74803149606299213" header="0.31496062992125984" footer="0.31496062992125984"/>
  <pageSetup paperSize="9" scale="34"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T131"/>
  <sheetViews>
    <sheetView topLeftCell="B15" zoomScale="85" zoomScaleNormal="85" workbookViewId="0">
      <selection activeCell="B15" sqref="A1:XFD1048576"/>
    </sheetView>
  </sheetViews>
  <sheetFormatPr defaultColWidth="8.6640625" defaultRowHeight="15" outlineLevelRow="1" outlineLevelCol="1"/>
  <cols>
    <col min="1" max="1" width="0" style="545" hidden="1" customWidth="1" outlineLevel="1"/>
    <col min="2" max="2" width="9" style="545" customWidth="1" collapsed="1"/>
    <col min="3" max="3" width="8.6640625" style="545"/>
    <col min="4" max="4" width="11.88671875" style="545" customWidth="1"/>
    <col min="5" max="32" width="0" style="545" hidden="1" customWidth="1"/>
    <col min="33" max="38" width="8.109375" style="545" customWidth="1"/>
    <col min="39" max="43" width="7.6640625" style="1745" customWidth="1"/>
    <col min="44" max="16384" width="8.6640625" style="545"/>
  </cols>
  <sheetData>
    <row r="1" spans="1:43" hidden="1" outlineLevel="1">
      <c r="A1" s="165"/>
      <c r="B1" s="170" t="s">
        <v>1600</v>
      </c>
      <c r="C1" s="165"/>
      <c r="D1" s="165"/>
      <c r="E1" s="165"/>
      <c r="F1" s="165"/>
      <c r="G1" s="165"/>
      <c r="H1" s="165"/>
      <c r="I1" s="165"/>
      <c r="J1" s="165"/>
      <c r="K1" s="165"/>
      <c r="L1" s="165"/>
      <c r="M1" s="165"/>
      <c r="N1" s="165"/>
      <c r="O1" s="165"/>
      <c r="P1" s="165"/>
      <c r="Q1" s="165"/>
      <c r="R1" s="165"/>
      <c r="S1" s="165"/>
      <c r="T1" s="165"/>
      <c r="U1" s="165"/>
      <c r="V1" s="165"/>
      <c r="W1" s="165"/>
      <c r="X1" s="75"/>
      <c r="Y1" s="75"/>
      <c r="Z1" s="75"/>
      <c r="AA1" s="75"/>
      <c r="AB1" s="75"/>
      <c r="AC1" s="75"/>
      <c r="AD1" s="75"/>
      <c r="AE1" s="75"/>
      <c r="AF1" s="75"/>
      <c r="AG1" s="547"/>
      <c r="AH1" s="547"/>
      <c r="AI1" s="547"/>
      <c r="AJ1" s="165"/>
      <c r="AK1" s="165"/>
      <c r="AL1" s="165"/>
      <c r="AM1" s="946"/>
      <c r="AN1" s="946"/>
      <c r="AO1" s="946"/>
      <c r="AP1" s="946"/>
    </row>
    <row r="2" spans="1:43" hidden="1" outlineLevel="1">
      <c r="A2" s="165"/>
      <c r="B2" s="165"/>
      <c r="C2" s="165"/>
      <c r="D2" s="165"/>
      <c r="E2" s="165"/>
      <c r="F2" s="165"/>
      <c r="G2" s="165"/>
      <c r="H2" s="165"/>
      <c r="I2" s="165"/>
      <c r="J2" s="165"/>
      <c r="K2" s="165"/>
      <c r="L2" s="165"/>
      <c r="M2" s="165"/>
      <c r="N2" s="165"/>
      <c r="O2" s="165"/>
      <c r="P2" s="165"/>
      <c r="Q2" s="165"/>
      <c r="R2" s="165"/>
      <c r="S2" s="165"/>
      <c r="T2" s="165"/>
      <c r="U2" s="165"/>
      <c r="V2" s="206"/>
      <c r="W2" s="165"/>
      <c r="X2" s="75"/>
      <c r="Y2" s="75"/>
      <c r="Z2" s="75"/>
      <c r="AA2" s="75"/>
      <c r="AB2" s="75"/>
      <c r="AC2" s="75"/>
      <c r="AD2" s="75"/>
      <c r="AE2" s="75"/>
      <c r="AF2" s="75"/>
      <c r="AG2" s="547"/>
      <c r="AH2" s="547"/>
      <c r="AI2" s="547"/>
      <c r="AJ2" s="165"/>
      <c r="AK2" s="165"/>
      <c r="AL2" s="165"/>
      <c r="AM2" s="946"/>
      <c r="AN2" s="946"/>
      <c r="AO2" s="946"/>
      <c r="AP2" s="946"/>
    </row>
    <row r="3" spans="1:43" hidden="1" outlineLevel="1">
      <c r="A3" s="165"/>
      <c r="B3" s="165"/>
      <c r="C3" s="165"/>
      <c r="D3" s="165"/>
      <c r="E3" s="165"/>
      <c r="F3" s="165"/>
      <c r="G3" s="165"/>
      <c r="H3" s="165"/>
      <c r="I3" s="165"/>
      <c r="J3" s="165"/>
      <c r="K3" s="165"/>
      <c r="L3" s="165"/>
      <c r="M3" s="165"/>
      <c r="N3" s="165"/>
      <c r="O3" s="165"/>
      <c r="P3" s="165"/>
      <c r="Q3" s="165"/>
      <c r="R3" s="165"/>
      <c r="S3" s="165"/>
      <c r="T3" s="165"/>
      <c r="U3" s="165"/>
      <c r="V3" s="165"/>
      <c r="W3" s="165"/>
      <c r="X3" s="75"/>
      <c r="Y3" s="75"/>
      <c r="Z3" s="75"/>
      <c r="AA3" s="75"/>
      <c r="AB3" s="75"/>
      <c r="AC3" s="75"/>
      <c r="AD3" s="75"/>
      <c r="AE3" s="75"/>
      <c r="AF3" s="75"/>
      <c r="AG3" s="547"/>
      <c r="AH3" s="547"/>
      <c r="AI3" s="547"/>
      <c r="AJ3" s="165"/>
      <c r="AK3" s="165"/>
      <c r="AL3" s="165"/>
      <c r="AM3" s="946"/>
      <c r="AN3" s="946"/>
      <c r="AO3" s="946"/>
      <c r="AP3" s="946"/>
    </row>
    <row r="4" spans="1:43" hidden="1" outlineLevel="1">
      <c r="A4" s="165"/>
      <c r="B4" s="165" t="s">
        <v>1</v>
      </c>
      <c r="C4" s="165"/>
      <c r="D4" s="165"/>
      <c r="E4" s="165"/>
      <c r="F4" s="165"/>
      <c r="G4" s="165"/>
      <c r="H4" s="165"/>
      <c r="I4" s="165"/>
      <c r="J4" s="165"/>
      <c r="K4" s="165"/>
      <c r="L4" s="165"/>
      <c r="M4" s="165"/>
      <c r="N4" s="165"/>
      <c r="O4" s="165"/>
      <c r="P4" s="165"/>
      <c r="Q4" s="165"/>
      <c r="R4" s="165">
        <v>1995</v>
      </c>
      <c r="S4" s="165"/>
      <c r="T4" s="165">
        <v>1997</v>
      </c>
      <c r="U4" s="165"/>
      <c r="V4" s="165">
        <v>1999</v>
      </c>
      <c r="W4" s="165"/>
      <c r="X4" s="75">
        <v>2001</v>
      </c>
      <c r="Y4" s="75"/>
      <c r="Z4" s="75">
        <v>2003</v>
      </c>
      <c r="AA4" s="75"/>
      <c r="AB4" s="75">
        <v>2005</v>
      </c>
      <c r="AC4" s="75"/>
      <c r="AD4" s="75">
        <v>2007</v>
      </c>
      <c r="AE4" s="75"/>
      <c r="AF4" s="75">
        <v>2009</v>
      </c>
      <c r="AG4" s="202">
        <v>2010</v>
      </c>
      <c r="AH4" s="202">
        <v>2011</v>
      </c>
      <c r="AI4" s="202">
        <v>2012</v>
      </c>
      <c r="AJ4" s="202">
        <v>2013</v>
      </c>
      <c r="AK4" s="202">
        <v>2014</v>
      </c>
      <c r="AL4" s="202">
        <v>2015</v>
      </c>
      <c r="AM4" s="174">
        <v>2016</v>
      </c>
      <c r="AN4" s="174">
        <v>2017</v>
      </c>
      <c r="AO4" s="174">
        <v>2018</v>
      </c>
      <c r="AP4" s="174">
        <v>2019</v>
      </c>
      <c r="AQ4" s="174">
        <v>2020</v>
      </c>
    </row>
    <row r="5" spans="1:43" hidden="1" outlineLevel="1">
      <c r="A5" s="165"/>
      <c r="B5" s="165"/>
      <c r="C5" s="165"/>
      <c r="D5" s="165"/>
      <c r="E5" s="165"/>
      <c r="F5" s="165"/>
      <c r="G5" s="165"/>
      <c r="H5" s="165"/>
      <c r="I5" s="165"/>
      <c r="J5" s="165"/>
      <c r="K5" s="165"/>
      <c r="L5" s="165"/>
      <c r="M5" s="165"/>
      <c r="N5" s="165"/>
      <c r="O5" s="165"/>
      <c r="P5" s="165"/>
      <c r="Q5" s="165"/>
      <c r="R5" s="165"/>
      <c r="S5" s="165"/>
      <c r="T5" s="165"/>
      <c r="U5" s="165"/>
      <c r="V5" s="165"/>
      <c r="W5" s="165"/>
      <c r="X5" s="75"/>
      <c r="Y5" s="75"/>
      <c r="Z5" s="75"/>
      <c r="AA5" s="75"/>
      <c r="AB5" s="75"/>
      <c r="AC5" s="75"/>
      <c r="AD5" s="75"/>
      <c r="AE5" s="75"/>
      <c r="AF5" s="75"/>
      <c r="AG5" s="547"/>
      <c r="AH5" s="547"/>
      <c r="AI5" s="547"/>
      <c r="AJ5" s="165"/>
      <c r="AK5" s="547"/>
      <c r="AL5" s="165"/>
      <c r="AM5" s="946"/>
      <c r="AN5" s="946"/>
      <c r="AO5" s="946"/>
      <c r="AP5" s="946"/>
      <c r="AQ5" s="946"/>
    </row>
    <row r="6" spans="1:43" hidden="1" outlineLevel="1">
      <c r="A6" s="165" t="s">
        <v>2</v>
      </c>
      <c r="B6" s="165" t="s">
        <v>3</v>
      </c>
      <c r="C6" s="165"/>
      <c r="D6" s="165"/>
      <c r="E6" s="165"/>
      <c r="F6" s="165"/>
      <c r="G6" s="165"/>
      <c r="H6" s="165"/>
      <c r="I6" s="165"/>
      <c r="J6" s="165"/>
      <c r="K6" s="165"/>
      <c r="L6" s="165"/>
      <c r="M6" s="165"/>
      <c r="N6" s="165"/>
      <c r="O6" s="168"/>
      <c r="P6" s="168"/>
      <c r="Q6" s="168"/>
      <c r="R6" s="168"/>
      <c r="S6" s="168"/>
      <c r="T6" s="168"/>
      <c r="U6" s="168"/>
      <c r="V6" s="168">
        <v>0</v>
      </c>
      <c r="W6" s="168"/>
      <c r="X6" s="166">
        <f>X95</f>
        <v>0</v>
      </c>
      <c r="Y6" s="166"/>
      <c r="Z6" s="166">
        <f t="shared" ref="Z6:AQ6" si="0">Z95</f>
        <v>0</v>
      </c>
      <c r="AA6" s="166"/>
      <c r="AB6" s="166">
        <f t="shared" si="0"/>
        <v>0</v>
      </c>
      <c r="AC6" s="166"/>
      <c r="AD6" s="166">
        <f t="shared" si="0"/>
        <v>0</v>
      </c>
      <c r="AE6" s="166"/>
      <c r="AF6" s="166">
        <f t="shared" si="0"/>
        <v>0</v>
      </c>
      <c r="AG6" s="166">
        <f t="shared" si="0"/>
        <v>0</v>
      </c>
      <c r="AH6" s="166">
        <f t="shared" si="0"/>
        <v>0</v>
      </c>
      <c r="AI6" s="166">
        <f t="shared" si="0"/>
        <v>0</v>
      </c>
      <c r="AJ6" s="166">
        <f t="shared" si="0"/>
        <v>0</v>
      </c>
      <c r="AK6" s="166">
        <f t="shared" si="0"/>
        <v>0</v>
      </c>
      <c r="AL6" s="166">
        <f t="shared" si="0"/>
        <v>0</v>
      </c>
      <c r="AM6" s="970">
        <f>AM95</f>
        <v>92.47999999999999</v>
      </c>
      <c r="AN6" s="970">
        <f t="shared" si="0"/>
        <v>136.76999999999998</v>
      </c>
      <c r="AO6" s="970">
        <f t="shared" si="0"/>
        <v>7.68</v>
      </c>
      <c r="AP6" s="970">
        <f t="shared" si="0"/>
        <v>8.1370000000000005</v>
      </c>
      <c r="AQ6" s="970">
        <f t="shared" si="0"/>
        <v>12.192</v>
      </c>
    </row>
    <row r="7" spans="1:43" hidden="1" outlineLevel="1">
      <c r="A7" s="165" t="s">
        <v>4</v>
      </c>
      <c r="B7" s="165" t="s">
        <v>5</v>
      </c>
      <c r="C7" s="165"/>
      <c r="D7" s="165"/>
      <c r="E7" s="165"/>
      <c r="F7" s="165"/>
      <c r="G7" s="165"/>
      <c r="H7" s="165"/>
      <c r="I7" s="165"/>
      <c r="J7" s="165"/>
      <c r="K7" s="165"/>
      <c r="L7" s="165"/>
      <c r="M7" s="165"/>
      <c r="N7" s="165"/>
      <c r="O7" s="168"/>
      <c r="P7" s="168"/>
      <c r="Q7" s="168"/>
      <c r="R7" s="168"/>
      <c r="S7" s="168"/>
      <c r="T7" s="168"/>
      <c r="U7" s="168"/>
      <c r="V7" s="173">
        <f>V103</f>
        <v>0</v>
      </c>
      <c r="W7" s="168"/>
      <c r="X7" s="256">
        <f>X103</f>
        <v>0</v>
      </c>
      <c r="Y7" s="169"/>
      <c r="Z7" s="256">
        <f>Z103</f>
        <v>0</v>
      </c>
      <c r="AA7" s="169"/>
      <c r="AB7" s="256">
        <f>AB103</f>
        <v>0</v>
      </c>
      <c r="AC7" s="169"/>
      <c r="AD7" s="256">
        <f>AD103</f>
        <v>0</v>
      </c>
      <c r="AE7" s="169"/>
      <c r="AF7" s="256">
        <f t="shared" ref="AF7:AQ7" si="1">AF103</f>
        <v>0</v>
      </c>
      <c r="AG7" s="256">
        <f t="shared" si="1"/>
        <v>0</v>
      </c>
      <c r="AH7" s="256">
        <f t="shared" si="1"/>
        <v>0</v>
      </c>
      <c r="AI7" s="256">
        <f t="shared" si="1"/>
        <v>0</v>
      </c>
      <c r="AJ7" s="256">
        <f t="shared" si="1"/>
        <v>0</v>
      </c>
      <c r="AK7" s="256">
        <f t="shared" si="1"/>
        <v>0</v>
      </c>
      <c r="AL7" s="256">
        <f t="shared" si="1"/>
        <v>0</v>
      </c>
      <c r="AM7" s="973">
        <f t="shared" si="1"/>
        <v>8.2799999999999994</v>
      </c>
      <c r="AN7" s="973">
        <f t="shared" si="1"/>
        <v>9.74</v>
      </c>
      <c r="AO7" s="973">
        <f t="shared" si="1"/>
        <v>12.93</v>
      </c>
      <c r="AP7" s="973">
        <f t="shared" si="1"/>
        <v>10.503398096400002</v>
      </c>
      <c r="AQ7" s="973">
        <f t="shared" si="1"/>
        <v>11.138510553900002</v>
      </c>
    </row>
    <row r="8" spans="1:43" hidden="1" outlineLevel="1">
      <c r="A8" s="165" t="s">
        <v>6</v>
      </c>
      <c r="B8" s="165"/>
      <c r="C8" s="165"/>
      <c r="D8" s="165"/>
      <c r="E8" s="165"/>
      <c r="F8" s="165"/>
      <c r="G8" s="165"/>
      <c r="H8" s="165"/>
      <c r="I8" s="165"/>
      <c r="J8" s="165"/>
      <c r="K8" s="165"/>
      <c r="L8" s="165"/>
      <c r="M8" s="165"/>
      <c r="N8" s="165"/>
      <c r="O8" s="168"/>
      <c r="P8" s="168"/>
      <c r="Q8" s="168"/>
      <c r="R8" s="168"/>
      <c r="S8" s="168"/>
      <c r="T8" s="168"/>
      <c r="U8" s="168"/>
      <c r="V8" s="168">
        <f>V6+V7</f>
        <v>0</v>
      </c>
      <c r="W8" s="168"/>
      <c r="X8" s="166">
        <f>X6+X7</f>
        <v>0</v>
      </c>
      <c r="Y8" s="166"/>
      <c r="Z8" s="166">
        <f>Z6+Z7</f>
        <v>0</v>
      </c>
      <c r="AA8" s="166"/>
      <c r="AB8" s="166">
        <f>AB6+AB7</f>
        <v>0</v>
      </c>
      <c r="AC8" s="166"/>
      <c r="AD8" s="166">
        <f>AD6+AD7</f>
        <v>0</v>
      </c>
      <c r="AE8" s="166"/>
      <c r="AF8" s="166">
        <f t="shared" ref="AF8:AQ8" si="2">AF6+AF7</f>
        <v>0</v>
      </c>
      <c r="AG8" s="166">
        <f t="shared" si="2"/>
        <v>0</v>
      </c>
      <c r="AH8" s="166">
        <f t="shared" si="2"/>
        <v>0</v>
      </c>
      <c r="AI8" s="166">
        <f t="shared" si="2"/>
        <v>0</v>
      </c>
      <c r="AJ8" s="166">
        <f t="shared" si="2"/>
        <v>0</v>
      </c>
      <c r="AK8" s="166">
        <f t="shared" si="2"/>
        <v>0</v>
      </c>
      <c r="AL8" s="166">
        <f t="shared" si="2"/>
        <v>0</v>
      </c>
      <c r="AM8" s="970">
        <f t="shared" si="2"/>
        <v>100.75999999999999</v>
      </c>
      <c r="AN8" s="970">
        <f t="shared" si="2"/>
        <v>146.51</v>
      </c>
      <c r="AO8" s="970">
        <f t="shared" si="2"/>
        <v>20.61</v>
      </c>
      <c r="AP8" s="970">
        <f t="shared" si="2"/>
        <v>18.640398096400002</v>
      </c>
      <c r="AQ8" s="970">
        <f t="shared" si="2"/>
        <v>23.330510553900002</v>
      </c>
    </row>
    <row r="9" spans="1:43" hidden="1" outlineLevel="1">
      <c r="A9" s="165"/>
      <c r="B9" s="165"/>
      <c r="C9" s="165"/>
      <c r="D9" s="165"/>
      <c r="E9" s="165"/>
      <c r="F9" s="165"/>
      <c r="G9" s="165"/>
      <c r="H9" s="165"/>
      <c r="I9" s="165"/>
      <c r="J9" s="165"/>
      <c r="K9" s="165"/>
      <c r="L9" s="165"/>
      <c r="M9" s="165"/>
      <c r="N9" s="165"/>
      <c r="O9" s="168"/>
      <c r="P9" s="168"/>
      <c r="Q9" s="168"/>
      <c r="R9" s="168"/>
      <c r="S9" s="168"/>
      <c r="T9" s="168"/>
      <c r="U9" s="168"/>
      <c r="V9" s="168"/>
      <c r="W9" s="168"/>
      <c r="X9" s="166"/>
      <c r="Y9" s="166"/>
      <c r="Z9" s="166"/>
      <c r="AA9" s="166"/>
      <c r="AB9" s="166"/>
      <c r="AC9" s="166"/>
      <c r="AD9" s="166"/>
      <c r="AE9" s="166"/>
      <c r="AF9" s="166"/>
      <c r="AG9" s="166"/>
      <c r="AH9" s="166"/>
      <c r="AI9" s="166"/>
      <c r="AJ9" s="166"/>
      <c r="AK9" s="166"/>
      <c r="AL9" s="166"/>
      <c r="AM9" s="970"/>
      <c r="AN9" s="970"/>
      <c r="AO9" s="970"/>
      <c r="AP9" s="970"/>
      <c r="AQ9" s="970"/>
    </row>
    <row r="10" spans="1:43" hidden="1" outlineLevel="1">
      <c r="A10" s="165"/>
      <c r="B10" s="165" t="s">
        <v>110</v>
      </c>
      <c r="C10" s="165"/>
      <c r="D10" s="165"/>
      <c r="E10" s="165"/>
      <c r="F10" s="165"/>
      <c r="G10" s="165"/>
      <c r="H10" s="165"/>
      <c r="I10" s="165"/>
      <c r="J10" s="165"/>
      <c r="K10" s="165"/>
      <c r="L10" s="165"/>
      <c r="M10" s="165"/>
      <c r="N10" s="165"/>
      <c r="O10" s="168"/>
      <c r="P10" s="168"/>
      <c r="Q10" s="168"/>
      <c r="R10" s="168"/>
      <c r="S10" s="168"/>
      <c r="T10" s="168"/>
      <c r="U10" s="168"/>
      <c r="V10" s="168"/>
      <c r="W10" s="168"/>
      <c r="X10" s="166">
        <f>X107</f>
        <v>0</v>
      </c>
      <c r="Y10" s="166"/>
      <c r="Z10" s="166">
        <f>Z107</f>
        <v>0</v>
      </c>
      <c r="AA10" s="166"/>
      <c r="AB10" s="166">
        <f>AB107</f>
        <v>0</v>
      </c>
      <c r="AC10" s="166"/>
      <c r="AD10" s="166">
        <f>AD107</f>
        <v>0</v>
      </c>
      <c r="AE10" s="166"/>
      <c r="AF10" s="166">
        <f t="shared" ref="AF10:AQ10" si="3">AF107</f>
        <v>0</v>
      </c>
      <c r="AG10" s="166">
        <f t="shared" si="3"/>
        <v>0</v>
      </c>
      <c r="AH10" s="166">
        <f t="shared" si="3"/>
        <v>0</v>
      </c>
      <c r="AI10" s="166">
        <f t="shared" si="3"/>
        <v>0</v>
      </c>
      <c r="AJ10" s="166">
        <f t="shared" si="3"/>
        <v>0</v>
      </c>
      <c r="AK10" s="166">
        <f t="shared" si="3"/>
        <v>0</v>
      </c>
      <c r="AL10" s="166">
        <f t="shared" si="3"/>
        <v>0</v>
      </c>
      <c r="AM10" s="970">
        <f t="shared" si="3"/>
        <v>11.059999999999999</v>
      </c>
      <c r="AN10" s="970">
        <f t="shared" si="3"/>
        <v>11.770000000000001</v>
      </c>
      <c r="AO10" s="970">
        <f t="shared" si="3"/>
        <v>13.540000000000001</v>
      </c>
      <c r="AP10" s="970">
        <f t="shared" si="3"/>
        <v>16.062268920600001</v>
      </c>
      <c r="AQ10" s="970">
        <f t="shared" si="3"/>
        <v>16.241087601100002</v>
      </c>
    </row>
    <row r="11" spans="1:43" hidden="1" outlineLevel="1">
      <c r="A11" s="165"/>
      <c r="B11" s="165"/>
      <c r="C11" s="165"/>
      <c r="D11" s="165"/>
      <c r="E11" s="165"/>
      <c r="F11" s="165"/>
      <c r="G11" s="165"/>
      <c r="H11" s="165"/>
      <c r="I11" s="165"/>
      <c r="J11" s="165"/>
      <c r="K11" s="165"/>
      <c r="L11" s="165"/>
      <c r="M11" s="165"/>
      <c r="N11" s="165"/>
      <c r="O11" s="168"/>
      <c r="P11" s="168"/>
      <c r="Q11" s="168"/>
      <c r="R11" s="168"/>
      <c r="S11" s="168"/>
      <c r="T11" s="168"/>
      <c r="U11" s="168"/>
      <c r="V11" s="168"/>
      <c r="W11" s="168"/>
      <c r="X11" s="166"/>
      <c r="Y11" s="166"/>
      <c r="Z11" s="166"/>
      <c r="AA11" s="166"/>
      <c r="AB11" s="166"/>
      <c r="AC11" s="166"/>
      <c r="AD11" s="166"/>
      <c r="AE11" s="166"/>
      <c r="AF11" s="166"/>
      <c r="AG11" s="166"/>
      <c r="AH11" s="166"/>
      <c r="AI11" s="166"/>
      <c r="AJ11" s="166"/>
      <c r="AK11" s="166"/>
      <c r="AL11" s="166"/>
      <c r="AM11" s="970"/>
      <c r="AN11" s="970"/>
      <c r="AO11" s="970"/>
      <c r="AP11" s="970"/>
      <c r="AQ11" s="970"/>
    </row>
    <row r="12" spans="1:43" hidden="1" outlineLevel="1">
      <c r="A12" s="165"/>
      <c r="B12" s="165" t="s">
        <v>8</v>
      </c>
      <c r="C12" s="165"/>
      <c r="D12" s="165"/>
      <c r="E12" s="165"/>
      <c r="F12" s="165"/>
      <c r="G12" s="165"/>
      <c r="H12" s="165"/>
      <c r="I12" s="165"/>
      <c r="J12" s="165"/>
      <c r="K12" s="165"/>
      <c r="L12" s="165"/>
      <c r="M12" s="165"/>
      <c r="N12" s="165"/>
      <c r="O12" s="168"/>
      <c r="P12" s="168"/>
      <c r="Q12" s="168"/>
      <c r="R12" s="168"/>
      <c r="S12" s="168"/>
      <c r="T12" s="168"/>
      <c r="U12" s="168"/>
      <c r="V12" s="168"/>
      <c r="W12" s="168"/>
      <c r="X12" s="166">
        <f>X98</f>
        <v>0</v>
      </c>
      <c r="Y12" s="166"/>
      <c r="Z12" s="166">
        <f t="shared" ref="Z12:AF12" si="4">Z98</f>
        <v>0</v>
      </c>
      <c r="AA12" s="166"/>
      <c r="AB12" s="166">
        <f t="shared" si="4"/>
        <v>0</v>
      </c>
      <c r="AC12" s="166"/>
      <c r="AD12" s="166">
        <f t="shared" si="4"/>
        <v>0</v>
      </c>
      <c r="AE12" s="166"/>
      <c r="AF12" s="166">
        <f t="shared" si="4"/>
        <v>0</v>
      </c>
      <c r="AG12" s="166">
        <f>AG99</f>
        <v>0</v>
      </c>
      <c r="AH12" s="166">
        <f t="shared" ref="AH12:AQ12" si="5">AH99</f>
        <v>0</v>
      </c>
      <c r="AI12" s="166">
        <f t="shared" si="5"/>
        <v>0</v>
      </c>
      <c r="AJ12" s="166">
        <f t="shared" si="5"/>
        <v>0</v>
      </c>
      <c r="AK12" s="166">
        <f t="shared" si="5"/>
        <v>0</v>
      </c>
      <c r="AL12" s="166">
        <f t="shared" si="5"/>
        <v>0</v>
      </c>
      <c r="AM12" s="970">
        <f t="shared" si="5"/>
        <v>85.1</v>
      </c>
      <c r="AN12" s="970">
        <f t="shared" si="5"/>
        <v>129.1</v>
      </c>
      <c r="AO12" s="970" t="str">
        <f t="shared" si="5"/>
        <v>-</v>
      </c>
      <c r="AP12" s="970" t="str">
        <f t="shared" si="5"/>
        <v>-</v>
      </c>
      <c r="AQ12" s="970" t="str">
        <f t="shared" si="5"/>
        <v>-</v>
      </c>
    </row>
    <row r="13" spans="1:43" hidden="1" outlineLevel="1">
      <c r="A13" s="165"/>
      <c r="B13" s="165"/>
      <c r="C13" s="165"/>
      <c r="D13" s="165"/>
      <c r="E13" s="165"/>
      <c r="F13" s="165"/>
      <c r="G13" s="165"/>
      <c r="H13" s="165"/>
      <c r="I13" s="165"/>
      <c r="J13" s="165"/>
      <c r="K13" s="165"/>
      <c r="L13" s="165"/>
      <c r="M13" s="165"/>
      <c r="N13" s="165"/>
      <c r="O13" s="168"/>
      <c r="P13" s="168"/>
      <c r="Q13" s="168"/>
      <c r="R13" s="168"/>
      <c r="S13" s="168"/>
      <c r="T13" s="168"/>
      <c r="U13" s="168"/>
      <c r="V13" s="168"/>
      <c r="W13" s="168"/>
      <c r="X13" s="166"/>
      <c r="Y13" s="166"/>
      <c r="Z13" s="166"/>
      <c r="AA13" s="166"/>
      <c r="AB13" s="166"/>
      <c r="AC13" s="166"/>
      <c r="AD13" s="166"/>
      <c r="AE13" s="166"/>
      <c r="AF13" s="166"/>
      <c r="AG13" s="950"/>
      <c r="AH13" s="547"/>
      <c r="AI13" s="547"/>
      <c r="AJ13" s="165"/>
      <c r="AK13" s="165"/>
      <c r="AL13" s="165"/>
      <c r="AM13" s="946"/>
      <c r="AN13" s="946"/>
      <c r="AO13" s="946"/>
      <c r="AP13" s="946"/>
      <c r="AQ13" s="946"/>
    </row>
    <row r="14" spans="1:43" hidden="1" outlineLevel="1">
      <c r="A14" s="165"/>
      <c r="B14" s="165"/>
      <c r="C14" s="165"/>
      <c r="D14" s="165"/>
      <c r="E14" s="165"/>
      <c r="F14" s="165"/>
      <c r="G14" s="165"/>
      <c r="H14" s="165"/>
      <c r="I14" s="165"/>
      <c r="J14" s="165"/>
      <c r="K14" s="165"/>
      <c r="L14" s="165"/>
      <c r="M14" s="165"/>
      <c r="N14" s="165"/>
      <c r="O14" s="168"/>
      <c r="P14" s="168"/>
      <c r="Q14" s="168"/>
      <c r="R14" s="168"/>
      <c r="S14" s="168"/>
      <c r="T14" s="168"/>
      <c r="U14" s="168"/>
      <c r="V14" s="168"/>
      <c r="W14" s="168"/>
      <c r="X14" s="166"/>
      <c r="Y14" s="166"/>
      <c r="Z14" s="166"/>
      <c r="AA14" s="166"/>
      <c r="AB14" s="166"/>
      <c r="AC14" s="166"/>
      <c r="AD14" s="166"/>
      <c r="AE14" s="166"/>
      <c r="AF14" s="166"/>
      <c r="AG14" s="950"/>
      <c r="AH14" s="547"/>
      <c r="AI14" s="547"/>
      <c r="AJ14" s="165"/>
      <c r="AK14" s="165"/>
      <c r="AL14" s="165"/>
      <c r="AM14" s="946"/>
      <c r="AN14" s="946"/>
      <c r="AO14" s="946"/>
      <c r="AP14" s="946"/>
    </row>
    <row r="15" spans="1:43" ht="25.5" customHeight="1" collapsed="1">
      <c r="A15" s="165"/>
      <c r="B15" s="1924" t="s">
        <v>659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A16" s="165"/>
      <c r="B16" s="165"/>
      <c r="C16" s="165"/>
      <c r="D16" s="165"/>
      <c r="E16" s="165"/>
      <c r="F16" s="165"/>
      <c r="G16" s="165"/>
      <c r="H16" s="165"/>
      <c r="I16" s="165"/>
      <c r="J16" s="165"/>
      <c r="K16" s="165"/>
      <c r="L16" s="165"/>
      <c r="M16" s="165"/>
      <c r="N16" s="165"/>
      <c r="O16" s="168"/>
      <c r="P16" s="168"/>
      <c r="Q16" s="168"/>
      <c r="R16" s="168"/>
      <c r="S16" s="168"/>
      <c r="T16" s="168"/>
      <c r="U16" s="168"/>
      <c r="V16" s="168"/>
      <c r="W16" s="168"/>
      <c r="X16" s="169"/>
      <c r="Y16" s="166"/>
      <c r="Z16" s="166"/>
      <c r="AA16" s="166"/>
      <c r="AB16" s="166"/>
      <c r="AC16" s="166"/>
      <c r="AD16" s="166"/>
      <c r="AE16" s="166"/>
      <c r="AF16" s="166"/>
      <c r="AG16" s="950"/>
      <c r="AH16" s="547"/>
      <c r="AI16" s="547"/>
      <c r="AJ16" s="165"/>
      <c r="AK16" s="165"/>
      <c r="AL16" s="165"/>
      <c r="AM16" s="946"/>
      <c r="AN16" s="946"/>
      <c r="AO16" s="946"/>
      <c r="AP16" s="946"/>
    </row>
    <row r="17" spans="1:43">
      <c r="A17" s="165"/>
      <c r="B17" s="170" t="s">
        <v>1600</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950"/>
      <c r="AH17" s="547"/>
      <c r="AI17" s="547"/>
      <c r="AJ17" s="165"/>
      <c r="AK17" s="165"/>
      <c r="AL17" s="165"/>
      <c r="AM17" s="946"/>
      <c r="AN17" s="946"/>
      <c r="AO17" s="946"/>
      <c r="AP17" s="946"/>
    </row>
    <row r="18" spans="1:43">
      <c r="A18" s="165"/>
      <c r="B18" s="165"/>
      <c r="C18" s="165"/>
      <c r="D18" s="165"/>
      <c r="E18" s="165"/>
      <c r="F18" s="165"/>
      <c r="G18" s="165"/>
      <c r="H18" s="165"/>
      <c r="I18" s="165"/>
      <c r="J18" s="165"/>
      <c r="K18" s="165"/>
      <c r="L18" s="165"/>
      <c r="M18" s="165"/>
      <c r="N18" s="165"/>
      <c r="O18" s="168"/>
      <c r="P18" s="168"/>
      <c r="Q18" s="168"/>
      <c r="R18" s="168"/>
      <c r="S18" s="168"/>
      <c r="T18" s="168"/>
      <c r="U18" s="168"/>
      <c r="V18" s="168"/>
      <c r="W18" s="168"/>
      <c r="X18" s="169"/>
      <c r="Y18" s="166"/>
      <c r="Z18" s="166"/>
      <c r="AA18" s="166"/>
      <c r="AB18" s="166"/>
      <c r="AC18" s="166"/>
      <c r="AD18" s="166"/>
      <c r="AE18" s="166"/>
      <c r="AF18" s="166"/>
      <c r="AG18" s="950"/>
      <c r="AH18" s="547"/>
      <c r="AI18" s="547"/>
      <c r="AJ18" s="165"/>
      <c r="AK18" s="165"/>
      <c r="AL18" s="165"/>
      <c r="AM18" s="946"/>
      <c r="AN18" s="946"/>
      <c r="AO18" s="946"/>
      <c r="AP18" s="946"/>
    </row>
    <row r="19" spans="1:43">
      <c r="A19" s="165"/>
      <c r="B19" s="170" t="s">
        <v>660</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950"/>
      <c r="AH19" s="547"/>
      <c r="AI19" s="547"/>
      <c r="AJ19" s="165"/>
      <c r="AK19" s="165"/>
      <c r="AL19" s="165"/>
      <c r="AM19" s="946"/>
      <c r="AN19" s="946"/>
      <c r="AO19" s="946"/>
      <c r="AP19" s="946"/>
    </row>
    <row r="20" spans="1:43">
      <c r="A20" s="165"/>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c r="AG20" s="950"/>
      <c r="AH20" s="547"/>
      <c r="AI20" s="547"/>
      <c r="AJ20" s="165"/>
      <c r="AK20" s="165"/>
      <c r="AL20" s="165"/>
      <c r="AM20" s="946"/>
      <c r="AN20" s="946"/>
      <c r="AO20" s="946"/>
      <c r="AP20" s="946"/>
    </row>
    <row r="21" spans="1:43">
      <c r="A21" s="165"/>
      <c r="B21" s="165"/>
      <c r="C21" s="165"/>
      <c r="D21" s="165"/>
      <c r="E21" s="165"/>
      <c r="F21" s="165"/>
      <c r="G21" s="165"/>
      <c r="H21" s="165"/>
      <c r="I21" s="165"/>
      <c r="J21" s="165"/>
      <c r="K21" s="165"/>
      <c r="L21" s="165"/>
      <c r="M21" s="165"/>
      <c r="N21" s="165"/>
      <c r="O21" s="168"/>
      <c r="P21" s="168"/>
      <c r="Q21" s="168"/>
      <c r="R21" s="168"/>
      <c r="S21" s="168"/>
      <c r="T21" s="168"/>
      <c r="U21" s="168"/>
      <c r="V21" s="168"/>
      <c r="W21" s="168"/>
      <c r="X21" s="257">
        <v>2001</v>
      </c>
      <c r="Y21" s="258"/>
      <c r="Z21" s="257">
        <v>2003</v>
      </c>
      <c r="AA21" s="258"/>
      <c r="AB21" s="257">
        <v>2005</v>
      </c>
      <c r="AC21" s="258"/>
      <c r="AD21" s="257">
        <v>2007</v>
      </c>
      <c r="AE21" s="258"/>
      <c r="AF21" s="257">
        <v>2009</v>
      </c>
      <c r="AG21" s="202">
        <v>2010</v>
      </c>
      <c r="AH21" s="202">
        <v>2011</v>
      </c>
      <c r="AI21" s="202">
        <v>2012</v>
      </c>
      <c r="AJ21" s="202">
        <v>2013</v>
      </c>
      <c r="AK21" s="202">
        <v>2014</v>
      </c>
      <c r="AL21" s="202">
        <v>2015</v>
      </c>
      <c r="AM21" s="174">
        <v>2016</v>
      </c>
      <c r="AN21" s="174">
        <v>2017</v>
      </c>
      <c r="AO21" s="174">
        <v>2018</v>
      </c>
      <c r="AP21" s="174">
        <v>2019</v>
      </c>
      <c r="AQ21" s="174">
        <v>2020</v>
      </c>
    </row>
    <row r="22" spans="1:43">
      <c r="A22" s="165"/>
      <c r="B22" s="171">
        <v>1</v>
      </c>
      <c r="C22" s="206" t="s">
        <v>410</v>
      </c>
      <c r="D22" s="1021"/>
      <c r="E22" s="1021"/>
      <c r="F22" s="1021"/>
      <c r="G22" s="1021"/>
      <c r="H22" s="1021"/>
      <c r="I22" s="1021"/>
      <c r="J22" s="1021"/>
      <c r="K22" s="1021"/>
      <c r="L22" s="1021"/>
      <c r="M22" s="1021"/>
      <c r="N22" s="1021"/>
      <c r="O22" s="1021"/>
      <c r="P22" s="1021"/>
      <c r="Q22" s="1021"/>
      <c r="R22" s="1021"/>
      <c r="S22" s="1021"/>
      <c r="T22" s="1021"/>
      <c r="U22" s="1021"/>
      <c r="V22" s="1021"/>
      <c r="W22" s="1021"/>
      <c r="X22" s="71"/>
      <c r="Y22" s="71"/>
      <c r="Z22" s="71"/>
      <c r="AA22" s="71"/>
      <c r="AB22" s="71"/>
      <c r="AC22" s="71"/>
      <c r="AD22" s="71"/>
      <c r="AE22" s="71"/>
      <c r="AF22" s="71"/>
      <c r="AG22" s="1746"/>
      <c r="AH22" s="971"/>
      <c r="AI22" s="971"/>
      <c r="AJ22" s="206"/>
      <c r="AK22" s="206"/>
      <c r="AL22" s="206"/>
      <c r="AM22" s="945">
        <f>SUM(AM23:AM24)</f>
        <v>0.18</v>
      </c>
      <c r="AN22" s="945">
        <f>SUM(AN23:AN24)</f>
        <v>0.24</v>
      </c>
      <c r="AO22" s="945">
        <f>SUM(AO23:AO24)</f>
        <v>0.37</v>
      </c>
      <c r="AP22" s="1747">
        <f t="shared" ref="AP22:AQ22" si="6">SUM(AP23:AP24)</f>
        <v>0.48099999999999998</v>
      </c>
      <c r="AQ22" s="1747">
        <f t="shared" si="6"/>
        <v>0.38900000000000001</v>
      </c>
    </row>
    <row r="23" spans="1:43">
      <c r="A23" s="165"/>
      <c r="B23" s="75" t="s">
        <v>289</v>
      </c>
      <c r="C23" s="165" t="s">
        <v>12</v>
      </c>
      <c r="D23" s="261"/>
      <c r="E23" s="261"/>
      <c r="F23" s="261"/>
      <c r="G23" s="261"/>
      <c r="H23" s="261"/>
      <c r="I23" s="261"/>
      <c r="J23" s="261"/>
      <c r="K23" s="261"/>
      <c r="L23" s="261"/>
      <c r="M23" s="261"/>
      <c r="N23" s="261"/>
      <c r="O23" s="261"/>
      <c r="P23" s="261"/>
      <c r="Q23" s="261"/>
      <c r="R23" s="261"/>
      <c r="S23" s="261"/>
      <c r="T23" s="261"/>
      <c r="U23" s="261"/>
      <c r="V23" s="261"/>
      <c r="W23" s="261"/>
      <c r="X23" s="244"/>
      <c r="Y23" s="244"/>
      <c r="Z23" s="244"/>
      <c r="AA23" s="244"/>
      <c r="AB23" s="1347"/>
      <c r="AC23" s="1347"/>
      <c r="AD23" s="1347"/>
      <c r="AE23" s="244"/>
      <c r="AF23" s="1348"/>
      <c r="AG23" s="1001"/>
      <c r="AH23" s="1349"/>
      <c r="AI23" s="261"/>
      <c r="AJ23" s="1001"/>
      <c r="AK23" s="165"/>
      <c r="AL23" s="165"/>
      <c r="AM23" s="946"/>
      <c r="AN23" s="946"/>
      <c r="AO23" s="946"/>
      <c r="AP23" s="946"/>
      <c r="AQ23" s="946"/>
    </row>
    <row r="24" spans="1:43">
      <c r="A24" s="165"/>
      <c r="B24" s="75" t="s">
        <v>411</v>
      </c>
      <c r="C24" s="165" t="s">
        <v>412</v>
      </c>
      <c r="D24" s="261"/>
      <c r="E24" s="261"/>
      <c r="F24" s="261"/>
      <c r="G24" s="261"/>
      <c r="H24" s="261"/>
      <c r="I24" s="261"/>
      <c r="J24" s="261"/>
      <c r="K24" s="261"/>
      <c r="L24" s="261"/>
      <c r="M24" s="261"/>
      <c r="N24" s="261"/>
      <c r="O24" s="261"/>
      <c r="P24" s="261"/>
      <c r="Q24" s="261"/>
      <c r="R24" s="261"/>
      <c r="S24" s="261"/>
      <c r="T24" s="261"/>
      <c r="U24" s="261"/>
      <c r="V24" s="261"/>
      <c r="W24" s="261"/>
      <c r="X24" s="244"/>
      <c r="Y24" s="244"/>
      <c r="Z24" s="244"/>
      <c r="AA24" s="244"/>
      <c r="AB24" s="1347"/>
      <c r="AC24" s="1347"/>
      <c r="AD24" s="1347"/>
      <c r="AE24" s="244"/>
      <c r="AF24" s="1348"/>
      <c r="AG24" s="1001"/>
      <c r="AH24" s="1349"/>
      <c r="AI24" s="261"/>
      <c r="AJ24" s="1001"/>
      <c r="AK24" s="165"/>
      <c r="AL24" s="165"/>
      <c r="AM24" s="1748">
        <v>0.18</v>
      </c>
      <c r="AN24" s="1748">
        <v>0.24</v>
      </c>
      <c r="AO24" s="1748">
        <v>0.37</v>
      </c>
      <c r="AP24" s="1748">
        <v>0.48099999999999998</v>
      </c>
      <c r="AQ24" s="1748">
        <v>0.38900000000000001</v>
      </c>
    </row>
    <row r="25" spans="1:43">
      <c r="A25" s="165"/>
      <c r="B25" s="171">
        <v>2</v>
      </c>
      <c r="C25" s="206" t="s">
        <v>413</v>
      </c>
      <c r="D25" s="261"/>
      <c r="E25" s="261"/>
      <c r="F25" s="261"/>
      <c r="G25" s="261"/>
      <c r="H25" s="261"/>
      <c r="I25" s="261"/>
      <c r="J25" s="261"/>
      <c r="K25" s="261"/>
      <c r="L25" s="261"/>
      <c r="M25" s="261"/>
      <c r="N25" s="261"/>
      <c r="O25" s="261"/>
      <c r="P25" s="261"/>
      <c r="Q25" s="261"/>
      <c r="R25" s="261"/>
      <c r="S25" s="261"/>
      <c r="T25" s="261"/>
      <c r="U25" s="261"/>
      <c r="V25" s="261"/>
      <c r="W25" s="261"/>
      <c r="X25" s="244"/>
      <c r="Y25" s="244"/>
      <c r="Z25" s="244"/>
      <c r="AA25" s="244"/>
      <c r="AB25" s="1347"/>
      <c r="AC25" s="1347"/>
      <c r="AD25" s="1347"/>
      <c r="AE25" s="244"/>
      <c r="AF25" s="1348"/>
      <c r="AG25" s="950"/>
      <c r="AH25" s="547"/>
      <c r="AI25" s="547"/>
      <c r="AJ25" s="165"/>
      <c r="AK25" s="165"/>
      <c r="AL25" s="165"/>
      <c r="AM25" s="946"/>
      <c r="AN25" s="946"/>
      <c r="AO25" s="946"/>
      <c r="AP25" s="946"/>
      <c r="AQ25" s="946"/>
    </row>
    <row r="26" spans="1:43">
      <c r="A26" s="165"/>
      <c r="B26" s="75" t="s">
        <v>414</v>
      </c>
      <c r="C26" s="165" t="s">
        <v>12</v>
      </c>
      <c r="D26" s="261"/>
      <c r="E26" s="261"/>
      <c r="F26" s="261"/>
      <c r="G26" s="261"/>
      <c r="H26" s="261"/>
      <c r="I26" s="261"/>
      <c r="J26" s="261"/>
      <c r="K26" s="261"/>
      <c r="L26" s="261"/>
      <c r="M26" s="261"/>
      <c r="N26" s="261"/>
      <c r="O26" s="261"/>
      <c r="P26" s="261"/>
      <c r="Q26" s="261"/>
      <c r="R26" s="261"/>
      <c r="S26" s="261"/>
      <c r="T26" s="261"/>
      <c r="U26" s="261"/>
      <c r="V26" s="261"/>
      <c r="W26" s="261"/>
      <c r="X26" s="244"/>
      <c r="Y26" s="244"/>
      <c r="Z26" s="244"/>
      <c r="AA26" s="244"/>
      <c r="AB26" s="1347"/>
      <c r="AC26" s="1347"/>
      <c r="AD26" s="1347"/>
      <c r="AE26" s="244"/>
      <c r="AF26" s="1348"/>
      <c r="AG26" s="1001"/>
      <c r="AH26" s="1001"/>
      <c r="AI26" s="261"/>
      <c r="AJ26" s="1001"/>
      <c r="AK26" s="165"/>
      <c r="AL26" s="165"/>
      <c r="AM26" s="946"/>
      <c r="AN26" s="946"/>
      <c r="AO26" s="946"/>
      <c r="AP26" s="946"/>
      <c r="AQ26" s="946"/>
    </row>
    <row r="27" spans="1:43">
      <c r="A27" s="165"/>
      <c r="B27" s="171">
        <v>3</v>
      </c>
      <c r="C27" s="206" t="s">
        <v>14</v>
      </c>
      <c r="D27" s="1021"/>
      <c r="E27" s="1021"/>
      <c r="F27" s="1021"/>
      <c r="G27" s="1021"/>
      <c r="H27" s="1021"/>
      <c r="I27" s="1021"/>
      <c r="J27" s="1021"/>
      <c r="K27" s="1021"/>
      <c r="L27" s="1021"/>
      <c r="M27" s="1021"/>
      <c r="N27" s="1021"/>
      <c r="O27" s="1021"/>
      <c r="P27" s="1021"/>
      <c r="Q27" s="1021"/>
      <c r="R27" s="1021"/>
      <c r="S27" s="1021"/>
      <c r="T27" s="1021"/>
      <c r="U27" s="1021"/>
      <c r="V27" s="1021"/>
      <c r="W27" s="1021"/>
      <c r="X27" s="71"/>
      <c r="Y27" s="71"/>
      <c r="Z27" s="71"/>
      <c r="AA27" s="71"/>
      <c r="AB27" s="1749"/>
      <c r="AC27" s="1749"/>
      <c r="AD27" s="1749"/>
      <c r="AE27" s="71"/>
      <c r="AF27" s="1750"/>
      <c r="AG27" s="1746"/>
      <c r="AH27" s="971"/>
      <c r="AI27" s="971"/>
      <c r="AJ27" s="206"/>
      <c r="AK27" s="206"/>
      <c r="AL27" s="206"/>
      <c r="AM27" s="945">
        <f>SUM(AM28:AM30)</f>
        <v>30.591999999999999</v>
      </c>
      <c r="AN27" s="945">
        <f>SUM(AN28:AN30)</f>
        <v>33.537999999999997</v>
      </c>
      <c r="AO27" s="945">
        <f>SUM(AO28:AO30)</f>
        <v>40.427</v>
      </c>
      <c r="AP27" s="945">
        <f t="shared" ref="AP27:AQ27" si="7">SUM(AP28:AP30)</f>
        <v>60.430999999999997</v>
      </c>
      <c r="AQ27" s="945">
        <f t="shared" si="7"/>
        <v>89.010999999999996</v>
      </c>
    </row>
    <row r="28" spans="1:43">
      <c r="A28" s="165"/>
      <c r="B28" s="75" t="s">
        <v>415</v>
      </c>
      <c r="C28" s="165" t="s">
        <v>15</v>
      </c>
      <c r="D28" s="261"/>
      <c r="E28" s="261"/>
      <c r="F28" s="261"/>
      <c r="G28" s="261"/>
      <c r="H28" s="261"/>
      <c r="I28" s="261"/>
      <c r="J28" s="261"/>
      <c r="K28" s="261"/>
      <c r="L28" s="261"/>
      <c r="M28" s="261"/>
      <c r="N28" s="261"/>
      <c r="O28" s="261"/>
      <c r="P28" s="261"/>
      <c r="Q28" s="261"/>
      <c r="R28" s="261"/>
      <c r="S28" s="261"/>
      <c r="T28" s="261"/>
      <c r="U28" s="261"/>
      <c r="V28" s="261"/>
      <c r="W28" s="261"/>
      <c r="X28" s="244"/>
      <c r="Y28" s="244"/>
      <c r="Z28" s="244"/>
      <c r="AA28" s="244"/>
      <c r="AB28" s="1347"/>
      <c r="AC28" s="1347"/>
      <c r="AD28" s="1347"/>
      <c r="AE28" s="244"/>
      <c r="AF28" s="1348"/>
      <c r="AG28" s="1001"/>
      <c r="AH28" s="1001"/>
      <c r="AI28" s="261"/>
      <c r="AJ28" s="1001"/>
      <c r="AK28" s="165"/>
      <c r="AL28" s="165"/>
      <c r="AM28" s="946"/>
      <c r="AN28" s="946"/>
      <c r="AO28" s="946"/>
      <c r="AP28" s="946"/>
      <c r="AQ28" s="946"/>
    </row>
    <row r="29" spans="1:43">
      <c r="A29" s="165"/>
      <c r="B29" s="75" t="s">
        <v>416</v>
      </c>
      <c r="C29" s="165" t="s">
        <v>16</v>
      </c>
      <c r="D29" s="261"/>
      <c r="E29" s="261"/>
      <c r="F29" s="261"/>
      <c r="G29" s="261"/>
      <c r="H29" s="261"/>
      <c r="I29" s="261"/>
      <c r="J29" s="261"/>
      <c r="K29" s="261"/>
      <c r="L29" s="261"/>
      <c r="M29" s="261"/>
      <c r="N29" s="261"/>
      <c r="O29" s="261"/>
      <c r="P29" s="261"/>
      <c r="Q29" s="261"/>
      <c r="R29" s="261"/>
      <c r="S29" s="261"/>
      <c r="T29" s="261"/>
      <c r="U29" s="261"/>
      <c r="V29" s="261"/>
      <c r="W29" s="261"/>
      <c r="X29" s="244"/>
      <c r="Y29" s="244"/>
      <c r="Z29" s="244"/>
      <c r="AA29" s="244"/>
      <c r="AB29" s="1347"/>
      <c r="AC29" s="1347"/>
      <c r="AD29" s="1347"/>
      <c r="AE29" s="244"/>
      <c r="AF29" s="1348"/>
      <c r="AG29" s="1001"/>
      <c r="AH29" s="1001"/>
      <c r="AI29" s="261"/>
      <c r="AJ29" s="1001"/>
      <c r="AK29" s="165"/>
      <c r="AL29" s="165"/>
      <c r="AM29" s="946"/>
      <c r="AN29" s="946"/>
      <c r="AO29" s="946"/>
      <c r="AP29" s="946"/>
      <c r="AQ29" s="946"/>
    </row>
    <row r="30" spans="1:43">
      <c r="A30" s="165"/>
      <c r="B30" s="75" t="s">
        <v>417</v>
      </c>
      <c r="C30" s="165" t="s">
        <v>418</v>
      </c>
      <c r="D30" s="261"/>
      <c r="E30" s="261"/>
      <c r="F30" s="261"/>
      <c r="G30" s="261"/>
      <c r="H30" s="261"/>
      <c r="I30" s="261"/>
      <c r="J30" s="261"/>
      <c r="K30" s="261"/>
      <c r="L30" s="261"/>
      <c r="M30" s="261"/>
      <c r="N30" s="261"/>
      <c r="O30" s="261"/>
      <c r="P30" s="261"/>
      <c r="Q30" s="261"/>
      <c r="R30" s="261"/>
      <c r="S30" s="261"/>
      <c r="T30" s="261"/>
      <c r="U30" s="261"/>
      <c r="V30" s="261"/>
      <c r="W30" s="261"/>
      <c r="X30" s="244"/>
      <c r="Y30" s="244"/>
      <c r="Z30" s="244"/>
      <c r="AA30" s="244"/>
      <c r="AB30" s="1347"/>
      <c r="AC30" s="1347"/>
      <c r="AD30" s="1347"/>
      <c r="AE30" s="244"/>
      <c r="AF30" s="1348"/>
      <c r="AG30" s="1001"/>
      <c r="AH30" s="1001"/>
      <c r="AI30" s="261"/>
      <c r="AJ30" s="1001"/>
      <c r="AK30" s="165"/>
      <c r="AL30" s="165"/>
      <c r="AM30" s="946">
        <v>30.591999999999999</v>
      </c>
      <c r="AN30" s="946">
        <v>33.537999999999997</v>
      </c>
      <c r="AO30" s="946">
        <v>40.427</v>
      </c>
      <c r="AP30" s="946">
        <v>60.430999999999997</v>
      </c>
      <c r="AQ30" s="946">
        <v>89.010999999999996</v>
      </c>
    </row>
    <row r="31" spans="1:43">
      <c r="A31" s="165"/>
      <c r="B31" s="171">
        <v>4</v>
      </c>
      <c r="C31" s="206" t="s">
        <v>419</v>
      </c>
      <c r="D31" s="1021"/>
      <c r="E31" s="1021"/>
      <c r="F31" s="1021"/>
      <c r="G31" s="1021"/>
      <c r="H31" s="1021"/>
      <c r="I31" s="1021"/>
      <c r="J31" s="1021"/>
      <c r="K31" s="1021"/>
      <c r="L31" s="1021"/>
      <c r="M31" s="1021"/>
      <c r="N31" s="1021"/>
      <c r="O31" s="1021"/>
      <c r="P31" s="1021"/>
      <c r="Q31" s="1021"/>
      <c r="R31" s="1021"/>
      <c r="S31" s="1021"/>
      <c r="T31" s="1021"/>
      <c r="U31" s="1021"/>
      <c r="V31" s="1021"/>
      <c r="W31" s="1021"/>
      <c r="X31" s="71"/>
      <c r="Y31" s="71"/>
      <c r="Z31" s="71"/>
      <c r="AA31" s="71"/>
      <c r="AB31" s="1749"/>
      <c r="AC31" s="1749"/>
      <c r="AD31" s="1749"/>
      <c r="AE31" s="71"/>
      <c r="AF31" s="1750"/>
      <c r="AG31" s="1746"/>
      <c r="AH31" s="971"/>
      <c r="AI31" s="971"/>
      <c r="AJ31" s="206"/>
      <c r="AK31" s="206"/>
      <c r="AL31" s="206"/>
      <c r="AM31" s="945">
        <f>SUM(AM32:AM33)</f>
        <v>33.524000000000001</v>
      </c>
      <c r="AN31" s="945">
        <f>SUM(AN32:AN33)</f>
        <v>37.902999999999999</v>
      </c>
      <c r="AO31" s="945">
        <f>SUM(AO32:AO33)</f>
        <v>42.011000000000003</v>
      </c>
      <c r="AP31" s="945">
        <f t="shared" ref="AP31:AQ31" si="8">SUM(AP32:AP33)</f>
        <v>65.570999999999998</v>
      </c>
      <c r="AQ31" s="945">
        <f t="shared" si="8"/>
        <v>67.81</v>
      </c>
    </row>
    <row r="32" spans="1:43">
      <c r="A32" s="165"/>
      <c r="B32" s="75" t="s">
        <v>296</v>
      </c>
      <c r="C32" s="165" t="s">
        <v>420</v>
      </c>
      <c r="D32" s="261"/>
      <c r="E32" s="261"/>
      <c r="F32" s="261"/>
      <c r="G32" s="261"/>
      <c r="H32" s="261"/>
      <c r="I32" s="261"/>
      <c r="J32" s="261"/>
      <c r="K32" s="261"/>
      <c r="L32" s="261"/>
      <c r="M32" s="261"/>
      <c r="N32" s="261"/>
      <c r="O32" s="261"/>
      <c r="P32" s="261"/>
      <c r="Q32" s="261"/>
      <c r="R32" s="261"/>
      <c r="S32" s="261"/>
      <c r="T32" s="261"/>
      <c r="U32" s="261"/>
      <c r="V32" s="261"/>
      <c r="W32" s="261"/>
      <c r="X32" s="244"/>
      <c r="Y32" s="244"/>
      <c r="Z32" s="244"/>
      <c r="AA32" s="244"/>
      <c r="AB32" s="1347"/>
      <c r="AC32" s="1347"/>
      <c r="AD32" s="1347"/>
      <c r="AE32" s="244"/>
      <c r="AF32" s="1348"/>
      <c r="AG32" s="1001"/>
      <c r="AH32" s="1001"/>
      <c r="AI32" s="261"/>
      <c r="AJ32" s="1001"/>
      <c r="AK32" s="165"/>
      <c r="AL32" s="165"/>
      <c r="AM32" s="946"/>
      <c r="AN32" s="946"/>
      <c r="AO32" s="946"/>
      <c r="AP32" s="946"/>
      <c r="AQ32" s="946"/>
    </row>
    <row r="33" spans="1:43">
      <c r="A33" s="165"/>
      <c r="B33" s="75" t="s">
        <v>298</v>
      </c>
      <c r="C33" s="165" t="s">
        <v>421</v>
      </c>
      <c r="D33" s="261"/>
      <c r="E33" s="261"/>
      <c r="F33" s="261"/>
      <c r="G33" s="261"/>
      <c r="H33" s="261"/>
      <c r="I33" s="261"/>
      <c r="J33" s="261"/>
      <c r="K33" s="261"/>
      <c r="L33" s="261"/>
      <c r="M33" s="261"/>
      <c r="N33" s="261"/>
      <c r="O33" s="261"/>
      <c r="P33" s="261"/>
      <c r="Q33" s="261"/>
      <c r="R33" s="261"/>
      <c r="S33" s="261"/>
      <c r="T33" s="261"/>
      <c r="U33" s="261"/>
      <c r="V33" s="261"/>
      <c r="W33" s="261"/>
      <c r="X33" s="244"/>
      <c r="Y33" s="244"/>
      <c r="Z33" s="244"/>
      <c r="AA33" s="244"/>
      <c r="AB33" s="1347"/>
      <c r="AC33" s="1347"/>
      <c r="AD33" s="1347"/>
      <c r="AE33" s="244"/>
      <c r="AF33" s="1348"/>
      <c r="AG33" s="1001"/>
      <c r="AH33" s="1001"/>
      <c r="AI33" s="261"/>
      <c r="AJ33" s="1001"/>
      <c r="AK33" s="165"/>
      <c r="AL33" s="165"/>
      <c r="AM33" s="946">
        <v>33.524000000000001</v>
      </c>
      <c r="AN33" s="946">
        <v>37.902999999999999</v>
      </c>
      <c r="AO33" s="946">
        <v>42.011000000000003</v>
      </c>
      <c r="AP33" s="946">
        <v>65.570999999999998</v>
      </c>
      <c r="AQ33" s="946">
        <v>67.81</v>
      </c>
    </row>
    <row r="34" spans="1:43">
      <c r="A34" s="165"/>
      <c r="B34" s="171">
        <v>5</v>
      </c>
      <c r="C34" s="206" t="s">
        <v>422</v>
      </c>
      <c r="D34" s="1021"/>
      <c r="E34" s="1021"/>
      <c r="F34" s="1021"/>
      <c r="G34" s="1021"/>
      <c r="H34" s="1021"/>
      <c r="I34" s="1021"/>
      <c r="J34" s="1021"/>
      <c r="K34" s="1021"/>
      <c r="L34" s="1021"/>
      <c r="M34" s="1021"/>
      <c r="N34" s="1021"/>
      <c r="O34" s="1021"/>
      <c r="P34" s="1021"/>
      <c r="Q34" s="1021"/>
      <c r="R34" s="1021"/>
      <c r="S34" s="1021"/>
      <c r="T34" s="1021"/>
      <c r="U34" s="1021"/>
      <c r="V34" s="1021"/>
      <c r="W34" s="1021"/>
      <c r="X34" s="71"/>
      <c r="Y34" s="71"/>
      <c r="Z34" s="71"/>
      <c r="AA34" s="71"/>
      <c r="AB34" s="1749"/>
      <c r="AC34" s="1749"/>
      <c r="AD34" s="1749"/>
      <c r="AE34" s="71"/>
      <c r="AF34" s="1750"/>
      <c r="AG34" s="1746"/>
      <c r="AH34" s="971"/>
      <c r="AI34" s="971"/>
      <c r="AJ34" s="206"/>
      <c r="AK34" s="206"/>
      <c r="AL34" s="206"/>
      <c r="AM34" s="945"/>
      <c r="AN34" s="945"/>
      <c r="AO34" s="945"/>
      <c r="AP34" s="945"/>
      <c r="AQ34" s="945"/>
    </row>
    <row r="35" spans="1:43">
      <c r="A35" s="165"/>
      <c r="B35" s="75" t="s">
        <v>423</v>
      </c>
      <c r="C35" s="165" t="s">
        <v>424</v>
      </c>
      <c r="D35" s="261"/>
      <c r="E35" s="261"/>
      <c r="F35" s="261"/>
      <c r="G35" s="261"/>
      <c r="H35" s="261"/>
      <c r="I35" s="261"/>
      <c r="J35" s="261"/>
      <c r="K35" s="261"/>
      <c r="L35" s="261"/>
      <c r="M35" s="261"/>
      <c r="N35" s="261"/>
      <c r="O35" s="261"/>
      <c r="P35" s="261"/>
      <c r="Q35" s="261"/>
      <c r="R35" s="261"/>
      <c r="S35" s="261"/>
      <c r="T35" s="261"/>
      <c r="U35" s="261"/>
      <c r="V35" s="261"/>
      <c r="W35" s="261"/>
      <c r="X35" s="244"/>
      <c r="Y35" s="244"/>
      <c r="Z35" s="244"/>
      <c r="AA35" s="244"/>
      <c r="AB35" s="1347"/>
      <c r="AC35" s="1347"/>
      <c r="AD35" s="1347"/>
      <c r="AE35" s="244"/>
      <c r="AF35" s="1348"/>
      <c r="AG35" s="1001"/>
      <c r="AH35" s="1001"/>
      <c r="AI35" s="261"/>
      <c r="AJ35" s="1001"/>
      <c r="AK35" s="165"/>
      <c r="AL35" s="165"/>
      <c r="AM35" s="946"/>
      <c r="AN35" s="946"/>
      <c r="AO35" s="946"/>
      <c r="AP35" s="946"/>
      <c r="AQ35" s="946"/>
    </row>
    <row r="36" spans="1:43">
      <c r="A36" s="165"/>
      <c r="B36" s="171">
        <v>6</v>
      </c>
      <c r="C36" s="206" t="s">
        <v>425</v>
      </c>
      <c r="D36" s="1021"/>
      <c r="E36" s="1021"/>
      <c r="F36" s="1021"/>
      <c r="G36" s="1021"/>
      <c r="H36" s="1021"/>
      <c r="I36" s="1021"/>
      <c r="J36" s="1021"/>
      <c r="K36" s="1021"/>
      <c r="L36" s="1021"/>
      <c r="M36" s="1021"/>
      <c r="N36" s="1021"/>
      <c r="O36" s="1021"/>
      <c r="P36" s="1021"/>
      <c r="Q36" s="1021"/>
      <c r="R36" s="1021"/>
      <c r="S36" s="1021"/>
      <c r="T36" s="1021"/>
      <c r="U36" s="1021"/>
      <c r="V36" s="1021"/>
      <c r="W36" s="1021"/>
      <c r="X36" s="71"/>
      <c r="Y36" s="71"/>
      <c r="Z36" s="71"/>
      <c r="AA36" s="71"/>
      <c r="AB36" s="1749"/>
      <c r="AC36" s="1749"/>
      <c r="AD36" s="1749"/>
      <c r="AE36" s="71"/>
      <c r="AF36" s="242"/>
      <c r="AG36" s="1746"/>
      <c r="AH36" s="971"/>
      <c r="AI36" s="971"/>
      <c r="AJ36" s="206"/>
      <c r="AK36" s="206"/>
      <c r="AL36" s="206"/>
      <c r="AM36" s="945">
        <f>SUM(AM37:AM38)</f>
        <v>0</v>
      </c>
      <c r="AN36" s="945">
        <f>SUM(AN37:AN38)</f>
        <v>1.1000000000000001E-3</v>
      </c>
      <c r="AO36" s="945">
        <f>SUM(AO37:AO38)</f>
        <v>0.47799999999999998</v>
      </c>
      <c r="AP36" s="945">
        <f t="shared" ref="AP36:AQ36" si="9">SUM(AP37:AP38)</f>
        <v>1.48</v>
      </c>
      <c r="AQ36" s="945">
        <f t="shared" si="9"/>
        <v>1.44</v>
      </c>
    </row>
    <row r="37" spans="1:43">
      <c r="A37" s="165"/>
      <c r="B37" s="75" t="s">
        <v>426</v>
      </c>
      <c r="C37" s="165" t="s">
        <v>427</v>
      </c>
      <c r="D37" s="261"/>
      <c r="E37" s="261"/>
      <c r="F37" s="261"/>
      <c r="G37" s="261"/>
      <c r="H37" s="261"/>
      <c r="I37" s="261"/>
      <c r="J37" s="261"/>
      <c r="K37" s="261"/>
      <c r="L37" s="261"/>
      <c r="M37" s="261"/>
      <c r="N37" s="261"/>
      <c r="O37" s="261"/>
      <c r="P37" s="261"/>
      <c r="Q37" s="261"/>
      <c r="R37" s="261"/>
      <c r="S37" s="261"/>
      <c r="T37" s="261"/>
      <c r="U37" s="261"/>
      <c r="V37" s="261"/>
      <c r="W37" s="261"/>
      <c r="X37" s="244"/>
      <c r="Y37" s="244"/>
      <c r="Z37" s="244"/>
      <c r="AA37" s="244"/>
      <c r="AB37" s="1347"/>
      <c r="AC37" s="1347"/>
      <c r="AD37" s="1347"/>
      <c r="AE37" s="932"/>
      <c r="AF37" s="1751"/>
      <c r="AG37" s="1001"/>
      <c r="AH37" s="1001"/>
      <c r="AI37" s="261"/>
      <c r="AJ37" s="1001"/>
      <c r="AK37" s="165"/>
      <c r="AL37" s="165"/>
      <c r="AM37" s="946"/>
      <c r="AN37" s="946"/>
      <c r="AO37" s="946"/>
      <c r="AP37" s="946"/>
      <c r="AQ37" s="946"/>
    </row>
    <row r="38" spans="1:43">
      <c r="A38" s="165"/>
      <c r="B38" s="75" t="s">
        <v>428</v>
      </c>
      <c r="C38" s="165" t="s">
        <v>1601</v>
      </c>
      <c r="D38" s="261"/>
      <c r="E38" s="261"/>
      <c r="F38" s="261"/>
      <c r="G38" s="261"/>
      <c r="H38" s="261"/>
      <c r="I38" s="261"/>
      <c r="J38" s="261"/>
      <c r="K38" s="261"/>
      <c r="L38" s="261"/>
      <c r="M38" s="261"/>
      <c r="N38" s="261"/>
      <c r="O38" s="261"/>
      <c r="P38" s="261"/>
      <c r="Q38" s="261"/>
      <c r="R38" s="261"/>
      <c r="S38" s="261"/>
      <c r="T38" s="261"/>
      <c r="U38" s="261"/>
      <c r="V38" s="261"/>
      <c r="W38" s="261"/>
      <c r="X38" s="244"/>
      <c r="Y38" s="244"/>
      <c r="Z38" s="244"/>
      <c r="AA38" s="244"/>
      <c r="AB38" s="1347"/>
      <c r="AC38" s="1347"/>
      <c r="AD38" s="1347"/>
      <c r="AE38" s="932"/>
      <c r="AF38" s="1751"/>
      <c r="AG38" s="1001"/>
      <c r="AH38" s="1001"/>
      <c r="AI38" s="261"/>
      <c r="AJ38" s="1001"/>
      <c r="AK38" s="165"/>
      <c r="AL38" s="165"/>
      <c r="AM38" s="946"/>
      <c r="AN38" s="946">
        <v>1.1000000000000001E-3</v>
      </c>
      <c r="AO38" s="946">
        <v>0.47799999999999998</v>
      </c>
      <c r="AP38" s="946">
        <v>1.48</v>
      </c>
      <c r="AQ38" s="946">
        <v>1.44</v>
      </c>
    </row>
    <row r="39" spans="1:43">
      <c r="A39" s="165"/>
      <c r="B39" s="172"/>
      <c r="C39" s="172"/>
      <c r="D39" s="172"/>
      <c r="E39" s="172"/>
      <c r="F39" s="172"/>
      <c r="G39" s="172"/>
      <c r="H39" s="172"/>
      <c r="I39" s="172"/>
      <c r="J39" s="172"/>
      <c r="K39" s="172"/>
      <c r="L39" s="172"/>
      <c r="M39" s="172"/>
      <c r="N39" s="172"/>
      <c r="O39" s="172"/>
      <c r="P39" s="172"/>
      <c r="Q39" s="172"/>
      <c r="R39" s="172"/>
      <c r="S39" s="172"/>
      <c r="T39" s="172"/>
      <c r="U39" s="172"/>
      <c r="V39" s="172"/>
      <c r="W39" s="172"/>
      <c r="X39" s="256"/>
      <c r="Y39" s="256"/>
      <c r="Z39" s="256"/>
      <c r="AA39" s="256"/>
      <c r="AB39" s="256"/>
      <c r="AC39" s="256"/>
      <c r="AD39" s="256"/>
      <c r="AE39" s="256"/>
      <c r="AF39" s="256"/>
      <c r="AG39" s="256"/>
      <c r="AH39" s="256"/>
      <c r="AI39" s="256"/>
      <c r="AJ39" s="256"/>
      <c r="AK39" s="256"/>
      <c r="AL39" s="256"/>
      <c r="AM39" s="973"/>
      <c r="AN39" s="973"/>
      <c r="AO39" s="973"/>
      <c r="AP39" s="973"/>
      <c r="AQ39" s="973"/>
    </row>
    <row r="40" spans="1:43">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6"/>
      <c r="Y40" s="166"/>
      <c r="Z40" s="166"/>
      <c r="AA40" s="166"/>
      <c r="AB40" s="166"/>
      <c r="AC40" s="166"/>
      <c r="AD40" s="166"/>
      <c r="AE40" s="166"/>
      <c r="AF40" s="166"/>
      <c r="AG40" s="950"/>
      <c r="AH40" s="547"/>
      <c r="AI40" s="547"/>
      <c r="AJ40" s="165"/>
      <c r="AK40" s="165"/>
      <c r="AL40" s="165"/>
      <c r="AM40" s="946"/>
      <c r="AN40" s="946"/>
      <c r="AO40" s="946"/>
      <c r="AP40" s="946"/>
    </row>
    <row r="41" spans="1:43">
      <c r="A41" s="165"/>
      <c r="B41" s="165" t="s">
        <v>1602</v>
      </c>
      <c r="C41" s="165"/>
      <c r="D41" s="165"/>
      <c r="E41" s="165"/>
      <c r="F41" s="165"/>
      <c r="G41" s="165"/>
      <c r="H41" s="165"/>
      <c r="I41" s="165"/>
      <c r="J41" s="165"/>
      <c r="K41" s="165"/>
      <c r="L41" s="165"/>
      <c r="M41" s="165"/>
      <c r="N41" s="165"/>
      <c r="O41" s="168"/>
      <c r="P41" s="168"/>
      <c r="Q41" s="168"/>
      <c r="R41" s="168"/>
      <c r="S41" s="168"/>
      <c r="T41" s="168"/>
      <c r="U41" s="168"/>
      <c r="V41" s="168"/>
      <c r="W41" s="168"/>
      <c r="X41" s="166"/>
      <c r="Y41" s="166"/>
      <c r="Z41" s="166"/>
      <c r="AA41" s="166"/>
      <c r="AB41" s="166"/>
      <c r="AC41" s="166"/>
      <c r="AD41" s="166"/>
      <c r="AE41" s="166"/>
      <c r="AF41" s="166"/>
      <c r="AG41" s="950"/>
      <c r="AH41" s="547"/>
      <c r="AI41" s="547"/>
      <c r="AJ41" s="165"/>
      <c r="AK41" s="165"/>
      <c r="AL41" s="165"/>
      <c r="AM41" s="946"/>
      <c r="AN41" s="946"/>
      <c r="AO41" s="946"/>
      <c r="AP41" s="946"/>
    </row>
    <row r="42" spans="1:43">
      <c r="A42" s="165"/>
      <c r="B42" s="165"/>
      <c r="C42" s="165"/>
      <c r="D42" s="165"/>
      <c r="E42" s="165"/>
      <c r="F42" s="165"/>
      <c r="G42" s="165"/>
      <c r="H42" s="165"/>
      <c r="I42" s="165"/>
      <c r="J42" s="165"/>
      <c r="K42" s="165"/>
      <c r="L42" s="165"/>
      <c r="M42" s="165"/>
      <c r="N42" s="165"/>
      <c r="O42" s="168"/>
      <c r="P42" s="168"/>
      <c r="Q42" s="168"/>
      <c r="R42" s="168"/>
      <c r="S42" s="168"/>
      <c r="T42" s="168"/>
      <c r="U42" s="168"/>
      <c r="V42" s="168"/>
      <c r="W42" s="168"/>
      <c r="X42" s="166"/>
      <c r="Y42" s="166"/>
      <c r="Z42" s="166"/>
      <c r="AA42" s="166"/>
      <c r="AB42" s="166"/>
      <c r="AC42" s="166"/>
      <c r="AD42" s="166"/>
      <c r="AE42" s="166"/>
      <c r="AF42" s="166"/>
      <c r="AG42" s="950"/>
      <c r="AH42" s="547"/>
      <c r="AI42" s="547"/>
      <c r="AJ42" s="165"/>
      <c r="AK42" s="165"/>
      <c r="AL42" s="165"/>
      <c r="AM42" s="946"/>
      <c r="AN42" s="946"/>
      <c r="AO42" s="946"/>
      <c r="AP42" s="946"/>
    </row>
    <row r="43" spans="1:43" hidden="1">
      <c r="A43" s="165"/>
      <c r="B43" s="165"/>
      <c r="C43" s="165"/>
      <c r="D43" s="165"/>
      <c r="E43" s="165"/>
      <c r="F43" s="165"/>
      <c r="G43" s="165"/>
      <c r="H43" s="165"/>
      <c r="I43" s="165"/>
      <c r="J43" s="165"/>
      <c r="K43" s="165"/>
      <c r="L43" s="165"/>
      <c r="M43" s="165"/>
      <c r="N43" s="165"/>
      <c r="O43" s="168"/>
      <c r="P43" s="168"/>
      <c r="Q43" s="168"/>
      <c r="R43" s="168"/>
      <c r="S43" s="168"/>
      <c r="T43" s="168"/>
      <c r="U43" s="168"/>
      <c r="V43" s="168"/>
      <c r="W43" s="168"/>
      <c r="X43" s="166"/>
      <c r="Y43" s="166"/>
      <c r="Z43" s="166"/>
      <c r="AA43" s="166"/>
      <c r="AB43" s="166"/>
      <c r="AC43" s="166"/>
      <c r="AD43" s="166"/>
      <c r="AE43" s="166"/>
      <c r="AF43" s="166"/>
      <c r="AG43" s="950"/>
      <c r="AH43" s="547"/>
      <c r="AI43" s="547"/>
      <c r="AJ43" s="165"/>
      <c r="AK43" s="165"/>
      <c r="AL43" s="165"/>
      <c r="AM43" s="946"/>
      <c r="AN43" s="946"/>
      <c r="AO43" s="946"/>
      <c r="AP43" s="946"/>
    </row>
    <row r="44" spans="1:43" hidden="1">
      <c r="A44" s="165"/>
      <c r="B44" s="165"/>
      <c r="C44" s="165"/>
      <c r="D44" s="165"/>
      <c r="E44" s="165"/>
      <c r="F44" s="165"/>
      <c r="G44" s="165"/>
      <c r="H44" s="165"/>
      <c r="I44" s="165"/>
      <c r="J44" s="165"/>
      <c r="K44" s="165"/>
      <c r="L44" s="165"/>
      <c r="M44" s="165"/>
      <c r="N44" s="165"/>
      <c r="O44" s="168"/>
      <c r="P44" s="168"/>
      <c r="Q44" s="168"/>
      <c r="R44" s="168"/>
      <c r="S44" s="168"/>
      <c r="T44" s="168"/>
      <c r="U44" s="168"/>
      <c r="V44" s="168"/>
      <c r="W44" s="168"/>
      <c r="X44" s="166"/>
      <c r="Y44" s="166"/>
      <c r="Z44" s="166"/>
      <c r="AA44" s="166"/>
      <c r="AB44" s="166"/>
      <c r="AC44" s="166"/>
      <c r="AD44" s="166"/>
      <c r="AE44" s="166"/>
      <c r="AF44" s="166"/>
      <c r="AG44" s="950"/>
      <c r="AH44" s="547"/>
      <c r="AI44" s="547"/>
      <c r="AJ44" s="165"/>
      <c r="AK44" s="165"/>
      <c r="AL44" s="165"/>
      <c r="AM44" s="946"/>
      <c r="AN44" s="946"/>
      <c r="AO44" s="946"/>
      <c r="AP44" s="946"/>
    </row>
    <row r="45" spans="1:43" hidden="1">
      <c r="A45" s="165"/>
      <c r="B45" s="165"/>
      <c r="C45" s="165"/>
      <c r="D45" s="165"/>
      <c r="E45" s="165"/>
      <c r="F45" s="165"/>
      <c r="G45" s="165"/>
      <c r="H45" s="165"/>
      <c r="I45" s="165"/>
      <c r="J45" s="165"/>
      <c r="K45" s="165"/>
      <c r="L45" s="165"/>
      <c r="M45" s="165"/>
      <c r="N45" s="165"/>
      <c r="O45" s="168"/>
      <c r="P45" s="168"/>
      <c r="Q45" s="168"/>
      <c r="R45" s="168"/>
      <c r="S45" s="168"/>
      <c r="T45" s="168"/>
      <c r="U45" s="168"/>
      <c r="V45" s="168"/>
      <c r="W45" s="168"/>
      <c r="X45" s="166"/>
      <c r="Y45" s="166"/>
      <c r="Z45" s="166"/>
      <c r="AA45" s="166"/>
      <c r="AB45" s="166"/>
      <c r="AC45" s="166"/>
      <c r="AD45" s="166"/>
      <c r="AE45" s="166"/>
      <c r="AF45" s="166"/>
      <c r="AG45" s="950"/>
      <c r="AH45" s="547"/>
      <c r="AI45" s="547"/>
      <c r="AJ45" s="165"/>
      <c r="AK45" s="165"/>
      <c r="AL45" s="165"/>
      <c r="AM45" s="946"/>
      <c r="AN45" s="946"/>
      <c r="AO45" s="946"/>
      <c r="AP45" s="946"/>
    </row>
    <row r="46" spans="1:43" hidden="1">
      <c r="A46" s="165"/>
      <c r="B46" s="165"/>
      <c r="C46" s="165"/>
      <c r="D46" s="165"/>
      <c r="E46" s="165"/>
      <c r="F46" s="165"/>
      <c r="G46" s="165"/>
      <c r="H46" s="165"/>
      <c r="I46" s="165"/>
      <c r="J46" s="165"/>
      <c r="K46" s="165"/>
      <c r="L46" s="165"/>
      <c r="M46" s="165"/>
      <c r="N46" s="165"/>
      <c r="O46" s="168"/>
      <c r="P46" s="168"/>
      <c r="Q46" s="168"/>
      <c r="R46" s="168"/>
      <c r="S46" s="168"/>
      <c r="T46" s="168"/>
      <c r="U46" s="168"/>
      <c r="V46" s="168"/>
      <c r="W46" s="168"/>
      <c r="X46" s="166"/>
      <c r="Y46" s="166"/>
      <c r="Z46" s="166"/>
      <c r="AA46" s="166"/>
      <c r="AB46" s="166"/>
      <c r="AC46" s="166"/>
      <c r="AD46" s="166"/>
      <c r="AE46" s="166"/>
      <c r="AF46" s="166"/>
      <c r="AG46" s="950"/>
      <c r="AH46" s="547"/>
      <c r="AI46" s="547"/>
      <c r="AJ46" s="165"/>
      <c r="AK46" s="165"/>
      <c r="AL46" s="165"/>
      <c r="AM46" s="946"/>
      <c r="AN46" s="946"/>
      <c r="AO46" s="946"/>
      <c r="AP46" s="946"/>
    </row>
    <row r="47" spans="1:43" hidden="1">
      <c r="A47" s="165"/>
      <c r="B47" s="1920"/>
      <c r="C47" s="1921"/>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66"/>
      <c r="AB47" s="166"/>
      <c r="AC47" s="166"/>
      <c r="AD47" s="166"/>
      <c r="AE47" s="166"/>
      <c r="AF47" s="166"/>
      <c r="AG47" s="950"/>
      <c r="AH47" s="547"/>
      <c r="AI47" s="547"/>
      <c r="AJ47" s="165"/>
      <c r="AK47" s="165"/>
      <c r="AL47" s="165"/>
      <c r="AM47" s="946"/>
      <c r="AN47" s="946"/>
      <c r="AO47" s="946"/>
      <c r="AP47" s="946"/>
    </row>
    <row r="48" spans="1:43" hidden="1">
      <c r="A48" s="165"/>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66"/>
      <c r="AB48" s="166"/>
      <c r="AC48" s="166"/>
      <c r="AD48" s="166"/>
      <c r="AE48" s="166"/>
      <c r="AF48" s="166"/>
      <c r="AG48" s="950"/>
      <c r="AH48" s="547"/>
      <c r="AI48" s="547"/>
      <c r="AJ48" s="165"/>
      <c r="AK48" s="165"/>
      <c r="AL48" s="165"/>
      <c r="AM48" s="946"/>
      <c r="AN48" s="946"/>
      <c r="AO48" s="946"/>
      <c r="AP48" s="946"/>
    </row>
    <row r="49" spans="1:43" hidden="1">
      <c r="A49" s="165"/>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66"/>
      <c r="AB49" s="166"/>
      <c r="AC49" s="166"/>
      <c r="AD49" s="166"/>
      <c r="AE49" s="166"/>
      <c r="AF49" s="166"/>
      <c r="AG49" s="950"/>
      <c r="AH49" s="547"/>
      <c r="AI49" s="547"/>
      <c r="AJ49" s="165"/>
      <c r="AK49" s="165"/>
      <c r="AL49" s="165"/>
      <c r="AM49" s="946"/>
      <c r="AN49" s="946"/>
      <c r="AO49" s="946"/>
      <c r="AP49" s="946"/>
    </row>
    <row r="50" spans="1:43" hidden="1">
      <c r="A50" s="165"/>
      <c r="B50" s="941"/>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166"/>
      <c r="AB50" s="166"/>
      <c r="AC50" s="166"/>
      <c r="AD50" s="166"/>
      <c r="AE50" s="166"/>
      <c r="AF50" s="166"/>
      <c r="AG50" s="950"/>
      <c r="AH50" s="547"/>
      <c r="AI50" s="547"/>
      <c r="AJ50" s="165"/>
      <c r="AK50" s="165"/>
      <c r="AL50" s="165"/>
      <c r="AM50" s="946"/>
      <c r="AN50" s="946"/>
      <c r="AO50" s="946"/>
      <c r="AP50" s="946"/>
    </row>
    <row r="51" spans="1:43" hidden="1">
      <c r="A51" s="165"/>
      <c r="B51" s="941"/>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166"/>
      <c r="AB51" s="166"/>
      <c r="AC51" s="166"/>
      <c r="AD51" s="166"/>
      <c r="AE51" s="166"/>
      <c r="AF51" s="166"/>
      <c r="AG51" s="950"/>
      <c r="AH51" s="547"/>
      <c r="AI51" s="547"/>
      <c r="AJ51" s="165"/>
      <c r="AK51" s="165"/>
      <c r="AL51" s="165"/>
      <c r="AM51" s="946"/>
      <c r="AN51" s="946"/>
      <c r="AO51" s="946"/>
      <c r="AP51" s="946"/>
    </row>
    <row r="52" spans="1:43" hidden="1">
      <c r="A52" s="165"/>
      <c r="B52" s="941"/>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166"/>
      <c r="AB52" s="166"/>
      <c r="AC52" s="166"/>
      <c r="AD52" s="166"/>
      <c r="AE52" s="166"/>
      <c r="AF52" s="166"/>
      <c r="AG52" s="950"/>
      <c r="AH52" s="547"/>
      <c r="AI52" s="547"/>
      <c r="AJ52" s="165"/>
      <c r="AK52" s="165"/>
      <c r="AL52" s="165"/>
      <c r="AM52" s="946"/>
      <c r="AN52" s="946"/>
      <c r="AO52" s="946"/>
      <c r="AP52" s="946"/>
    </row>
    <row r="53" spans="1:43" hidden="1">
      <c r="A53" s="165"/>
      <c r="B53" s="941"/>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166"/>
      <c r="AB53" s="166"/>
      <c r="AC53" s="166"/>
      <c r="AD53" s="166"/>
      <c r="AE53" s="166"/>
      <c r="AF53" s="166"/>
      <c r="AG53" s="950"/>
      <c r="AH53" s="547"/>
      <c r="AI53" s="547"/>
      <c r="AJ53" s="165"/>
      <c r="AK53" s="165"/>
      <c r="AL53" s="165"/>
      <c r="AM53" s="946"/>
      <c r="AN53" s="946"/>
      <c r="AO53" s="946"/>
      <c r="AP53" s="946"/>
    </row>
    <row r="54" spans="1:43" hidden="1">
      <c r="A54" s="165"/>
      <c r="B54" s="941"/>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166"/>
      <c r="AB54" s="166"/>
      <c r="AC54" s="166"/>
      <c r="AD54" s="166"/>
      <c r="AE54" s="166"/>
      <c r="AF54" s="166"/>
      <c r="AG54" s="950"/>
      <c r="AH54" s="547"/>
      <c r="AI54" s="547"/>
      <c r="AJ54" s="165"/>
      <c r="AK54" s="165"/>
      <c r="AL54" s="165"/>
      <c r="AM54" s="946"/>
      <c r="AN54" s="946"/>
      <c r="AO54" s="946"/>
      <c r="AP54" s="946"/>
    </row>
    <row r="55" spans="1:43" hidden="1">
      <c r="A55" s="165"/>
      <c r="B55" s="165"/>
      <c r="C55" s="165"/>
      <c r="D55" s="165"/>
      <c r="E55" s="165"/>
      <c r="F55" s="165"/>
      <c r="G55" s="165"/>
      <c r="H55" s="165"/>
      <c r="I55" s="165"/>
      <c r="J55" s="165"/>
      <c r="K55" s="165"/>
      <c r="L55" s="165"/>
      <c r="M55" s="165"/>
      <c r="N55" s="165"/>
      <c r="O55" s="168"/>
      <c r="P55" s="168"/>
      <c r="Q55" s="168"/>
      <c r="R55" s="168"/>
      <c r="S55" s="168"/>
      <c r="T55" s="168"/>
      <c r="U55" s="168"/>
      <c r="V55" s="168"/>
      <c r="W55" s="168"/>
      <c r="X55" s="166"/>
      <c r="Y55" s="166"/>
      <c r="Z55" s="166"/>
      <c r="AA55" s="166"/>
      <c r="AB55" s="166"/>
      <c r="AC55" s="166"/>
      <c r="AD55" s="166"/>
      <c r="AE55" s="166"/>
      <c r="AF55" s="166"/>
      <c r="AG55" s="950"/>
      <c r="AH55" s="547"/>
      <c r="AI55" s="547"/>
      <c r="AJ55" s="165"/>
      <c r="AK55" s="165"/>
      <c r="AL55" s="165"/>
      <c r="AM55" s="946"/>
      <c r="AN55" s="946"/>
      <c r="AO55" s="946"/>
      <c r="AP55" s="946"/>
    </row>
    <row r="56" spans="1:43" hidden="1">
      <c r="A56" s="165"/>
      <c r="B56" s="165"/>
      <c r="C56" s="165"/>
      <c r="D56" s="165"/>
      <c r="E56" s="165"/>
      <c r="F56" s="165"/>
      <c r="G56" s="165"/>
      <c r="H56" s="165"/>
      <c r="I56" s="165"/>
      <c r="J56" s="165"/>
      <c r="K56" s="165"/>
      <c r="L56" s="165"/>
      <c r="M56" s="165"/>
      <c r="N56" s="165"/>
      <c r="O56" s="168"/>
      <c r="P56" s="168"/>
      <c r="Q56" s="168"/>
      <c r="R56" s="168"/>
      <c r="S56" s="168"/>
      <c r="T56" s="168"/>
      <c r="U56" s="168"/>
      <c r="V56" s="168"/>
      <c r="W56" s="168"/>
      <c r="X56" s="166"/>
      <c r="Y56" s="166"/>
      <c r="Z56" s="166"/>
      <c r="AA56" s="166"/>
      <c r="AB56" s="166"/>
      <c r="AC56" s="166"/>
      <c r="AD56" s="166"/>
      <c r="AE56" s="166"/>
      <c r="AF56" s="166"/>
      <c r="AG56" s="950"/>
      <c r="AH56" s="547"/>
      <c r="AI56" s="547"/>
      <c r="AJ56" s="165"/>
      <c r="AK56" s="165"/>
      <c r="AL56" s="165"/>
      <c r="AM56" s="946"/>
      <c r="AN56" s="946"/>
      <c r="AO56" s="946"/>
      <c r="AP56" s="946"/>
    </row>
    <row r="57" spans="1:43" hidden="1">
      <c r="A57" s="165"/>
      <c r="B57" s="165"/>
      <c r="C57" s="165"/>
      <c r="D57" s="165"/>
      <c r="E57" s="165"/>
      <c r="F57" s="165"/>
      <c r="G57" s="165"/>
      <c r="H57" s="165"/>
      <c r="I57" s="165"/>
      <c r="J57" s="165"/>
      <c r="K57" s="165"/>
      <c r="L57" s="165"/>
      <c r="M57" s="165"/>
      <c r="N57" s="165"/>
      <c r="O57" s="168"/>
      <c r="P57" s="168"/>
      <c r="Q57" s="168"/>
      <c r="R57" s="168"/>
      <c r="S57" s="168"/>
      <c r="T57" s="168"/>
      <c r="U57" s="168"/>
      <c r="V57" s="168"/>
      <c r="W57" s="168"/>
      <c r="X57" s="166"/>
      <c r="Y57" s="166"/>
      <c r="Z57" s="166"/>
      <c r="AA57" s="166"/>
      <c r="AB57" s="166"/>
      <c r="AC57" s="166"/>
      <c r="AD57" s="166"/>
      <c r="AE57" s="166"/>
      <c r="AF57" s="166"/>
      <c r="AG57" s="950"/>
      <c r="AH57" s="547"/>
      <c r="AI57" s="547"/>
      <c r="AJ57" s="165"/>
      <c r="AK57" s="165"/>
      <c r="AL57" s="165"/>
      <c r="AM57" s="946"/>
      <c r="AN57" s="946"/>
      <c r="AO57" s="946"/>
      <c r="AP57" s="946"/>
    </row>
    <row r="58" spans="1:43" hidden="1">
      <c r="A58" s="165"/>
      <c r="B58" s="165"/>
      <c r="C58" s="165"/>
      <c r="D58" s="165"/>
      <c r="E58" s="165"/>
      <c r="F58" s="165"/>
      <c r="G58" s="165"/>
      <c r="H58" s="165"/>
      <c r="I58" s="165"/>
      <c r="J58" s="165"/>
      <c r="K58" s="165"/>
      <c r="L58" s="165"/>
      <c r="M58" s="165"/>
      <c r="N58" s="165"/>
      <c r="O58" s="168"/>
      <c r="P58" s="168"/>
      <c r="Q58" s="168"/>
      <c r="R58" s="168"/>
      <c r="S58" s="168"/>
      <c r="T58" s="168"/>
      <c r="U58" s="168"/>
      <c r="V58" s="168"/>
      <c r="W58" s="168"/>
      <c r="X58" s="166"/>
      <c r="Y58" s="166"/>
      <c r="Z58" s="166"/>
      <c r="AA58" s="166"/>
      <c r="AB58" s="166"/>
      <c r="AC58" s="166"/>
      <c r="AD58" s="166"/>
      <c r="AE58" s="166"/>
      <c r="AF58" s="166"/>
      <c r="AG58" s="950"/>
      <c r="AH58" s="547"/>
      <c r="AI58" s="547"/>
      <c r="AJ58" s="165"/>
      <c r="AK58" s="165"/>
      <c r="AL58" s="165"/>
      <c r="AM58" s="946"/>
      <c r="AN58" s="946"/>
      <c r="AO58" s="946"/>
      <c r="AP58" s="946"/>
    </row>
    <row r="59" spans="1:43">
      <c r="A59" s="165"/>
      <c r="B59" s="165"/>
      <c r="C59" s="165"/>
      <c r="D59" s="165"/>
      <c r="E59" s="165"/>
      <c r="F59" s="165"/>
      <c r="G59" s="165"/>
      <c r="H59" s="165"/>
      <c r="I59" s="165"/>
      <c r="J59" s="165"/>
      <c r="K59" s="165"/>
      <c r="L59" s="165"/>
      <c r="M59" s="165"/>
      <c r="N59" s="165"/>
      <c r="O59" s="168"/>
      <c r="P59" s="168"/>
      <c r="Q59" s="168"/>
      <c r="R59" s="168"/>
      <c r="S59" s="168"/>
      <c r="T59" s="168"/>
      <c r="U59" s="168"/>
      <c r="V59" s="168"/>
      <c r="W59" s="168"/>
      <c r="X59" s="166"/>
      <c r="Y59" s="166"/>
      <c r="Z59" s="166"/>
      <c r="AA59" s="166"/>
      <c r="AB59" s="166"/>
      <c r="AC59" s="166"/>
      <c r="AD59" s="166"/>
      <c r="AE59" s="166"/>
      <c r="AF59" s="166"/>
      <c r="AG59" s="950"/>
      <c r="AH59" s="547"/>
      <c r="AI59" s="547"/>
      <c r="AJ59" s="165"/>
      <c r="AK59" s="165"/>
      <c r="AL59" s="165"/>
      <c r="AM59" s="946"/>
      <c r="AN59" s="946"/>
      <c r="AO59" s="946"/>
      <c r="AP59" s="946"/>
    </row>
    <row r="60" spans="1:43" outlineLevel="1">
      <c r="A60" s="165"/>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950"/>
      <c r="AH60" s="547"/>
      <c r="AI60" s="547"/>
      <c r="AJ60" s="165"/>
      <c r="AK60" s="165"/>
      <c r="AL60" s="165"/>
      <c r="AM60" s="946"/>
      <c r="AN60" s="946"/>
      <c r="AO60" s="946"/>
      <c r="AP60" s="946"/>
    </row>
    <row r="61" spans="1:43" outlineLevel="1">
      <c r="A61" s="165"/>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950"/>
      <c r="AH61" s="547"/>
      <c r="AI61" s="547"/>
      <c r="AJ61" s="547"/>
      <c r="AK61" s="547"/>
      <c r="AL61" s="165"/>
      <c r="AM61" s="946"/>
      <c r="AN61" s="946"/>
      <c r="AO61" s="946"/>
      <c r="AP61" s="946"/>
    </row>
    <row r="62" spans="1:43" outlineLevel="1">
      <c r="A62" s="165"/>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950"/>
      <c r="AH62" s="547"/>
      <c r="AI62" s="547"/>
      <c r="AJ62" s="547"/>
      <c r="AK62" s="547"/>
      <c r="AL62" s="165"/>
      <c r="AM62" s="946"/>
      <c r="AN62" s="946"/>
      <c r="AO62" s="946"/>
      <c r="AP62" s="946"/>
    </row>
    <row r="63" spans="1:43" outlineLevel="1">
      <c r="A63" s="165"/>
      <c r="B63" s="165" t="s">
        <v>1679</v>
      </c>
      <c r="C63" s="165"/>
      <c r="D63" s="165"/>
      <c r="E63" s="167"/>
      <c r="F63" s="167"/>
      <c r="G63" s="167"/>
      <c r="H63" s="167"/>
      <c r="I63" s="167"/>
      <c r="J63" s="167"/>
      <c r="K63" s="167"/>
      <c r="L63" s="167"/>
      <c r="M63" s="167"/>
      <c r="N63" s="167"/>
      <c r="O63" s="197"/>
      <c r="P63" s="198"/>
      <c r="Q63" s="199"/>
      <c r="R63" s="198"/>
      <c r="S63" s="198"/>
      <c r="T63" s="198"/>
      <c r="U63" s="198"/>
      <c r="V63" s="198"/>
      <c r="W63" s="198"/>
      <c r="X63" s="1003">
        <v>2001</v>
      </c>
      <c r="Y63" s="1356"/>
      <c r="Z63" s="967">
        <v>2003</v>
      </c>
      <c r="AA63" s="1356"/>
      <c r="AB63" s="967">
        <v>2005</v>
      </c>
      <c r="AC63" s="1356"/>
      <c r="AD63" s="967">
        <v>2007</v>
      </c>
      <c r="AE63" s="1356"/>
      <c r="AF63" s="967">
        <v>2009</v>
      </c>
      <c r="AG63" s="202">
        <v>2010</v>
      </c>
      <c r="AH63" s="202">
        <v>2011</v>
      </c>
      <c r="AI63" s="202">
        <v>2012</v>
      </c>
      <c r="AJ63" s="202">
        <v>2013</v>
      </c>
      <c r="AK63" s="202">
        <v>2014</v>
      </c>
      <c r="AL63" s="202">
        <v>2015</v>
      </c>
      <c r="AM63" s="174">
        <v>2016</v>
      </c>
      <c r="AN63" s="174">
        <v>2017</v>
      </c>
      <c r="AO63" s="174">
        <v>2018</v>
      </c>
      <c r="AP63" s="174">
        <v>2019</v>
      </c>
      <c r="AQ63" s="174">
        <v>2020</v>
      </c>
    </row>
    <row r="64" spans="1:43" outlineLevel="1">
      <c r="A64" s="165"/>
      <c r="B64" s="165" t="s">
        <v>1680</v>
      </c>
      <c r="C64" s="165"/>
      <c r="D64" s="165"/>
      <c r="E64" s="167"/>
      <c r="F64" s="167"/>
      <c r="G64" s="167"/>
      <c r="H64" s="167"/>
      <c r="I64" s="167"/>
      <c r="J64" s="167"/>
      <c r="K64" s="167"/>
      <c r="L64" s="167"/>
      <c r="M64" s="167"/>
      <c r="N64" s="167"/>
      <c r="O64" s="197"/>
      <c r="P64" s="198"/>
      <c r="Q64" s="199"/>
      <c r="R64" s="198"/>
      <c r="S64" s="198"/>
      <c r="T64" s="198"/>
      <c r="U64" s="198"/>
      <c r="V64" s="198"/>
      <c r="W64" s="198"/>
      <c r="X64" s="547"/>
      <c r="Y64" s="994"/>
      <c r="Z64" s="547"/>
      <c r="AA64" s="994"/>
      <c r="AB64" s="994"/>
      <c r="AC64" s="994"/>
      <c r="AD64" s="547"/>
      <c r="AE64" s="994"/>
      <c r="AF64" s="547"/>
      <c r="AG64" s="547"/>
      <c r="AH64" s="547"/>
      <c r="AI64" s="547"/>
      <c r="AJ64" s="547"/>
      <c r="AK64" s="547"/>
      <c r="AL64" s="165"/>
      <c r="AM64" s="946"/>
      <c r="AN64" s="946"/>
      <c r="AO64" s="946"/>
      <c r="AP64" s="946"/>
      <c r="AQ64" s="946"/>
    </row>
    <row r="65" spans="1:43" outlineLevel="1">
      <c r="A65" s="165"/>
      <c r="B65" s="204" t="s">
        <v>28</v>
      </c>
      <c r="C65" s="165" t="s">
        <v>29</v>
      </c>
      <c r="D65" s="165"/>
      <c r="E65" s="167"/>
      <c r="F65" s="167"/>
      <c r="G65" s="167"/>
      <c r="H65" s="167"/>
      <c r="I65" s="167"/>
      <c r="J65" s="167"/>
      <c r="K65" s="167"/>
      <c r="L65" s="167"/>
      <c r="M65" s="167"/>
      <c r="N65" s="167"/>
      <c r="O65" s="197"/>
      <c r="P65" s="198"/>
      <c r="Q65" s="199"/>
      <c r="R65" s="198"/>
      <c r="S65" s="198"/>
      <c r="T65" s="198"/>
      <c r="U65" s="198"/>
      <c r="V65" s="198"/>
      <c r="W65" s="198"/>
      <c r="X65" s="950"/>
      <c r="Y65" s="950"/>
      <c r="Z65" s="950"/>
      <c r="AA65" s="950"/>
      <c r="AB65" s="950"/>
      <c r="AC65" s="950"/>
      <c r="AD65" s="950"/>
      <c r="AE65" s="950"/>
      <c r="AF65" s="950"/>
      <c r="AG65" s="1752">
        <v>17950.615000000002</v>
      </c>
      <c r="AH65" s="1752">
        <v>19542.912</v>
      </c>
      <c r="AI65" s="1752">
        <v>20772.763999999999</v>
      </c>
      <c r="AJ65" s="1752">
        <v>21853.246999999999</v>
      </c>
      <c r="AK65" s="1752">
        <v>22660.085999999999</v>
      </c>
      <c r="AL65" s="1752">
        <v>23346.514999999999</v>
      </c>
      <c r="AM65" s="1752">
        <v>24528.592000000001</v>
      </c>
      <c r="AN65" s="1752">
        <v>26291.205000000002</v>
      </c>
      <c r="AO65" s="1752">
        <v>27971.752</v>
      </c>
      <c r="AP65" s="1752">
        <v>29446.826000000001</v>
      </c>
      <c r="AQ65" s="1752">
        <v>29074.656999999999</v>
      </c>
    </row>
    <row r="66" spans="1:43" ht="4.5" customHeight="1" outlineLevel="1">
      <c r="A66" s="165"/>
      <c r="B66" s="75"/>
      <c r="C66" s="165"/>
      <c r="D66" s="165"/>
      <c r="E66" s="167"/>
      <c r="F66" s="167"/>
      <c r="G66" s="167"/>
      <c r="H66" s="167"/>
      <c r="I66" s="167"/>
      <c r="J66" s="167"/>
      <c r="K66" s="167"/>
      <c r="L66" s="167"/>
      <c r="M66" s="167"/>
      <c r="N66" s="167"/>
      <c r="O66" s="197"/>
      <c r="P66" s="198"/>
      <c r="Q66" s="199"/>
      <c r="R66" s="198"/>
      <c r="S66" s="198"/>
      <c r="T66" s="198"/>
      <c r="U66" s="198"/>
      <c r="V66" s="198"/>
      <c r="W66" s="198"/>
      <c r="X66" s="950"/>
      <c r="Y66" s="950"/>
      <c r="Z66" s="950"/>
      <c r="AA66" s="950"/>
      <c r="AB66" s="950"/>
      <c r="AC66" s="950"/>
      <c r="AD66" s="950"/>
      <c r="AE66" s="950"/>
      <c r="AF66" s="950"/>
      <c r="AG66" s="1752"/>
      <c r="AH66" s="1752"/>
      <c r="AI66" s="1752"/>
      <c r="AJ66" s="1752"/>
      <c r="AK66" s="1752"/>
      <c r="AL66" s="1752"/>
      <c r="AM66" s="1752"/>
      <c r="AN66" s="1752"/>
      <c r="AO66" s="1752"/>
      <c r="AP66" s="1752"/>
      <c r="AQ66" s="1752"/>
    </row>
    <row r="67" spans="1:43" outlineLevel="1">
      <c r="A67" s="165"/>
      <c r="B67" s="204" t="s">
        <v>30</v>
      </c>
      <c r="C67" s="165" t="s">
        <v>31</v>
      </c>
      <c r="D67" s="165"/>
      <c r="E67" s="167"/>
      <c r="F67" s="167"/>
      <c r="G67" s="167"/>
      <c r="H67" s="167"/>
      <c r="I67" s="167"/>
      <c r="J67" s="167"/>
      <c r="K67" s="167"/>
      <c r="L67" s="167"/>
      <c r="M67" s="167"/>
      <c r="N67" s="167"/>
      <c r="O67" s="197"/>
      <c r="P67" s="198"/>
      <c r="Q67" s="199"/>
      <c r="R67" s="198"/>
      <c r="S67" s="198"/>
      <c r="T67" s="198"/>
      <c r="U67" s="198"/>
      <c r="V67" s="198"/>
      <c r="W67" s="198"/>
      <c r="X67" s="950"/>
      <c r="Y67" s="950"/>
      <c r="Z67" s="950"/>
      <c r="AA67" s="950"/>
      <c r="AB67" s="950"/>
      <c r="AC67" s="950"/>
      <c r="AD67" s="950"/>
      <c r="AE67" s="950"/>
      <c r="AF67" s="950"/>
      <c r="AG67" s="1752">
        <v>20447.998</v>
      </c>
      <c r="AH67" s="1752">
        <v>22074.455000000002</v>
      </c>
      <c r="AI67" s="1752">
        <v>23354.754999999997</v>
      </c>
      <c r="AJ67" s="1752">
        <v>24342.674999999999</v>
      </c>
      <c r="AK67" s="1752">
        <v>25266.808999999997</v>
      </c>
      <c r="AL67" s="1752">
        <v>26159.687999999998</v>
      </c>
      <c r="AM67" s="1752">
        <v>27325.800000000003</v>
      </c>
      <c r="AN67" s="1752">
        <v>29158.008000000002</v>
      </c>
      <c r="AO67" s="1752">
        <v>30998.898000000001</v>
      </c>
      <c r="AP67" s="1752">
        <v>32745.647999999997</v>
      </c>
      <c r="AQ67" s="1752">
        <v>32640.342999999993</v>
      </c>
    </row>
    <row r="68" spans="1:43" ht="4.5" customHeight="1" outlineLevel="1">
      <c r="A68" s="165"/>
      <c r="B68" s="75"/>
      <c r="C68" s="165"/>
      <c r="D68" s="165"/>
      <c r="E68" s="167"/>
      <c r="F68" s="167"/>
      <c r="G68" s="167"/>
      <c r="H68" s="167"/>
      <c r="I68" s="167"/>
      <c r="J68" s="167"/>
      <c r="K68" s="167"/>
      <c r="L68" s="167"/>
      <c r="M68" s="167"/>
      <c r="N68" s="167"/>
      <c r="O68" s="197"/>
      <c r="P68" s="198"/>
      <c r="Q68" s="199"/>
      <c r="R68" s="198"/>
      <c r="S68" s="198"/>
      <c r="T68" s="198"/>
      <c r="U68" s="198"/>
      <c r="V68" s="198"/>
      <c r="W68" s="198"/>
      <c r="X68" s="950"/>
      <c r="Y68" s="950"/>
      <c r="Z68" s="950"/>
      <c r="AA68" s="950"/>
      <c r="AB68" s="950"/>
      <c r="AC68" s="950"/>
      <c r="AD68" s="950"/>
      <c r="AE68" s="950"/>
      <c r="AF68" s="950"/>
      <c r="AG68" s="1752"/>
      <c r="AH68" s="1752"/>
      <c r="AI68" s="1752"/>
      <c r="AJ68" s="1752"/>
      <c r="AK68" s="1752"/>
      <c r="AL68" s="1752"/>
      <c r="AM68" s="1752"/>
      <c r="AN68" s="1752"/>
      <c r="AO68" s="1752"/>
      <c r="AP68" s="1752"/>
      <c r="AQ68" s="1752"/>
    </row>
    <row r="69" spans="1:43" outlineLevel="1">
      <c r="A69" s="165"/>
      <c r="B69" s="204" t="s">
        <v>32</v>
      </c>
      <c r="C69" s="165" t="s">
        <v>33</v>
      </c>
      <c r="D69" s="165"/>
      <c r="E69" s="167"/>
      <c r="F69" s="167"/>
      <c r="G69" s="167"/>
      <c r="H69" s="167"/>
      <c r="I69" s="167"/>
      <c r="J69" s="167"/>
      <c r="K69" s="167"/>
      <c r="L69" s="167"/>
      <c r="M69" s="167"/>
      <c r="N69" s="167"/>
      <c r="O69" s="197"/>
      <c r="P69" s="198"/>
      <c r="Q69" s="199"/>
      <c r="R69" s="198"/>
      <c r="S69" s="198"/>
      <c r="T69" s="198"/>
      <c r="U69" s="198"/>
      <c r="V69" s="198"/>
      <c r="W69" s="198"/>
      <c r="X69" s="950"/>
      <c r="Y69" s="950"/>
      <c r="Z69" s="950"/>
      <c r="AA69" s="950"/>
      <c r="AB69" s="950"/>
      <c r="AC69" s="950"/>
      <c r="AD69" s="950"/>
      <c r="AE69" s="950"/>
      <c r="AF69" s="950"/>
      <c r="AG69" s="1752">
        <f t="shared" ref="AG69:AM69" si="10">SUM(AG71:AG72)</f>
        <v>3086.1400000000003</v>
      </c>
      <c r="AH69" s="1752">
        <f t="shared" si="10"/>
        <v>3387.489</v>
      </c>
      <c r="AI69" s="1752">
        <f t="shared" si="10"/>
        <v>3464.087</v>
      </c>
      <c r="AJ69" s="1752">
        <f t="shared" si="10"/>
        <v>3607.43</v>
      </c>
      <c r="AK69" s="1752">
        <f t="shared" si="10"/>
        <v>3819.808</v>
      </c>
      <c r="AL69" s="1752">
        <f t="shared" si="10"/>
        <v>4077.7530000000002</v>
      </c>
      <c r="AM69" s="1752">
        <f t="shared" si="10"/>
        <v>4287.6019999999999</v>
      </c>
      <c r="AN69" s="1752">
        <f t="shared" ref="AN69:AQ69" si="11">SUM(AN71:AN72)</f>
        <v>4674.9210000000003</v>
      </c>
      <c r="AO69" s="1752">
        <f t="shared" si="11"/>
        <v>4996.3069999999998</v>
      </c>
      <c r="AP69" s="1752">
        <f t="shared" si="11"/>
        <v>5379.6480000000001</v>
      </c>
      <c r="AQ69" s="1752">
        <f t="shared" si="11"/>
        <v>5456.7460000000001</v>
      </c>
    </row>
    <row r="70" spans="1:43" ht="4.5" customHeight="1" outlineLevel="1">
      <c r="A70" s="165"/>
      <c r="B70" s="75"/>
      <c r="C70" s="165"/>
      <c r="D70" s="165"/>
      <c r="E70" s="167"/>
      <c r="F70" s="167"/>
      <c r="G70" s="167"/>
      <c r="H70" s="167"/>
      <c r="I70" s="167"/>
      <c r="J70" s="167"/>
      <c r="K70" s="167"/>
      <c r="L70" s="167"/>
      <c r="M70" s="167"/>
      <c r="N70" s="167"/>
      <c r="O70" s="197"/>
      <c r="P70" s="198"/>
      <c r="Q70" s="199"/>
      <c r="R70" s="198"/>
      <c r="S70" s="198"/>
      <c r="T70" s="198"/>
      <c r="U70" s="198"/>
      <c r="V70" s="198"/>
      <c r="W70" s="198"/>
      <c r="X70" s="950"/>
      <c r="Y70" s="950"/>
      <c r="Z70" s="950"/>
      <c r="AA70" s="950"/>
      <c r="AB70" s="950"/>
      <c r="AC70" s="950"/>
      <c r="AD70" s="950"/>
      <c r="AE70" s="950"/>
      <c r="AF70" s="950"/>
      <c r="AG70" s="1752"/>
      <c r="AH70" s="1752"/>
      <c r="AI70" s="1752"/>
      <c r="AJ70" s="1752"/>
      <c r="AK70" s="1752"/>
      <c r="AL70" s="1752"/>
      <c r="AM70" s="1752"/>
      <c r="AN70" s="1752"/>
      <c r="AO70" s="1752"/>
      <c r="AP70" s="1752"/>
      <c r="AQ70" s="1752"/>
    </row>
    <row r="71" spans="1:43" outlineLevel="1">
      <c r="A71" s="165"/>
      <c r="B71" s="75"/>
      <c r="C71" s="165" t="s">
        <v>34</v>
      </c>
      <c r="D71" s="165"/>
      <c r="E71" s="167"/>
      <c r="F71" s="167"/>
      <c r="G71" s="167"/>
      <c r="H71" s="167"/>
      <c r="I71" s="167"/>
      <c r="J71" s="167"/>
      <c r="K71" s="167"/>
      <c r="L71" s="167"/>
      <c r="M71" s="167"/>
      <c r="N71" s="167"/>
      <c r="O71" s="197"/>
      <c r="P71" s="198"/>
      <c r="Q71" s="199"/>
      <c r="R71" s="198"/>
      <c r="S71" s="198"/>
      <c r="T71" s="198"/>
      <c r="U71" s="198"/>
      <c r="V71" s="198"/>
      <c r="W71" s="198"/>
      <c r="X71" s="950"/>
      <c r="Y71" s="950"/>
      <c r="Z71" s="950"/>
      <c r="AA71" s="950"/>
      <c r="AB71" s="950"/>
      <c r="AC71" s="950"/>
      <c r="AD71" s="950"/>
      <c r="AE71" s="950"/>
      <c r="AF71" s="950"/>
      <c r="AG71" s="1752">
        <v>2183.0660000000003</v>
      </c>
      <c r="AH71" s="1752">
        <v>2443.7559999999999</v>
      </c>
      <c r="AI71" s="1752">
        <v>2520.8200000000002</v>
      </c>
      <c r="AJ71" s="1752">
        <v>2611.2249999999999</v>
      </c>
      <c r="AK71" s="1752">
        <v>2764.4380000000001</v>
      </c>
      <c r="AL71" s="1752">
        <v>2912.6770000000001</v>
      </c>
      <c r="AM71" s="1752">
        <v>3051.855</v>
      </c>
      <c r="AN71" s="1752">
        <v>3336.2460000000001</v>
      </c>
      <c r="AO71" s="1752">
        <v>3551.9159999999997</v>
      </c>
      <c r="AP71" s="1752">
        <v>3876.3789999999999</v>
      </c>
      <c r="AQ71" s="1752">
        <v>3910.7260000000001</v>
      </c>
    </row>
    <row r="72" spans="1:43" outlineLevel="1">
      <c r="A72" s="165"/>
      <c r="B72" s="75"/>
      <c r="C72" s="165" t="s">
        <v>35</v>
      </c>
      <c r="D72" s="165"/>
      <c r="E72" s="167"/>
      <c r="F72" s="167"/>
      <c r="G72" s="167"/>
      <c r="H72" s="167"/>
      <c r="I72" s="167"/>
      <c r="J72" s="167"/>
      <c r="K72" s="167"/>
      <c r="L72" s="167"/>
      <c r="M72" s="167"/>
      <c r="N72" s="167"/>
      <c r="O72" s="197"/>
      <c r="P72" s="198"/>
      <c r="Q72" s="199"/>
      <c r="R72" s="198"/>
      <c r="S72" s="198"/>
      <c r="T72" s="198"/>
      <c r="U72" s="198"/>
      <c r="V72" s="198"/>
      <c r="W72" s="198"/>
      <c r="X72" s="950"/>
      <c r="Y72" s="950"/>
      <c r="Z72" s="950"/>
      <c r="AA72" s="950"/>
      <c r="AB72" s="950"/>
      <c r="AC72" s="950"/>
      <c r="AD72" s="950"/>
      <c r="AE72" s="950"/>
      <c r="AF72" s="950"/>
      <c r="AG72" s="1752">
        <v>903.07400000000007</v>
      </c>
      <c r="AH72" s="1752">
        <v>943.73300000000006</v>
      </c>
      <c r="AI72" s="1752">
        <v>943.26699999999994</v>
      </c>
      <c r="AJ72" s="1752">
        <v>996.20500000000004</v>
      </c>
      <c r="AK72" s="1752">
        <v>1055.3699999999999</v>
      </c>
      <c r="AL72" s="1752">
        <v>1165.076</v>
      </c>
      <c r="AM72" s="1752">
        <v>1235.7469999999998</v>
      </c>
      <c r="AN72" s="1752">
        <v>1338.675</v>
      </c>
      <c r="AO72" s="1752">
        <v>1444.3910000000001</v>
      </c>
      <c r="AP72" s="1752">
        <v>1503.269</v>
      </c>
      <c r="AQ72" s="1752">
        <v>1546.02</v>
      </c>
    </row>
    <row r="73" spans="1:43" ht="4.5" customHeight="1" outlineLevel="1">
      <c r="A73" s="165"/>
      <c r="B73" s="75"/>
      <c r="C73" s="165"/>
      <c r="D73" s="165"/>
      <c r="E73" s="167"/>
      <c r="F73" s="167"/>
      <c r="G73" s="167"/>
      <c r="H73" s="167"/>
      <c r="I73" s="167"/>
      <c r="J73" s="167"/>
      <c r="K73" s="167"/>
      <c r="L73" s="167"/>
      <c r="M73" s="167"/>
      <c r="N73" s="167"/>
      <c r="O73" s="197"/>
      <c r="P73" s="198"/>
      <c r="Q73" s="199"/>
      <c r="R73" s="198"/>
      <c r="S73" s="198"/>
      <c r="T73" s="198"/>
      <c r="U73" s="198"/>
      <c r="V73" s="198"/>
      <c r="W73" s="198"/>
      <c r="X73" s="950"/>
      <c r="Y73" s="950"/>
      <c r="Z73" s="950"/>
      <c r="AA73" s="950"/>
      <c r="AB73" s="950"/>
      <c r="AC73" s="950"/>
      <c r="AD73" s="950"/>
      <c r="AE73" s="950"/>
      <c r="AF73" s="950"/>
      <c r="AG73" s="1752"/>
      <c r="AH73" s="1752"/>
      <c r="AI73" s="1752"/>
      <c r="AJ73" s="1752"/>
      <c r="AK73" s="1752"/>
      <c r="AL73" s="1752"/>
      <c r="AM73" s="1752"/>
      <c r="AN73" s="1752"/>
      <c r="AO73" s="1752"/>
      <c r="AP73" s="1752"/>
      <c r="AQ73" s="1752"/>
    </row>
    <row r="74" spans="1:43" outlineLevel="1">
      <c r="A74" s="165"/>
      <c r="B74" s="204" t="s">
        <v>36</v>
      </c>
      <c r="C74" s="165" t="s">
        <v>37</v>
      </c>
      <c r="D74" s="165"/>
      <c r="E74" s="167"/>
      <c r="F74" s="167"/>
      <c r="G74" s="167"/>
      <c r="H74" s="167"/>
      <c r="I74" s="167"/>
      <c r="J74" s="167"/>
      <c r="K74" s="167"/>
      <c r="L74" s="167"/>
      <c r="M74" s="167"/>
      <c r="N74" s="167"/>
      <c r="O74" s="197"/>
      <c r="P74" s="198"/>
      <c r="Q74" s="199"/>
      <c r="R74" s="198"/>
      <c r="S74" s="198"/>
      <c r="T74" s="198"/>
      <c r="U74" s="198"/>
      <c r="V74" s="198"/>
      <c r="W74" s="198"/>
      <c r="X74" s="950"/>
      <c r="Y74" s="950"/>
      <c r="Z74" s="950"/>
      <c r="AA74" s="950"/>
      <c r="AB74" s="950"/>
      <c r="AC74" s="950"/>
      <c r="AD74" s="950"/>
      <c r="AE74" s="950"/>
      <c r="AF74" s="950"/>
      <c r="AG74" s="1752">
        <v>3201.5709999999999</v>
      </c>
      <c r="AH74" s="1752">
        <v>3510.0129999999999</v>
      </c>
      <c r="AI74" s="1752">
        <v>3601.78</v>
      </c>
      <c r="AJ74" s="1752">
        <v>3684.596</v>
      </c>
      <c r="AK74" s="1752">
        <v>3988.4339999999997</v>
      </c>
      <c r="AL74" s="1752">
        <v>4175.674</v>
      </c>
      <c r="AM74" s="1752">
        <v>4454.6639999999998</v>
      </c>
      <c r="AN74" s="1752">
        <v>4822.6680000000006</v>
      </c>
      <c r="AO74" s="1752">
        <v>5150.0450000000001</v>
      </c>
      <c r="AP74" s="1752">
        <v>5541.1450000000004</v>
      </c>
      <c r="AQ74" s="1752">
        <v>5621.6549999999997</v>
      </c>
    </row>
    <row r="75" spans="1:43" ht="4.5" customHeight="1" outlineLevel="1">
      <c r="A75" s="165"/>
      <c r="B75" s="75"/>
      <c r="C75" s="165"/>
      <c r="D75" s="165"/>
      <c r="E75" s="167"/>
      <c r="F75" s="167"/>
      <c r="G75" s="167"/>
      <c r="H75" s="167"/>
      <c r="I75" s="167"/>
      <c r="J75" s="167"/>
      <c r="K75" s="167"/>
      <c r="L75" s="167"/>
      <c r="M75" s="167"/>
      <c r="N75" s="167"/>
      <c r="O75" s="197"/>
      <c r="P75" s="198"/>
      <c r="Q75" s="199"/>
      <c r="R75" s="198"/>
      <c r="S75" s="198"/>
      <c r="T75" s="198"/>
      <c r="U75" s="198"/>
      <c r="V75" s="198"/>
      <c r="W75" s="198"/>
      <c r="X75" s="950"/>
      <c r="Y75" s="950"/>
      <c r="Z75" s="950"/>
      <c r="AA75" s="950"/>
      <c r="AB75" s="950"/>
      <c r="AC75" s="950"/>
      <c r="AD75" s="950"/>
      <c r="AE75" s="950"/>
      <c r="AF75" s="950"/>
      <c r="AG75" s="1752"/>
      <c r="AH75" s="1752"/>
      <c r="AI75" s="1752"/>
      <c r="AJ75" s="1752"/>
      <c r="AK75" s="1752"/>
      <c r="AL75" s="1752"/>
      <c r="AM75" s="1752"/>
      <c r="AN75" s="1752"/>
      <c r="AO75" s="1752"/>
      <c r="AP75" s="1752"/>
      <c r="AQ75" s="1752"/>
    </row>
    <row r="76" spans="1:43" outlineLevel="1">
      <c r="A76" s="165"/>
      <c r="B76" s="204" t="s">
        <v>38</v>
      </c>
      <c r="C76" s="165" t="s">
        <v>39</v>
      </c>
      <c r="D76" s="165"/>
      <c r="E76" s="167"/>
      <c r="F76" s="167"/>
      <c r="G76" s="167"/>
      <c r="H76" s="167"/>
      <c r="I76" s="167"/>
      <c r="J76" s="167"/>
      <c r="K76" s="167"/>
      <c r="L76" s="167"/>
      <c r="M76" s="167"/>
      <c r="N76" s="167"/>
      <c r="O76" s="197"/>
      <c r="P76" s="198"/>
      <c r="Q76" s="199"/>
      <c r="R76" s="198"/>
      <c r="S76" s="198"/>
      <c r="T76" s="198"/>
      <c r="U76" s="198"/>
      <c r="V76" s="198"/>
      <c r="W76" s="198"/>
      <c r="X76" s="950"/>
      <c r="Y76" s="950"/>
      <c r="Z76" s="950"/>
      <c r="AA76" s="950"/>
      <c r="AB76" s="950"/>
      <c r="AC76" s="950"/>
      <c r="AD76" s="950"/>
      <c r="AE76" s="950"/>
      <c r="AF76" s="950"/>
      <c r="AG76" s="1752">
        <v>3284.308</v>
      </c>
      <c r="AH76" s="1752">
        <v>3607.7340000000004</v>
      </c>
      <c r="AI76" s="1752">
        <v>3710.2420000000002</v>
      </c>
      <c r="AJ76" s="1752">
        <v>3762.2740000000003</v>
      </c>
      <c r="AK76" s="1752">
        <v>4071.1209999999996</v>
      </c>
      <c r="AL76" s="1752">
        <v>4249.4480000000003</v>
      </c>
      <c r="AM76" s="1752">
        <v>4531.2510000000002</v>
      </c>
      <c r="AN76" s="1752">
        <v>4903.8639999999996</v>
      </c>
      <c r="AO76" s="1752">
        <v>5245.7560000000003</v>
      </c>
      <c r="AP76" s="1752">
        <v>5640.4459999999999</v>
      </c>
      <c r="AQ76" s="1752">
        <v>5736.0819999999994</v>
      </c>
    </row>
    <row r="77" spans="1:43" ht="4.5" customHeight="1" outlineLevel="1">
      <c r="A77" s="165"/>
      <c r="B77" s="204"/>
      <c r="C77" s="165"/>
      <c r="D77" s="165"/>
      <c r="E77" s="167"/>
      <c r="F77" s="167"/>
      <c r="G77" s="167"/>
      <c r="H77" s="167"/>
      <c r="I77" s="167"/>
      <c r="J77" s="167"/>
      <c r="K77" s="167"/>
      <c r="L77" s="167"/>
      <c r="M77" s="167"/>
      <c r="N77" s="167"/>
      <c r="O77" s="197"/>
      <c r="P77" s="198"/>
      <c r="Q77" s="199"/>
      <c r="R77" s="198"/>
      <c r="S77" s="198"/>
      <c r="T77" s="198"/>
      <c r="U77" s="198"/>
      <c r="V77" s="198"/>
      <c r="W77" s="198"/>
      <c r="X77" s="950"/>
      <c r="Y77" s="547"/>
      <c r="Z77" s="950"/>
      <c r="AA77" s="547"/>
      <c r="AB77" s="950"/>
      <c r="AC77" s="950"/>
      <c r="AD77" s="950"/>
      <c r="AE77" s="547"/>
      <c r="AF77" s="950"/>
      <c r="AG77" s="1752"/>
      <c r="AH77" s="1752"/>
      <c r="AI77" s="1752"/>
      <c r="AJ77" s="1752"/>
      <c r="AK77" s="1752"/>
      <c r="AL77" s="1752"/>
      <c r="AM77" s="1752"/>
      <c r="AN77" s="1752"/>
      <c r="AO77" s="1752"/>
      <c r="AP77" s="1752"/>
      <c r="AQ77" s="1752"/>
    </row>
    <row r="78" spans="1:43" outlineLevel="1">
      <c r="A78" s="165"/>
      <c r="B78" s="165" t="s">
        <v>40</v>
      </c>
      <c r="C78" s="165"/>
      <c r="D78" s="165"/>
      <c r="E78" s="167"/>
      <c r="F78" s="167"/>
      <c r="G78" s="167"/>
      <c r="H78" s="167"/>
      <c r="I78" s="167"/>
      <c r="J78" s="167"/>
      <c r="K78" s="167"/>
      <c r="L78" s="167"/>
      <c r="M78" s="167"/>
      <c r="N78" s="167"/>
      <c r="O78" s="197"/>
      <c r="P78" s="198"/>
      <c r="Q78" s="199"/>
      <c r="R78" s="198"/>
      <c r="S78" s="198"/>
      <c r="T78" s="198"/>
      <c r="U78" s="198"/>
      <c r="V78" s="198"/>
      <c r="W78" s="198"/>
      <c r="X78" s="950"/>
      <c r="Y78" s="547"/>
      <c r="Z78" s="950"/>
      <c r="AA78" s="547"/>
      <c r="AB78" s="950"/>
      <c r="AC78" s="950"/>
      <c r="AD78" s="950"/>
      <c r="AE78" s="547"/>
      <c r="AF78" s="950"/>
      <c r="AG78" s="1752"/>
      <c r="AH78" s="1752"/>
      <c r="AI78" s="1752"/>
      <c r="AJ78" s="1752"/>
      <c r="AK78" s="1752"/>
      <c r="AL78" s="1752"/>
      <c r="AM78" s="1752"/>
      <c r="AN78" s="1752"/>
      <c r="AO78" s="1752"/>
      <c r="AP78" s="1752"/>
      <c r="AQ78" s="1752"/>
    </row>
    <row r="79" spans="1:43" ht="4.5" customHeight="1" outlineLevel="1">
      <c r="A79" s="165"/>
      <c r="B79" s="75"/>
      <c r="C79" s="165"/>
      <c r="D79" s="165"/>
      <c r="E79" s="167"/>
      <c r="F79" s="167"/>
      <c r="G79" s="167"/>
      <c r="H79" s="167"/>
      <c r="I79" s="167"/>
      <c r="J79" s="167"/>
      <c r="K79" s="167"/>
      <c r="L79" s="167"/>
      <c r="M79" s="167"/>
      <c r="N79" s="167"/>
      <c r="O79" s="197"/>
      <c r="P79" s="198"/>
      <c r="Q79" s="199"/>
      <c r="R79" s="198"/>
      <c r="S79" s="198"/>
      <c r="T79" s="198"/>
      <c r="U79" s="198"/>
      <c r="V79" s="198"/>
      <c r="W79" s="198"/>
      <c r="X79" s="950"/>
      <c r="Y79" s="547"/>
      <c r="Z79" s="950"/>
      <c r="AA79" s="547"/>
      <c r="AB79" s="950"/>
      <c r="AC79" s="950"/>
      <c r="AD79" s="950"/>
      <c r="AE79" s="547"/>
      <c r="AF79" s="950"/>
      <c r="AG79" s="1752"/>
      <c r="AH79" s="1752"/>
      <c r="AI79" s="1752"/>
      <c r="AJ79" s="1752"/>
      <c r="AK79" s="1752"/>
      <c r="AL79" s="1752"/>
      <c r="AM79" s="1752"/>
      <c r="AN79" s="1752"/>
      <c r="AO79" s="1752"/>
      <c r="AP79" s="1752"/>
      <c r="AQ79" s="1752"/>
    </row>
    <row r="80" spans="1:43" outlineLevel="1">
      <c r="A80" s="165"/>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1753"/>
      <c r="Y80" s="971"/>
      <c r="Z80" s="1753"/>
      <c r="AA80" s="971"/>
      <c r="AB80" s="1753"/>
      <c r="AC80" s="1753"/>
      <c r="AD80" s="1753"/>
      <c r="AE80" s="971"/>
      <c r="AF80" s="1753"/>
      <c r="AG80" s="1754">
        <f t="shared" ref="AG80:AQ80" si="12">AG69/AG67</f>
        <v>0.15092626671814036</v>
      </c>
      <c r="AH80" s="1754">
        <f t="shared" si="12"/>
        <v>0.1534574239771718</v>
      </c>
      <c r="AI80" s="1754">
        <f t="shared" si="12"/>
        <v>0.14832469876048798</v>
      </c>
      <c r="AJ80" s="1754">
        <f t="shared" si="12"/>
        <v>0.14819365579173202</v>
      </c>
      <c r="AK80" s="1754">
        <f t="shared" si="12"/>
        <v>0.15117888452000411</v>
      </c>
      <c r="AL80" s="1754">
        <f t="shared" si="12"/>
        <v>0.15587926736740898</v>
      </c>
      <c r="AM80" s="1754">
        <f t="shared" si="12"/>
        <v>0.15690673283124371</v>
      </c>
      <c r="AN80" s="1754">
        <f t="shared" si="12"/>
        <v>0.16033060283130451</v>
      </c>
      <c r="AO80" s="1754">
        <f t="shared" si="12"/>
        <v>0.16117692312804149</v>
      </c>
      <c r="AP80" s="1754">
        <f t="shared" si="12"/>
        <v>0.16428589228101398</v>
      </c>
      <c r="AQ80" s="1754">
        <f t="shared" si="12"/>
        <v>0.16717796133453625</v>
      </c>
    </row>
    <row r="81" spans="1:43" ht="4.5" customHeight="1" outlineLevel="1">
      <c r="A81" s="165"/>
      <c r="B81" s="75"/>
      <c r="C81" s="165"/>
      <c r="D81" s="165"/>
      <c r="E81" s="167"/>
      <c r="F81" s="167"/>
      <c r="G81" s="167"/>
      <c r="H81" s="167"/>
      <c r="I81" s="167"/>
      <c r="J81" s="167"/>
      <c r="K81" s="167"/>
      <c r="L81" s="167"/>
      <c r="M81" s="167"/>
      <c r="N81" s="167"/>
      <c r="O81" s="197"/>
      <c r="P81" s="198"/>
      <c r="Q81" s="199"/>
      <c r="R81" s="198"/>
      <c r="S81" s="198"/>
      <c r="T81" s="198"/>
      <c r="U81" s="198"/>
      <c r="V81" s="198"/>
      <c r="W81" s="198"/>
      <c r="X81" s="950"/>
      <c r="Y81" s="547"/>
      <c r="Z81" s="950"/>
      <c r="AA81" s="547"/>
      <c r="AB81" s="950"/>
      <c r="AC81" s="950"/>
      <c r="AD81" s="950"/>
      <c r="AE81" s="547"/>
      <c r="AF81" s="950"/>
      <c r="AG81" s="1755"/>
      <c r="AH81" s="1755"/>
      <c r="AI81" s="1755"/>
      <c r="AJ81" s="1755"/>
      <c r="AK81" s="1755"/>
      <c r="AL81" s="1755"/>
      <c r="AM81" s="1755"/>
      <c r="AN81" s="1755"/>
      <c r="AO81" s="1755"/>
      <c r="AP81" s="1755"/>
      <c r="AQ81" s="1755"/>
    </row>
    <row r="82" spans="1:43" outlineLevel="1">
      <c r="A82" s="165"/>
      <c r="B82" s="204" t="s">
        <v>43</v>
      </c>
      <c r="C82" s="165" t="s">
        <v>44</v>
      </c>
      <c r="D82" s="165"/>
      <c r="E82" s="167"/>
      <c r="F82" s="167"/>
      <c r="G82" s="167"/>
      <c r="H82" s="167"/>
      <c r="I82" s="167"/>
      <c r="J82" s="167"/>
      <c r="K82" s="167"/>
      <c r="L82" s="167"/>
      <c r="M82" s="167"/>
      <c r="N82" s="167"/>
      <c r="O82" s="197"/>
      <c r="P82" s="198"/>
      <c r="Q82" s="199"/>
      <c r="R82" s="198"/>
      <c r="S82" s="198"/>
      <c r="T82" s="198"/>
      <c r="U82" s="198"/>
      <c r="V82" s="198"/>
      <c r="W82" s="198"/>
      <c r="X82" s="1756"/>
      <c r="Y82" s="547"/>
      <c r="Z82" s="1756"/>
      <c r="AA82" s="547"/>
      <c r="AB82" s="1756"/>
      <c r="AC82" s="1756"/>
      <c r="AD82" s="1756"/>
      <c r="AE82" s="547"/>
      <c r="AF82" s="1756"/>
      <c r="AG82" s="1757">
        <f t="shared" ref="AG82:AQ82" si="13">AG76/AG67</f>
        <v>0.16061758222002956</v>
      </c>
      <c r="AH82" s="1757">
        <f t="shared" si="13"/>
        <v>0.16343479374688979</v>
      </c>
      <c r="AI82" s="1757">
        <f t="shared" si="13"/>
        <v>0.15886452244949692</v>
      </c>
      <c r="AJ82" s="1757">
        <f t="shared" si="13"/>
        <v>0.15455466582863225</v>
      </c>
      <c r="AK82" s="1757">
        <f t="shared" si="13"/>
        <v>0.16112525329177896</v>
      </c>
      <c r="AL82" s="1757">
        <f t="shared" si="13"/>
        <v>0.16244261017180331</v>
      </c>
      <c r="AM82" s="1757">
        <f t="shared" si="13"/>
        <v>0.16582317809542629</v>
      </c>
      <c r="AN82" s="1757">
        <f t="shared" si="13"/>
        <v>0.1681824080712235</v>
      </c>
      <c r="AO82" s="1757">
        <f t="shared" si="13"/>
        <v>0.16922395112239152</v>
      </c>
      <c r="AP82" s="1757">
        <f t="shared" si="13"/>
        <v>0.1722502483383441</v>
      </c>
      <c r="AQ82" s="1757">
        <f t="shared" si="13"/>
        <v>0.17573595963743396</v>
      </c>
    </row>
    <row r="83" spans="1:43" ht="4.5" customHeight="1" outlineLevel="1">
      <c r="A83" s="165"/>
      <c r="B83" s="75"/>
      <c r="C83" s="165"/>
      <c r="D83" s="165"/>
      <c r="E83" s="167"/>
      <c r="F83" s="167"/>
      <c r="G83" s="167"/>
      <c r="H83" s="167"/>
      <c r="I83" s="167"/>
      <c r="J83" s="167"/>
      <c r="K83" s="167"/>
      <c r="L83" s="167"/>
      <c r="M83" s="167"/>
      <c r="N83" s="167"/>
      <c r="O83" s="197"/>
      <c r="P83" s="198"/>
      <c r="Q83" s="199"/>
      <c r="R83" s="198"/>
      <c r="S83" s="198"/>
      <c r="T83" s="198"/>
      <c r="U83" s="198"/>
      <c r="V83" s="198"/>
      <c r="W83" s="198"/>
      <c r="X83" s="950"/>
      <c r="Y83" s="547"/>
      <c r="Z83" s="950"/>
      <c r="AA83" s="547"/>
      <c r="AB83" s="950"/>
      <c r="AC83" s="950"/>
      <c r="AD83" s="950"/>
      <c r="AE83" s="547"/>
      <c r="AF83" s="950"/>
      <c r="AG83" s="1755"/>
      <c r="AH83" s="1755"/>
      <c r="AI83" s="1755"/>
      <c r="AJ83" s="1755"/>
      <c r="AK83" s="1755"/>
      <c r="AL83" s="1755"/>
      <c r="AM83" s="1755"/>
      <c r="AN83" s="1755"/>
      <c r="AO83" s="1755"/>
      <c r="AP83" s="1755"/>
      <c r="AQ83" s="1755"/>
    </row>
    <row r="84" spans="1:43" outlineLevel="1">
      <c r="A84" s="165"/>
      <c r="B84" s="204" t="s">
        <v>45</v>
      </c>
      <c r="C84" s="165" t="s">
        <v>46</v>
      </c>
      <c r="D84" s="165"/>
      <c r="E84" s="167"/>
      <c r="F84" s="167"/>
      <c r="G84" s="167"/>
      <c r="H84" s="167"/>
      <c r="I84" s="167"/>
      <c r="J84" s="167"/>
      <c r="K84" s="167"/>
      <c r="L84" s="167"/>
      <c r="M84" s="167"/>
      <c r="N84" s="167"/>
      <c r="O84" s="197"/>
      <c r="P84" s="198"/>
      <c r="Q84" s="199"/>
      <c r="R84" s="198"/>
      <c r="S84" s="198"/>
      <c r="T84" s="198"/>
      <c r="U84" s="198"/>
      <c r="V84" s="198"/>
      <c r="W84" s="198"/>
      <c r="X84" s="1756"/>
      <c r="Y84" s="547"/>
      <c r="Z84" s="1756"/>
      <c r="AA84" s="547"/>
      <c r="AB84" s="1756"/>
      <c r="AC84" s="1756"/>
      <c r="AD84" s="1756"/>
      <c r="AE84" s="547"/>
      <c r="AF84" s="1756"/>
      <c r="AG84" s="1757">
        <f t="shared" ref="AG84:AQ84" si="14">AG76/AG65</f>
        <v>0.18296353634680482</v>
      </c>
      <c r="AH84" s="1757">
        <f t="shared" si="14"/>
        <v>0.18460575373823515</v>
      </c>
      <c r="AI84" s="1757">
        <f t="shared" si="14"/>
        <v>0.17861089646038439</v>
      </c>
      <c r="AJ84" s="1757">
        <f t="shared" si="14"/>
        <v>0.17216086927494118</v>
      </c>
      <c r="AK84" s="1757">
        <f t="shared" si="14"/>
        <v>0.17966043906452958</v>
      </c>
      <c r="AL84" s="1757">
        <f t="shared" si="14"/>
        <v>0.18201637375000082</v>
      </c>
      <c r="AM84" s="1757">
        <f t="shared" si="14"/>
        <v>0.18473343272210652</v>
      </c>
      <c r="AN84" s="1757">
        <f t="shared" si="14"/>
        <v>0.18652108185988431</v>
      </c>
      <c r="AO84" s="1757">
        <f t="shared" si="14"/>
        <v>0.18753762724623041</v>
      </c>
      <c r="AP84" s="1757">
        <f t="shared" si="14"/>
        <v>0.19154682409574464</v>
      </c>
      <c r="AQ84" s="1757">
        <f t="shared" si="14"/>
        <v>0.19728803679438073</v>
      </c>
    </row>
    <row r="85" spans="1:43" ht="4.5" customHeight="1" outlineLevel="1">
      <c r="A85" s="165"/>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360"/>
      <c r="AH85" s="360"/>
      <c r="AI85" s="360"/>
      <c r="AJ85" s="360"/>
      <c r="AK85" s="360"/>
      <c r="AL85" s="360"/>
      <c r="AM85" s="1758"/>
      <c r="AN85" s="1758"/>
      <c r="AO85" s="1758"/>
      <c r="AP85" s="1758"/>
      <c r="AQ85" s="1758"/>
    </row>
    <row r="86" spans="1:43" outlineLevel="1">
      <c r="A86" s="165"/>
      <c r="B86" s="165"/>
      <c r="C86" s="165"/>
      <c r="D86" s="165"/>
      <c r="E86" s="167"/>
      <c r="F86" s="167"/>
      <c r="G86" s="167"/>
      <c r="H86" s="167"/>
      <c r="I86" s="167"/>
      <c r="J86" s="167"/>
      <c r="K86" s="167"/>
      <c r="L86" s="167"/>
      <c r="M86" s="167"/>
      <c r="N86" s="167"/>
      <c r="O86" s="197"/>
      <c r="P86" s="198"/>
      <c r="Q86" s="199"/>
      <c r="R86" s="198"/>
      <c r="S86" s="198"/>
      <c r="T86" s="198"/>
      <c r="U86" s="198"/>
      <c r="V86" s="198"/>
      <c r="W86" s="198"/>
      <c r="X86" s="75"/>
      <c r="Y86" s="75"/>
      <c r="Z86" s="75"/>
      <c r="AA86" s="75"/>
      <c r="AB86" s="75"/>
      <c r="AC86" s="75"/>
      <c r="AD86" s="75"/>
      <c r="AE86" s="75"/>
      <c r="AF86" s="75"/>
      <c r="AG86" s="950"/>
      <c r="AH86" s="547"/>
      <c r="AI86" s="547"/>
      <c r="AJ86" s="547"/>
      <c r="AK86" s="547"/>
      <c r="AL86" s="165"/>
      <c r="AM86" s="946"/>
      <c r="AN86" s="946"/>
      <c r="AO86" s="946"/>
    </row>
    <row r="87" spans="1:43" outlineLevel="1">
      <c r="A87" s="165"/>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950"/>
      <c r="AH87" s="547"/>
      <c r="AI87" s="547"/>
      <c r="AJ87" s="165"/>
      <c r="AK87" s="165"/>
      <c r="AL87" s="165"/>
      <c r="AM87" s="946"/>
      <c r="AN87" s="946"/>
      <c r="AO87" s="946"/>
      <c r="AP87" s="946"/>
    </row>
    <row r="88" spans="1:43">
      <c r="A88" s="165"/>
      <c r="B88" s="165"/>
      <c r="C88" s="165"/>
      <c r="D88" s="165"/>
      <c r="E88" s="165"/>
      <c r="F88" s="165"/>
      <c r="G88" s="165"/>
      <c r="H88" s="165"/>
      <c r="I88" s="165"/>
      <c r="J88" s="165"/>
      <c r="K88" s="165"/>
      <c r="L88" s="165"/>
      <c r="M88" s="165"/>
      <c r="N88" s="165"/>
      <c r="O88" s="168"/>
      <c r="P88" s="168"/>
      <c r="Q88" s="168"/>
      <c r="R88" s="168"/>
      <c r="S88" s="168"/>
      <c r="T88" s="168"/>
      <c r="U88" s="168"/>
      <c r="V88" s="168"/>
      <c r="W88" s="168"/>
      <c r="X88" s="166"/>
      <c r="Y88" s="166"/>
      <c r="Z88" s="166"/>
      <c r="AA88" s="166"/>
      <c r="AB88" s="166"/>
      <c r="AC88" s="166"/>
      <c r="AD88" s="166"/>
      <c r="AE88" s="166"/>
      <c r="AF88" s="166"/>
      <c r="AG88" s="950"/>
      <c r="AH88" s="547"/>
      <c r="AI88" s="547"/>
      <c r="AJ88" s="165"/>
      <c r="AK88" s="165"/>
      <c r="AL88" s="165"/>
      <c r="AM88" s="946"/>
      <c r="AN88" s="946"/>
      <c r="AO88" s="946"/>
      <c r="AP88" s="946"/>
    </row>
    <row r="89" spans="1:43">
      <c r="A89" s="165"/>
      <c r="B89" s="165"/>
      <c r="C89" s="165"/>
      <c r="D89" s="165"/>
      <c r="E89" s="165"/>
      <c r="F89" s="165"/>
      <c r="G89" s="165"/>
      <c r="H89" s="165"/>
      <c r="I89" s="165"/>
      <c r="J89" s="165"/>
      <c r="K89" s="165"/>
      <c r="L89" s="165"/>
      <c r="M89" s="165"/>
      <c r="N89" s="165"/>
      <c r="O89" s="168"/>
      <c r="P89" s="168"/>
      <c r="Q89" s="168"/>
      <c r="R89" s="168"/>
      <c r="S89" s="168"/>
      <c r="T89" s="168"/>
      <c r="U89" s="168"/>
      <c r="V89" s="168"/>
      <c r="W89" s="168"/>
      <c r="X89" s="166"/>
      <c r="Y89" s="166"/>
      <c r="Z89" s="166"/>
      <c r="AA89" s="166"/>
      <c r="AB89" s="166"/>
      <c r="AC89" s="166"/>
      <c r="AD89" s="166"/>
      <c r="AE89" s="166"/>
      <c r="AF89" s="166"/>
      <c r="AG89" s="950"/>
      <c r="AH89" s="547"/>
      <c r="AI89" s="547"/>
      <c r="AJ89" s="1759"/>
      <c r="AK89" s="1759"/>
      <c r="AL89" s="1759"/>
      <c r="AM89" s="1760"/>
      <c r="AN89" s="946"/>
      <c r="AO89" s="946"/>
      <c r="AP89" s="946"/>
    </row>
    <row r="90" spans="1:43">
      <c r="A90" s="165"/>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950"/>
      <c r="AH90" s="547"/>
      <c r="AI90" s="547"/>
      <c r="AJ90" s="165"/>
      <c r="AK90" s="165"/>
      <c r="AL90" s="165"/>
      <c r="AM90" s="946"/>
      <c r="AN90" s="946"/>
      <c r="AO90" s="946"/>
      <c r="AP90" s="946"/>
    </row>
    <row r="91" spans="1:43">
      <c r="A91" s="165"/>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950"/>
      <c r="AH91" s="547"/>
      <c r="AI91" s="547"/>
      <c r="AJ91" s="165"/>
      <c r="AK91" s="165"/>
      <c r="AL91" s="165"/>
      <c r="AM91" s="946"/>
      <c r="AN91" s="946"/>
      <c r="AO91" s="946"/>
      <c r="AP91" s="946"/>
    </row>
    <row r="92" spans="1:43">
      <c r="A92" s="165"/>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944"/>
      <c r="AD92" s="211">
        <v>2007</v>
      </c>
      <c r="AE92" s="196"/>
      <c r="AF92" s="211">
        <v>2009</v>
      </c>
      <c r="AG92" s="202">
        <v>2010</v>
      </c>
      <c r="AH92" s="202">
        <v>2011</v>
      </c>
      <c r="AI92" s="202">
        <v>2012</v>
      </c>
      <c r="AJ92" s="202">
        <v>2013</v>
      </c>
      <c r="AK92" s="202">
        <v>2014</v>
      </c>
      <c r="AL92" s="202">
        <v>2015</v>
      </c>
      <c r="AM92" s="174">
        <v>2016</v>
      </c>
      <c r="AN92" s="174">
        <v>2017</v>
      </c>
      <c r="AO92" s="174">
        <v>2018</v>
      </c>
      <c r="AP92" s="174">
        <v>2019</v>
      </c>
      <c r="AQ92" s="174">
        <v>2020</v>
      </c>
    </row>
    <row r="93" spans="1:43">
      <c r="A93" s="165"/>
      <c r="B93" s="165"/>
      <c r="C93" s="165"/>
      <c r="D93" s="165"/>
      <c r="E93" s="165"/>
      <c r="F93" s="165"/>
      <c r="G93" s="165"/>
      <c r="H93" s="165"/>
      <c r="I93" s="165"/>
      <c r="J93" s="165"/>
      <c r="K93" s="165"/>
      <c r="L93" s="165"/>
      <c r="M93" s="165"/>
      <c r="N93" s="165"/>
      <c r="O93" s="165"/>
      <c r="P93" s="165"/>
      <c r="Q93" s="165"/>
      <c r="R93" s="261"/>
      <c r="S93" s="261"/>
      <c r="T93" s="261"/>
      <c r="U93" s="261"/>
      <c r="V93" s="261"/>
      <c r="W93" s="261"/>
      <c r="X93" s="244"/>
      <c r="Y93" s="244"/>
      <c r="Z93" s="244"/>
      <c r="AA93" s="244"/>
      <c r="AB93" s="244"/>
      <c r="AC93" s="244"/>
      <c r="AD93" s="244"/>
      <c r="AE93" s="244"/>
      <c r="AF93" s="244"/>
      <c r="AG93" s="166"/>
      <c r="AH93" s="75"/>
      <c r="AI93" s="547"/>
      <c r="AJ93" s="165"/>
      <c r="AK93" s="165"/>
      <c r="AL93" s="165"/>
      <c r="AM93" s="946"/>
      <c r="AN93" s="946"/>
      <c r="AO93" s="946"/>
      <c r="AP93" s="946"/>
      <c r="AQ93" s="946"/>
    </row>
    <row r="94" spans="1:43">
      <c r="A94" s="165"/>
      <c r="B94" s="165"/>
      <c r="C94" s="165"/>
      <c r="D94" s="165"/>
      <c r="E94" s="165"/>
      <c r="F94" s="165"/>
      <c r="G94" s="165"/>
      <c r="H94" s="165"/>
      <c r="I94" s="165"/>
      <c r="J94" s="165"/>
      <c r="K94" s="165"/>
      <c r="L94" s="165"/>
      <c r="M94" s="165"/>
      <c r="N94" s="165"/>
      <c r="O94" s="168"/>
      <c r="P94" s="168"/>
      <c r="Q94" s="168"/>
      <c r="R94" s="168"/>
      <c r="S94" s="168"/>
      <c r="T94" s="168"/>
      <c r="U94" s="168"/>
      <c r="V94" s="168"/>
      <c r="W94" s="168"/>
      <c r="X94" s="166"/>
      <c r="Y94" s="166"/>
      <c r="Z94" s="166"/>
      <c r="AA94" s="166"/>
      <c r="AB94" s="166"/>
      <c r="AC94" s="166"/>
      <c r="AD94" s="166"/>
      <c r="AE94" s="166"/>
      <c r="AF94" s="166"/>
      <c r="AG94" s="166"/>
      <c r="AH94" s="75"/>
      <c r="AI94" s="547"/>
      <c r="AJ94" s="165"/>
      <c r="AK94" s="165"/>
      <c r="AL94" s="165"/>
      <c r="AM94" s="946"/>
      <c r="AN94" s="946"/>
      <c r="AO94" s="946"/>
      <c r="AP94" s="946"/>
      <c r="AQ94" s="946"/>
    </row>
    <row r="95" spans="1:43">
      <c r="A95" s="165"/>
      <c r="B95" s="217" t="s">
        <v>49</v>
      </c>
      <c r="C95" s="165"/>
      <c r="D95" s="165"/>
      <c r="E95" s="165"/>
      <c r="F95" s="165"/>
      <c r="G95" s="165"/>
      <c r="H95" s="165"/>
      <c r="I95" s="165"/>
      <c r="J95" s="165"/>
      <c r="K95" s="165"/>
      <c r="L95" s="165"/>
      <c r="M95" s="165"/>
      <c r="N95" s="165"/>
      <c r="O95" s="168"/>
      <c r="P95" s="168"/>
      <c r="Q95" s="168"/>
      <c r="R95" s="168">
        <v>0</v>
      </c>
      <c r="S95" s="168"/>
      <c r="T95" s="168">
        <v>0</v>
      </c>
      <c r="U95" s="168"/>
      <c r="V95" s="168">
        <v>0</v>
      </c>
      <c r="W95" s="168"/>
      <c r="X95" s="273">
        <v>0</v>
      </c>
      <c r="Y95" s="273"/>
      <c r="Z95" s="273">
        <v>0</v>
      </c>
      <c r="AA95" s="273"/>
      <c r="AB95" s="273">
        <v>0</v>
      </c>
      <c r="AC95" s="273"/>
      <c r="AD95" s="273">
        <v>0</v>
      </c>
      <c r="AE95" s="273"/>
      <c r="AF95" s="273">
        <v>0</v>
      </c>
      <c r="AG95" s="950">
        <v>0</v>
      </c>
      <c r="AH95" s="950">
        <v>0</v>
      </c>
      <c r="AI95" s="950">
        <v>0</v>
      </c>
      <c r="AJ95" s="950">
        <v>0</v>
      </c>
      <c r="AK95" s="950">
        <v>0</v>
      </c>
      <c r="AL95" s="950">
        <v>0</v>
      </c>
      <c r="AM95" s="968">
        <f>AM99+AM101+AM102</f>
        <v>92.47999999999999</v>
      </c>
      <c r="AN95" s="968">
        <f>AN99+AN101+AN102</f>
        <v>136.76999999999998</v>
      </c>
      <c r="AO95" s="968">
        <f>AO101+AO102</f>
        <v>7.68</v>
      </c>
      <c r="AP95" s="968">
        <f t="shared" ref="AP95:AQ95" si="15">AP101+AP102</f>
        <v>8.1370000000000005</v>
      </c>
      <c r="AQ95" s="968">
        <f t="shared" si="15"/>
        <v>12.192</v>
      </c>
    </row>
    <row r="96" spans="1:43">
      <c r="A96" s="165"/>
      <c r="B96" s="217"/>
      <c r="C96" s="165"/>
      <c r="D96" s="165"/>
      <c r="E96" s="165"/>
      <c r="F96" s="165"/>
      <c r="G96" s="165"/>
      <c r="H96" s="165"/>
      <c r="I96" s="165"/>
      <c r="J96" s="165"/>
      <c r="K96" s="165"/>
      <c r="L96" s="165"/>
      <c r="M96" s="165"/>
      <c r="N96" s="165"/>
      <c r="O96" s="168"/>
      <c r="P96" s="168"/>
      <c r="Q96" s="168"/>
      <c r="R96" s="168"/>
      <c r="S96" s="168"/>
      <c r="T96" s="168"/>
      <c r="U96" s="168"/>
      <c r="V96" s="168"/>
      <c r="W96" s="168"/>
      <c r="X96" s="273"/>
      <c r="Y96" s="273"/>
      <c r="Z96" s="273"/>
      <c r="AA96" s="273"/>
      <c r="AB96" s="273"/>
      <c r="AC96" s="273"/>
      <c r="AD96" s="273"/>
      <c r="AE96" s="273"/>
      <c r="AF96" s="273"/>
      <c r="AG96" s="950"/>
      <c r="AH96" s="547"/>
      <c r="AI96" s="547"/>
      <c r="AJ96" s="547"/>
      <c r="AK96" s="547"/>
      <c r="AL96" s="547"/>
      <c r="AM96" s="946"/>
      <c r="AN96" s="946"/>
      <c r="AO96" s="946"/>
      <c r="AP96" s="946"/>
      <c r="AQ96" s="946"/>
    </row>
    <row r="97" spans="1:46">
      <c r="A97" s="165"/>
      <c r="B97" s="217"/>
      <c r="C97" s="165"/>
      <c r="D97" s="165"/>
      <c r="E97" s="165"/>
      <c r="F97" s="165"/>
      <c r="G97" s="165"/>
      <c r="H97" s="165"/>
      <c r="I97" s="165"/>
      <c r="J97" s="165"/>
      <c r="K97" s="165"/>
      <c r="L97" s="165"/>
      <c r="M97" s="165"/>
      <c r="N97" s="165"/>
      <c r="O97" s="168"/>
      <c r="P97" s="168"/>
      <c r="Q97" s="168"/>
      <c r="R97" s="168"/>
      <c r="S97" s="168"/>
      <c r="T97" s="168"/>
      <c r="U97" s="168"/>
      <c r="V97" s="168"/>
      <c r="W97" s="168"/>
      <c r="X97" s="273"/>
      <c r="Y97" s="273"/>
      <c r="Z97" s="273"/>
      <c r="AA97" s="273"/>
      <c r="AB97" s="273"/>
      <c r="AC97" s="273"/>
      <c r="AD97" s="273"/>
      <c r="AE97" s="273"/>
      <c r="AF97" s="273"/>
      <c r="AG97" s="950"/>
      <c r="AH97" s="547"/>
      <c r="AI97" s="547"/>
      <c r="AJ97" s="547"/>
      <c r="AK97" s="547"/>
      <c r="AL97" s="547"/>
      <c r="AM97" s="946"/>
      <c r="AN97" s="946"/>
      <c r="AO97" s="946"/>
      <c r="AP97" s="946"/>
      <c r="AQ97" s="946"/>
      <c r="AS97" s="1761"/>
      <c r="AT97" s="1761"/>
    </row>
    <row r="98" spans="1:46">
      <c r="A98" s="165"/>
      <c r="B98" s="217" t="s">
        <v>50</v>
      </c>
      <c r="C98" s="165"/>
      <c r="D98" s="165"/>
      <c r="E98" s="165"/>
      <c r="F98" s="165"/>
      <c r="G98" s="165"/>
      <c r="H98" s="165"/>
      <c r="I98" s="165"/>
      <c r="J98" s="165"/>
      <c r="K98" s="165"/>
      <c r="L98" s="165"/>
      <c r="M98" s="165"/>
      <c r="N98" s="165"/>
      <c r="O98" s="168"/>
      <c r="P98" s="168"/>
      <c r="Q98" s="168"/>
      <c r="R98" s="168"/>
      <c r="S98" s="168"/>
      <c r="T98" s="168"/>
      <c r="U98" s="168"/>
      <c r="V98" s="168"/>
      <c r="W98" s="168"/>
      <c r="X98" s="273"/>
      <c r="Y98" s="273"/>
      <c r="Z98" s="273"/>
      <c r="AA98" s="273"/>
      <c r="AB98" s="273"/>
      <c r="AC98" s="273"/>
      <c r="AD98" s="273"/>
      <c r="AE98" s="273"/>
      <c r="AF98" s="273"/>
      <c r="AG98" s="950"/>
      <c r="AH98" s="547"/>
      <c r="AI98" s="547"/>
      <c r="AJ98" s="547"/>
      <c r="AK98" s="547"/>
      <c r="AL98" s="547"/>
      <c r="AM98" s="946"/>
      <c r="AN98" s="946"/>
      <c r="AO98" s="946"/>
      <c r="AP98" s="946"/>
      <c r="AQ98" s="946"/>
      <c r="AS98" s="1761"/>
      <c r="AT98" s="1761"/>
    </row>
    <row r="99" spans="1:46" ht="15.75">
      <c r="A99" s="165"/>
      <c r="B99" s="1134" t="s">
        <v>1603</v>
      </c>
      <c r="C99" s="165"/>
      <c r="D99" s="165"/>
      <c r="E99" s="165"/>
      <c r="F99" s="165"/>
      <c r="G99" s="165"/>
      <c r="H99" s="165"/>
      <c r="I99" s="165"/>
      <c r="J99" s="165"/>
      <c r="K99" s="165"/>
      <c r="L99" s="165"/>
      <c r="M99" s="165"/>
      <c r="N99" s="165"/>
      <c r="O99" s="168"/>
      <c r="P99" s="168"/>
      <c r="Q99" s="168"/>
      <c r="R99" s="168"/>
      <c r="S99" s="168"/>
      <c r="T99" s="168"/>
      <c r="U99" s="168"/>
      <c r="V99" s="168"/>
      <c r="W99" s="168"/>
      <c r="X99" s="273"/>
      <c r="Y99" s="273"/>
      <c r="Z99" s="273"/>
      <c r="AA99" s="273"/>
      <c r="AB99" s="273"/>
      <c r="AC99" s="273"/>
      <c r="AD99" s="273"/>
      <c r="AE99" s="273"/>
      <c r="AF99" s="273"/>
      <c r="AG99" s="950"/>
      <c r="AH99" s="547"/>
      <c r="AI99" s="547"/>
      <c r="AJ99" s="547"/>
      <c r="AK99" s="547"/>
      <c r="AL99" s="547"/>
      <c r="AM99" s="946">
        <v>85.1</v>
      </c>
      <c r="AN99" s="946">
        <v>129.1</v>
      </c>
      <c r="AO99" s="946" t="s">
        <v>269</v>
      </c>
      <c r="AP99" s="946" t="s">
        <v>269</v>
      </c>
      <c r="AQ99" s="946" t="s">
        <v>269</v>
      </c>
      <c r="AS99" s="1762" t="s">
        <v>1611</v>
      </c>
      <c r="AT99" s="1761"/>
    </row>
    <row r="100" spans="1:46">
      <c r="A100" s="165"/>
      <c r="B100" s="206" t="s">
        <v>56</v>
      </c>
      <c r="C100" s="165"/>
      <c r="D100" s="165"/>
      <c r="E100" s="165"/>
      <c r="F100" s="165"/>
      <c r="G100" s="165"/>
      <c r="H100" s="165"/>
      <c r="I100" s="165"/>
      <c r="J100" s="165"/>
      <c r="K100" s="165"/>
      <c r="L100" s="165"/>
      <c r="M100" s="165"/>
      <c r="N100" s="165"/>
      <c r="O100" s="168"/>
      <c r="P100" s="168"/>
      <c r="Q100" s="168"/>
      <c r="R100" s="168"/>
      <c r="S100" s="168"/>
      <c r="T100" s="168"/>
      <c r="U100" s="168"/>
      <c r="V100" s="168"/>
      <c r="W100" s="168"/>
      <c r="X100" s="273"/>
      <c r="Y100" s="273"/>
      <c r="Z100" s="273"/>
      <c r="AA100" s="273"/>
      <c r="AB100" s="273"/>
      <c r="AC100" s="273"/>
      <c r="AD100" s="273"/>
      <c r="AE100" s="273"/>
      <c r="AF100" s="273"/>
      <c r="AG100" s="950"/>
      <c r="AH100" s="547"/>
      <c r="AI100" s="547"/>
      <c r="AJ100" s="547"/>
      <c r="AK100" s="547"/>
      <c r="AL100" s="547"/>
      <c r="AM100" s="946"/>
      <c r="AN100" s="946"/>
      <c r="AO100" s="946"/>
      <c r="AP100" s="946"/>
      <c r="AQ100" s="946"/>
      <c r="AS100" s="1761"/>
      <c r="AT100" s="1761"/>
    </row>
    <row r="101" spans="1:46">
      <c r="A101" s="165"/>
      <c r="B101" s="1134" t="s">
        <v>1604</v>
      </c>
      <c r="C101" s="165"/>
      <c r="D101" s="165"/>
      <c r="E101" s="165"/>
      <c r="F101" s="165"/>
      <c r="G101" s="165"/>
      <c r="H101" s="165"/>
      <c r="I101" s="165"/>
      <c r="J101" s="165"/>
      <c r="K101" s="165"/>
      <c r="L101" s="165"/>
      <c r="M101" s="165"/>
      <c r="N101" s="165"/>
      <c r="O101" s="168"/>
      <c r="P101" s="168"/>
      <c r="Q101" s="168"/>
      <c r="R101" s="168"/>
      <c r="S101" s="168"/>
      <c r="T101" s="168"/>
      <c r="U101" s="168"/>
      <c r="V101" s="168"/>
      <c r="W101" s="168"/>
      <c r="X101" s="273"/>
      <c r="Y101" s="273"/>
      <c r="Z101" s="273"/>
      <c r="AA101" s="273"/>
      <c r="AB101" s="273"/>
      <c r="AC101" s="273"/>
      <c r="AD101" s="273"/>
      <c r="AE101" s="273"/>
      <c r="AF101" s="273"/>
      <c r="AG101" s="950"/>
      <c r="AH101" s="547"/>
      <c r="AI101" s="547"/>
      <c r="AJ101" s="547"/>
      <c r="AK101" s="547"/>
      <c r="AL101" s="547"/>
      <c r="AM101" s="946">
        <v>2.7</v>
      </c>
      <c r="AN101" s="946">
        <v>4.0999999999999996</v>
      </c>
      <c r="AO101" s="946">
        <v>4.5999999999999996</v>
      </c>
      <c r="AP101" s="946">
        <v>5</v>
      </c>
      <c r="AQ101" s="946">
        <v>9.5</v>
      </c>
      <c r="AS101" s="1761"/>
      <c r="AT101" s="1761"/>
    </row>
    <row r="102" spans="1:46" ht="15.75">
      <c r="A102" s="1763"/>
      <c r="B102" s="1134" t="s">
        <v>1605</v>
      </c>
      <c r="C102" s="165"/>
      <c r="D102" s="165"/>
      <c r="E102" s="165"/>
      <c r="F102" s="165"/>
      <c r="G102" s="165"/>
      <c r="H102" s="165"/>
      <c r="I102" s="165"/>
      <c r="J102" s="165"/>
      <c r="K102" s="165"/>
      <c r="L102" s="165"/>
      <c r="M102" s="165"/>
      <c r="N102" s="165"/>
      <c r="O102" s="168"/>
      <c r="P102" s="168"/>
      <c r="Q102" s="168"/>
      <c r="R102" s="168"/>
      <c r="S102" s="168"/>
      <c r="T102" s="168"/>
      <c r="U102" s="168"/>
      <c r="V102" s="168"/>
      <c r="W102" s="168"/>
      <c r="X102" s="273"/>
      <c r="Y102" s="273"/>
      <c r="Z102" s="273"/>
      <c r="AA102" s="273"/>
      <c r="AB102" s="273"/>
      <c r="AC102" s="273"/>
      <c r="AD102" s="273"/>
      <c r="AE102" s="273"/>
      <c r="AF102" s="273"/>
      <c r="AG102" s="950"/>
      <c r="AH102" s="547"/>
      <c r="AI102" s="547"/>
      <c r="AJ102" s="547"/>
      <c r="AK102" s="547"/>
      <c r="AL102" s="547"/>
      <c r="AM102" s="946">
        <v>4.68</v>
      </c>
      <c r="AN102" s="946">
        <v>3.57</v>
      </c>
      <c r="AO102" s="946">
        <v>3.08</v>
      </c>
      <c r="AP102" s="1748">
        <v>3.137</v>
      </c>
      <c r="AQ102" s="1748">
        <v>2.6920000000000002</v>
      </c>
    </row>
    <row r="103" spans="1:46">
      <c r="A103" s="165"/>
      <c r="B103" s="217" t="s">
        <v>78</v>
      </c>
      <c r="C103" s="165"/>
      <c r="D103" s="165"/>
      <c r="E103" s="165"/>
      <c r="F103" s="165"/>
      <c r="G103" s="165"/>
      <c r="H103" s="165"/>
      <c r="I103" s="165"/>
      <c r="J103" s="165"/>
      <c r="K103" s="165"/>
      <c r="L103" s="165"/>
      <c r="M103" s="165"/>
      <c r="N103" s="165"/>
      <c r="O103" s="168"/>
      <c r="P103" s="168"/>
      <c r="Q103" s="168"/>
      <c r="R103" s="168">
        <v>0</v>
      </c>
      <c r="S103" s="168"/>
      <c r="T103" s="168">
        <v>0</v>
      </c>
      <c r="U103" s="168"/>
      <c r="V103" s="168">
        <f>V104</f>
        <v>0</v>
      </c>
      <c r="W103" s="168"/>
      <c r="X103" s="273">
        <v>0</v>
      </c>
      <c r="Y103" s="273"/>
      <c r="Z103" s="273">
        <v>0</v>
      </c>
      <c r="AA103" s="273"/>
      <c r="AB103" s="273">
        <v>0</v>
      </c>
      <c r="AC103" s="273"/>
      <c r="AD103" s="273">
        <v>0</v>
      </c>
      <c r="AE103" s="273"/>
      <c r="AF103" s="273">
        <v>0</v>
      </c>
      <c r="AG103" s="1746">
        <v>0</v>
      </c>
      <c r="AH103" s="1746">
        <v>0</v>
      </c>
      <c r="AI103" s="1746">
        <v>0</v>
      </c>
      <c r="AJ103" s="1746">
        <v>0</v>
      </c>
      <c r="AK103" s="1746">
        <v>0</v>
      </c>
      <c r="AL103" s="1746">
        <v>0</v>
      </c>
      <c r="AM103" s="945">
        <f>AM104</f>
        <v>8.2799999999999994</v>
      </c>
      <c r="AN103" s="945">
        <f>AN104</f>
        <v>9.74</v>
      </c>
      <c r="AO103" s="945">
        <f>AO104</f>
        <v>12.93</v>
      </c>
      <c r="AP103" s="1747">
        <f t="shared" ref="AP103:AQ103" si="16">AP104</f>
        <v>10.503398096400002</v>
      </c>
      <c r="AQ103" s="1747">
        <f t="shared" si="16"/>
        <v>11.138510553900002</v>
      </c>
    </row>
    <row r="104" spans="1:46" ht="37.5" customHeight="1">
      <c r="A104" s="165"/>
      <c r="B104" s="2022" t="s">
        <v>1606</v>
      </c>
      <c r="C104" s="2022"/>
      <c r="D104" s="2022"/>
      <c r="E104" s="2022"/>
      <c r="F104" s="2022"/>
      <c r="G104" s="2022"/>
      <c r="H104" s="2022"/>
      <c r="I104" s="2022"/>
      <c r="J104" s="2022"/>
      <c r="K104" s="2022"/>
      <c r="L104" s="2022"/>
      <c r="M104" s="2022"/>
      <c r="N104" s="2022"/>
      <c r="O104" s="2022"/>
      <c r="P104" s="2022"/>
      <c r="Q104" s="2022"/>
      <c r="R104" s="2022"/>
      <c r="S104" s="2022"/>
      <c r="T104" s="2022"/>
      <c r="U104" s="2022"/>
      <c r="V104" s="2022"/>
      <c r="W104" s="2022"/>
      <c r="X104" s="2022"/>
      <c r="Y104" s="2022"/>
      <c r="Z104" s="2022"/>
      <c r="AA104" s="2022"/>
      <c r="AB104" s="2022"/>
      <c r="AC104" s="2022"/>
      <c r="AD104" s="2022"/>
      <c r="AE104" s="2022"/>
      <c r="AF104" s="2022"/>
      <c r="AG104" s="2022"/>
      <c r="AH104" s="547"/>
      <c r="AI104" s="547"/>
      <c r="AJ104" s="547"/>
      <c r="AK104" s="547"/>
      <c r="AL104" s="547"/>
      <c r="AM104" s="946">
        <v>8.2799999999999994</v>
      </c>
      <c r="AN104" s="946">
        <v>9.74</v>
      </c>
      <c r="AO104" s="946">
        <v>12.93</v>
      </c>
      <c r="AP104" s="1748">
        <v>10.503398096400002</v>
      </c>
      <c r="AQ104" s="1748">
        <v>11.138510553900002</v>
      </c>
    </row>
    <row r="105" spans="1:46">
      <c r="A105" s="165"/>
      <c r="B105" s="165"/>
      <c r="C105" s="165"/>
      <c r="D105" s="165"/>
      <c r="E105" s="165"/>
      <c r="F105" s="165"/>
      <c r="G105" s="165"/>
      <c r="H105" s="165"/>
      <c r="I105" s="165"/>
      <c r="J105" s="165"/>
      <c r="K105" s="165"/>
      <c r="L105" s="165"/>
      <c r="M105" s="165"/>
      <c r="N105" s="165"/>
      <c r="O105" s="168"/>
      <c r="P105" s="168"/>
      <c r="Q105" s="168"/>
      <c r="R105" s="168"/>
      <c r="S105" s="168"/>
      <c r="T105" s="168"/>
      <c r="U105" s="168"/>
      <c r="V105" s="168"/>
      <c r="W105" s="168"/>
      <c r="X105" s="166"/>
      <c r="Y105" s="166"/>
      <c r="Z105" s="166"/>
      <c r="AA105" s="166"/>
      <c r="AB105" s="166"/>
      <c r="AC105" s="166"/>
      <c r="AD105" s="166"/>
      <c r="AE105" s="166"/>
      <c r="AF105" s="166"/>
      <c r="AG105" s="950"/>
      <c r="AH105" s="547"/>
      <c r="AI105" s="547"/>
      <c r="AJ105" s="547"/>
      <c r="AK105" s="547"/>
      <c r="AL105" s="547"/>
      <c r="AM105" s="946"/>
      <c r="AN105" s="946"/>
      <c r="AO105" s="946"/>
      <c r="AP105" s="946"/>
      <c r="AQ105" s="946"/>
    </row>
    <row r="106" spans="1:46" ht="15.75">
      <c r="A106" s="165"/>
      <c r="B106" s="925" t="s">
        <v>90</v>
      </c>
      <c r="C106" s="165"/>
      <c r="D106" s="165"/>
      <c r="E106" s="165"/>
      <c r="F106" s="165"/>
      <c r="G106" s="165"/>
      <c r="H106" s="165"/>
      <c r="I106" s="165"/>
      <c r="J106" s="165"/>
      <c r="K106" s="165"/>
      <c r="L106" s="165"/>
      <c r="M106" s="165"/>
      <c r="N106" s="165"/>
      <c r="O106" s="168"/>
      <c r="P106" s="168"/>
      <c r="Q106" s="168"/>
      <c r="R106" s="168"/>
      <c r="S106" s="168"/>
      <c r="T106" s="168"/>
      <c r="U106" s="168"/>
      <c r="V106" s="168"/>
      <c r="W106" s="168"/>
      <c r="X106" s="166"/>
      <c r="Y106" s="166"/>
      <c r="Z106" s="166"/>
      <c r="AA106" s="166"/>
      <c r="AB106" s="166"/>
      <c r="AC106" s="166"/>
      <c r="AD106" s="166"/>
      <c r="AE106" s="166"/>
      <c r="AF106" s="166"/>
      <c r="AG106" s="950"/>
      <c r="AH106" s="547"/>
      <c r="AI106" s="547"/>
      <c r="AJ106" s="547"/>
      <c r="AK106" s="547"/>
      <c r="AL106" s="547"/>
      <c r="AM106" s="946"/>
      <c r="AN106" s="946"/>
      <c r="AO106" s="946"/>
      <c r="AP106" s="946"/>
      <c r="AQ106" s="946"/>
    </row>
    <row r="107" spans="1:46">
      <c r="A107" s="165"/>
      <c r="B107" s="206" t="s">
        <v>110</v>
      </c>
      <c r="C107" s="165"/>
      <c r="D107" s="165"/>
      <c r="E107" s="165"/>
      <c r="F107" s="165"/>
      <c r="G107" s="165"/>
      <c r="H107" s="165"/>
      <c r="I107" s="165"/>
      <c r="J107" s="165"/>
      <c r="K107" s="165"/>
      <c r="L107" s="165"/>
      <c r="M107" s="165"/>
      <c r="N107" s="165"/>
      <c r="O107" s="168"/>
      <c r="P107" s="168"/>
      <c r="Q107" s="168"/>
      <c r="R107" s="168"/>
      <c r="S107" s="168"/>
      <c r="T107" s="168"/>
      <c r="U107" s="168"/>
      <c r="V107" s="168"/>
      <c r="W107" s="168"/>
      <c r="X107" s="273">
        <f>X109</f>
        <v>0</v>
      </c>
      <c r="Y107" s="273"/>
      <c r="Z107" s="273">
        <f>Z109</f>
        <v>0</v>
      </c>
      <c r="AA107" s="273"/>
      <c r="AB107" s="273">
        <f>AB109</f>
        <v>0</v>
      </c>
      <c r="AC107" s="273"/>
      <c r="AD107" s="273">
        <f>AD109</f>
        <v>0</v>
      </c>
      <c r="AE107" s="273"/>
      <c r="AF107" s="273">
        <f t="shared" ref="AF107:AL107" si="17">AF109</f>
        <v>0</v>
      </c>
      <c r="AG107" s="1746">
        <f t="shared" si="17"/>
        <v>0</v>
      </c>
      <c r="AH107" s="1746">
        <f t="shared" si="17"/>
        <v>0</v>
      </c>
      <c r="AI107" s="1746">
        <f t="shared" si="17"/>
        <v>0</v>
      </c>
      <c r="AJ107" s="1746">
        <f t="shared" si="17"/>
        <v>0</v>
      </c>
      <c r="AK107" s="1746">
        <f t="shared" si="17"/>
        <v>0</v>
      </c>
      <c r="AL107" s="1746">
        <f t="shared" si="17"/>
        <v>0</v>
      </c>
      <c r="AM107" s="945">
        <f>SUM(AM108:AM110)</f>
        <v>11.059999999999999</v>
      </c>
      <c r="AN107" s="945">
        <f>SUM(AN108:AN110)</f>
        <v>11.770000000000001</v>
      </c>
      <c r="AO107" s="945">
        <f>SUM(AO108:AO110)</f>
        <v>13.540000000000001</v>
      </c>
      <c r="AP107" s="1764">
        <f t="shared" ref="AP107:AQ107" si="18">SUM(AP108:AP110)</f>
        <v>16.062268920600001</v>
      </c>
      <c r="AQ107" s="1764">
        <f t="shared" si="18"/>
        <v>16.241087601100002</v>
      </c>
    </row>
    <row r="108" spans="1:46" ht="40.5" customHeight="1">
      <c r="A108" s="165"/>
      <c r="B108" s="2022" t="s">
        <v>1607</v>
      </c>
      <c r="C108" s="2022"/>
      <c r="D108" s="2022"/>
      <c r="E108" s="2022"/>
      <c r="F108" s="2022"/>
      <c r="G108" s="2022"/>
      <c r="H108" s="2022"/>
      <c r="I108" s="2022"/>
      <c r="J108" s="2022"/>
      <c r="K108" s="2022"/>
      <c r="L108" s="2022"/>
      <c r="M108" s="2022"/>
      <c r="N108" s="2022"/>
      <c r="O108" s="2022"/>
      <c r="P108" s="2022"/>
      <c r="Q108" s="2022"/>
      <c r="R108" s="2022"/>
      <c r="S108" s="2022"/>
      <c r="T108" s="2022"/>
      <c r="U108" s="2022"/>
      <c r="V108" s="2022"/>
      <c r="W108" s="2022"/>
      <c r="X108" s="2022"/>
      <c r="Y108" s="2022"/>
      <c r="Z108" s="2022"/>
      <c r="AA108" s="2022"/>
      <c r="AB108" s="2022"/>
      <c r="AC108" s="2022"/>
      <c r="AD108" s="2022"/>
      <c r="AE108" s="2022"/>
      <c r="AF108" s="2022"/>
      <c r="AG108" s="2022"/>
      <c r="AH108" s="75"/>
      <c r="AI108" s="547"/>
      <c r="AJ108" s="165"/>
      <c r="AK108" s="165"/>
      <c r="AL108" s="165"/>
      <c r="AM108" s="946">
        <v>7.52</v>
      </c>
      <c r="AN108" s="946">
        <v>8.7100000000000009</v>
      </c>
      <c r="AO108" s="946">
        <v>10.220000000000001</v>
      </c>
      <c r="AP108" s="1765">
        <v>9.5902689206000016</v>
      </c>
      <c r="AQ108" s="1765">
        <v>11.229087601100002</v>
      </c>
    </row>
    <row r="109" spans="1:46" ht="16.5" customHeight="1">
      <c r="A109" s="165"/>
      <c r="B109" s="2022" t="s">
        <v>1608</v>
      </c>
      <c r="C109" s="2022"/>
      <c r="D109" s="2022"/>
      <c r="E109" s="2022"/>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820"/>
      <c r="AI109" s="75"/>
      <c r="AJ109" s="75"/>
      <c r="AK109" s="165"/>
      <c r="AL109" s="165"/>
      <c r="AM109" s="946">
        <v>2.04</v>
      </c>
      <c r="AN109" s="946">
        <v>1.33</v>
      </c>
      <c r="AO109" s="946">
        <v>1.52</v>
      </c>
      <c r="AP109" s="1765">
        <v>2.641</v>
      </c>
      <c r="AQ109" s="1765">
        <v>2.9670000000000001</v>
      </c>
    </row>
    <row r="110" spans="1:46" ht="37.5" customHeight="1">
      <c r="A110" s="165"/>
      <c r="B110" s="2022" t="s">
        <v>1609</v>
      </c>
      <c r="C110" s="2022"/>
      <c r="D110" s="2022"/>
      <c r="E110" s="2022"/>
      <c r="F110" s="2022"/>
      <c r="G110" s="2022"/>
      <c r="H110" s="2022"/>
      <c r="I110" s="2022"/>
      <c r="J110" s="2022"/>
      <c r="K110" s="2022"/>
      <c r="L110" s="2022"/>
      <c r="M110" s="2022"/>
      <c r="N110" s="2022"/>
      <c r="O110" s="2022"/>
      <c r="P110" s="2022"/>
      <c r="Q110" s="2022"/>
      <c r="R110" s="2022"/>
      <c r="S110" s="2022"/>
      <c r="T110" s="2022"/>
      <c r="U110" s="2022"/>
      <c r="V110" s="2022"/>
      <c r="W110" s="2022"/>
      <c r="X110" s="2022"/>
      <c r="Y110" s="2022"/>
      <c r="Z110" s="2022"/>
      <c r="AA110" s="2022"/>
      <c r="AB110" s="2022"/>
      <c r="AC110" s="2022"/>
      <c r="AD110" s="2022"/>
      <c r="AE110" s="2022"/>
      <c r="AF110" s="2022"/>
      <c r="AG110" s="2022"/>
      <c r="AH110" s="256"/>
      <c r="AI110" s="256"/>
      <c r="AJ110" s="256"/>
      <c r="AK110" s="256"/>
      <c r="AL110" s="256"/>
      <c r="AM110" s="962">
        <v>1.5</v>
      </c>
      <c r="AN110" s="962">
        <v>1.73</v>
      </c>
      <c r="AO110" s="962">
        <v>1.8</v>
      </c>
      <c r="AP110" s="1766">
        <v>3.831</v>
      </c>
      <c r="AQ110" s="1766">
        <v>2.0449999999999999</v>
      </c>
    </row>
    <row r="111" spans="1:46">
      <c r="A111" s="165"/>
      <c r="B111" s="165"/>
      <c r="C111" s="165"/>
      <c r="D111" s="165"/>
      <c r="E111" s="165"/>
      <c r="F111" s="165"/>
      <c r="G111" s="165"/>
      <c r="H111" s="165"/>
      <c r="I111" s="165"/>
      <c r="J111" s="165"/>
      <c r="K111" s="165"/>
      <c r="L111" s="165"/>
      <c r="M111" s="165"/>
      <c r="N111" s="165"/>
      <c r="O111" s="168"/>
      <c r="P111" s="168"/>
      <c r="Q111" s="168"/>
      <c r="R111" s="168"/>
      <c r="S111" s="168"/>
      <c r="T111" s="168"/>
      <c r="U111" s="168"/>
      <c r="V111" s="168"/>
      <c r="W111" s="168"/>
      <c r="X111" s="166"/>
      <c r="Y111" s="166"/>
      <c r="Z111" s="166"/>
      <c r="AA111" s="166"/>
      <c r="AB111" s="166"/>
      <c r="AC111" s="166"/>
      <c r="AD111" s="166"/>
      <c r="AE111" s="166"/>
      <c r="AF111" s="166"/>
      <c r="AG111" s="950"/>
      <c r="AH111" s="547"/>
      <c r="AI111" s="547"/>
      <c r="AJ111" s="165"/>
      <c r="AK111" s="165"/>
      <c r="AL111" s="165"/>
      <c r="AM111" s="946"/>
      <c r="AN111" s="946"/>
      <c r="AO111" s="946"/>
      <c r="AP111" s="946"/>
    </row>
    <row r="112" spans="1:46">
      <c r="A112" s="165"/>
      <c r="B112" s="165" t="s">
        <v>1610</v>
      </c>
      <c r="C112" s="165"/>
      <c r="D112" s="165"/>
      <c r="E112" s="165"/>
      <c r="F112" s="165"/>
      <c r="G112" s="165"/>
      <c r="H112" s="165"/>
      <c r="I112" s="165"/>
      <c r="J112" s="165"/>
      <c r="K112" s="165"/>
      <c r="L112" s="165"/>
      <c r="M112" s="165"/>
      <c r="N112" s="165"/>
      <c r="O112" s="168"/>
      <c r="P112" s="168"/>
      <c r="Q112" s="168"/>
      <c r="R112" s="168"/>
      <c r="S112" s="168"/>
      <c r="T112" s="168"/>
      <c r="U112" s="168"/>
      <c r="V112" s="168"/>
      <c r="W112" s="168"/>
      <c r="X112" s="166"/>
      <c r="Y112" s="166"/>
      <c r="Z112" s="166"/>
      <c r="AA112" s="166"/>
      <c r="AB112" s="166"/>
      <c r="AC112" s="166"/>
      <c r="AD112" s="166"/>
      <c r="AE112" s="166"/>
      <c r="AF112" s="166"/>
      <c r="AG112" s="950"/>
      <c r="AH112" s="547"/>
      <c r="AI112" s="547"/>
      <c r="AJ112" s="165"/>
      <c r="AK112" s="165"/>
      <c r="AL112" s="165"/>
      <c r="AM112" s="946"/>
      <c r="AN112" s="946"/>
      <c r="AO112" s="946"/>
      <c r="AP112" s="946"/>
    </row>
    <row r="113" spans="1:42">
      <c r="A113" s="165"/>
      <c r="B113" s="165"/>
      <c r="C113" s="165"/>
      <c r="D113" s="165"/>
      <c r="E113" s="165"/>
      <c r="F113" s="165"/>
      <c r="G113" s="165"/>
      <c r="H113" s="165"/>
      <c r="I113" s="165"/>
      <c r="J113" s="165"/>
      <c r="K113" s="165"/>
      <c r="L113" s="165"/>
      <c r="M113" s="165"/>
      <c r="N113" s="165"/>
      <c r="O113" s="168"/>
      <c r="P113" s="168"/>
      <c r="Q113" s="168"/>
      <c r="R113" s="168"/>
      <c r="S113" s="168"/>
      <c r="T113" s="168"/>
      <c r="U113" s="168"/>
      <c r="V113" s="168"/>
      <c r="W113" s="168"/>
      <c r="X113" s="166"/>
      <c r="Y113" s="166"/>
      <c r="Z113" s="166"/>
      <c r="AA113" s="166"/>
      <c r="AB113" s="166"/>
      <c r="AC113" s="166"/>
      <c r="AD113" s="166"/>
      <c r="AE113" s="166"/>
      <c r="AF113" s="166"/>
      <c r="AG113" s="950"/>
      <c r="AH113" s="547"/>
      <c r="AI113" s="547"/>
      <c r="AJ113" s="165"/>
      <c r="AK113" s="165"/>
      <c r="AL113" s="165"/>
      <c r="AM113" s="946"/>
      <c r="AN113" s="946"/>
      <c r="AO113" s="946"/>
      <c r="AP113" s="946"/>
    </row>
    <row r="114" spans="1:42">
      <c r="A114" s="165"/>
      <c r="B114" s="165"/>
      <c r="C114" s="165"/>
      <c r="D114" s="165"/>
      <c r="E114" s="165"/>
      <c r="F114" s="165"/>
      <c r="G114" s="165"/>
      <c r="H114" s="165"/>
      <c r="I114" s="165"/>
      <c r="J114" s="165"/>
      <c r="K114" s="165"/>
      <c r="L114" s="165"/>
      <c r="M114" s="165"/>
      <c r="N114" s="165"/>
      <c r="O114" s="168"/>
      <c r="P114" s="168"/>
      <c r="Q114" s="168"/>
      <c r="R114" s="168"/>
      <c r="S114" s="168"/>
      <c r="T114" s="168"/>
      <c r="U114" s="168"/>
      <c r="V114" s="168"/>
      <c r="W114" s="168"/>
      <c r="X114" s="166"/>
      <c r="Y114" s="166"/>
      <c r="Z114" s="166"/>
      <c r="AA114" s="166"/>
      <c r="AB114" s="166"/>
      <c r="AC114" s="166"/>
      <c r="AD114" s="166"/>
      <c r="AE114" s="166"/>
      <c r="AF114" s="166"/>
      <c r="AG114" s="950"/>
      <c r="AH114" s="547"/>
      <c r="AI114" s="547"/>
      <c r="AJ114" s="165"/>
      <c r="AK114" s="165"/>
      <c r="AL114" s="165"/>
      <c r="AM114" s="946"/>
      <c r="AN114" s="946"/>
      <c r="AO114" s="946"/>
      <c r="AP114" s="946"/>
    </row>
    <row r="115" spans="1:42">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75"/>
      <c r="Y115" s="75"/>
      <c r="Z115" s="75"/>
      <c r="AA115" s="75"/>
      <c r="AB115" s="75"/>
      <c r="AC115" s="75"/>
      <c r="AD115" s="75"/>
      <c r="AE115" s="75"/>
      <c r="AF115" s="75"/>
      <c r="AG115" s="547"/>
      <c r="AH115" s="547"/>
      <c r="AI115" s="547"/>
      <c r="AJ115" s="165"/>
      <c r="AK115" s="165"/>
      <c r="AL115" s="165"/>
      <c r="AM115" s="946"/>
      <c r="AN115" s="946"/>
      <c r="AO115" s="946"/>
      <c r="AP115" s="946"/>
    </row>
    <row r="116" spans="1:42">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75"/>
      <c r="Y116" s="75"/>
      <c r="Z116" s="75"/>
      <c r="AA116" s="75"/>
      <c r="AB116" s="75"/>
      <c r="AC116" s="75"/>
      <c r="AD116" s="75"/>
      <c r="AE116" s="75"/>
      <c r="AF116" s="75"/>
      <c r="AG116" s="547"/>
      <c r="AH116" s="547"/>
      <c r="AI116" s="547"/>
      <c r="AJ116" s="165"/>
      <c r="AK116" s="165"/>
      <c r="AL116" s="165"/>
      <c r="AM116" s="946"/>
      <c r="AN116" s="946"/>
      <c r="AO116" s="946"/>
      <c r="AP116" s="946"/>
    </row>
    <row r="117" spans="1:42">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75"/>
      <c r="Y117" s="75"/>
      <c r="Z117" s="75"/>
      <c r="AA117" s="75"/>
      <c r="AB117" s="75"/>
      <c r="AC117" s="75"/>
      <c r="AD117" s="75"/>
      <c r="AE117" s="75"/>
      <c r="AF117" s="75"/>
      <c r="AG117" s="547"/>
      <c r="AH117" s="547"/>
      <c r="AI117" s="547"/>
      <c r="AJ117" s="165"/>
      <c r="AK117" s="165"/>
      <c r="AL117" s="165"/>
      <c r="AM117" s="946"/>
      <c r="AN117" s="946"/>
      <c r="AO117" s="946"/>
      <c r="AP117" s="946"/>
    </row>
    <row r="118" spans="1:42">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75"/>
      <c r="Y118" s="75"/>
      <c r="Z118" s="75"/>
      <c r="AA118" s="75"/>
      <c r="AB118" s="75"/>
      <c r="AC118" s="75"/>
      <c r="AD118" s="75"/>
      <c r="AE118" s="75"/>
      <c r="AF118" s="75"/>
      <c r="AG118" s="547"/>
      <c r="AH118" s="547"/>
      <c r="AI118" s="547"/>
      <c r="AJ118" s="165"/>
      <c r="AK118" s="165"/>
      <c r="AL118" s="165"/>
      <c r="AM118" s="946"/>
      <c r="AN118" s="946"/>
      <c r="AO118" s="946"/>
      <c r="AP118" s="946"/>
    </row>
    <row r="119" spans="1:42">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75"/>
      <c r="Y119" s="75"/>
      <c r="Z119" s="75"/>
      <c r="AA119" s="75"/>
      <c r="AB119" s="75"/>
      <c r="AC119" s="75"/>
      <c r="AD119" s="75"/>
      <c r="AE119" s="75"/>
      <c r="AF119" s="75"/>
      <c r="AG119" s="547"/>
      <c r="AH119" s="547"/>
      <c r="AI119" s="547"/>
      <c r="AJ119" s="165"/>
      <c r="AK119" s="165"/>
      <c r="AL119" s="165"/>
      <c r="AM119" s="946"/>
      <c r="AN119" s="946"/>
      <c r="AO119" s="946"/>
      <c r="AP119" s="946"/>
    </row>
    <row r="120" spans="1:42">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75"/>
      <c r="Y120" s="75"/>
      <c r="Z120" s="75"/>
      <c r="AA120" s="75"/>
      <c r="AB120" s="75"/>
      <c r="AC120" s="75"/>
      <c r="AD120" s="75"/>
      <c r="AE120" s="75"/>
      <c r="AF120" s="75"/>
      <c r="AG120" s="547"/>
      <c r="AH120" s="547"/>
      <c r="AI120" s="547"/>
      <c r="AJ120" s="165"/>
      <c r="AK120" s="165"/>
      <c r="AL120" s="165"/>
      <c r="AM120" s="946"/>
      <c r="AN120" s="946"/>
      <c r="AO120" s="946"/>
      <c r="AP120" s="946"/>
    </row>
    <row r="121" spans="1:42">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75"/>
      <c r="Y121" s="75"/>
      <c r="Z121" s="75"/>
      <c r="AA121" s="75"/>
      <c r="AB121" s="75"/>
      <c r="AC121" s="75"/>
      <c r="AD121" s="75"/>
      <c r="AE121" s="75"/>
      <c r="AF121" s="75"/>
      <c r="AG121" s="547"/>
      <c r="AH121" s="547"/>
      <c r="AI121" s="547"/>
      <c r="AJ121" s="165"/>
      <c r="AK121" s="165"/>
      <c r="AL121" s="165"/>
      <c r="AM121" s="946"/>
      <c r="AN121" s="946"/>
      <c r="AO121" s="946"/>
      <c r="AP121" s="946"/>
    </row>
    <row r="122" spans="1:42">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75"/>
      <c r="Y122" s="75"/>
      <c r="Z122" s="75"/>
      <c r="AA122" s="75"/>
      <c r="AB122" s="75"/>
      <c r="AC122" s="75"/>
      <c r="AD122" s="75"/>
      <c r="AE122" s="75"/>
      <c r="AF122" s="75"/>
      <c r="AG122" s="547"/>
      <c r="AH122" s="547"/>
      <c r="AI122" s="547"/>
      <c r="AJ122" s="165"/>
      <c r="AK122" s="165"/>
      <c r="AL122" s="165"/>
      <c r="AM122" s="946"/>
      <c r="AN122" s="946"/>
      <c r="AO122" s="946"/>
      <c r="AP122" s="946"/>
    </row>
    <row r="123" spans="1:42">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75"/>
      <c r="Y123" s="75"/>
      <c r="Z123" s="75"/>
      <c r="AA123" s="75"/>
      <c r="AB123" s="75"/>
      <c r="AC123" s="75"/>
      <c r="AD123" s="75"/>
      <c r="AE123" s="75"/>
      <c r="AF123" s="75"/>
      <c r="AG123" s="547"/>
      <c r="AH123" s="547"/>
      <c r="AI123" s="547"/>
      <c r="AJ123" s="165"/>
      <c r="AK123" s="165"/>
      <c r="AL123" s="165"/>
      <c r="AM123" s="946"/>
      <c r="AN123" s="946"/>
      <c r="AO123" s="946"/>
      <c r="AP123" s="946"/>
    </row>
    <row r="124" spans="1:42">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75"/>
      <c r="Y124" s="75"/>
      <c r="Z124" s="75"/>
      <c r="AA124" s="75"/>
      <c r="AB124" s="75"/>
      <c r="AC124" s="75"/>
      <c r="AD124" s="75"/>
      <c r="AE124" s="75"/>
      <c r="AF124" s="75"/>
      <c r="AG124" s="547"/>
      <c r="AH124" s="547"/>
      <c r="AI124" s="547"/>
      <c r="AJ124" s="165"/>
      <c r="AK124" s="165"/>
      <c r="AL124" s="165"/>
      <c r="AM124" s="946"/>
      <c r="AN124" s="946"/>
      <c r="AO124" s="946"/>
      <c r="AP124" s="946"/>
    </row>
    <row r="125" spans="1:42">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75"/>
      <c r="Y125" s="75"/>
      <c r="Z125" s="75"/>
      <c r="AA125" s="75"/>
      <c r="AB125" s="75"/>
      <c r="AC125" s="75"/>
      <c r="AD125" s="75"/>
      <c r="AE125" s="75"/>
      <c r="AF125" s="75"/>
      <c r="AG125" s="547"/>
      <c r="AH125" s="547"/>
      <c r="AI125" s="547"/>
      <c r="AJ125" s="165"/>
      <c r="AK125" s="165"/>
      <c r="AL125" s="165"/>
      <c r="AM125" s="946"/>
      <c r="AN125" s="946"/>
      <c r="AO125" s="946"/>
      <c r="AP125" s="946"/>
    </row>
    <row r="126" spans="1:42">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75"/>
      <c r="Y126" s="75"/>
      <c r="Z126" s="75"/>
      <c r="AA126" s="75"/>
      <c r="AB126" s="75"/>
      <c r="AC126" s="75"/>
      <c r="AD126" s="75"/>
      <c r="AE126" s="75"/>
      <c r="AF126" s="75"/>
      <c r="AG126" s="547"/>
      <c r="AH126" s="547"/>
      <c r="AI126" s="547"/>
      <c r="AJ126" s="165"/>
      <c r="AK126" s="165"/>
      <c r="AL126" s="165"/>
      <c r="AM126" s="946"/>
      <c r="AN126" s="946"/>
      <c r="AO126" s="946"/>
      <c r="AP126" s="946"/>
    </row>
    <row r="127" spans="1:42">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75"/>
      <c r="Y127" s="75"/>
      <c r="Z127" s="75"/>
      <c r="AA127" s="75"/>
      <c r="AB127" s="75"/>
      <c r="AC127" s="75"/>
      <c r="AD127" s="75"/>
      <c r="AE127" s="75"/>
      <c r="AF127" s="75"/>
      <c r="AG127" s="547"/>
      <c r="AH127" s="547"/>
      <c r="AI127" s="547"/>
      <c r="AJ127" s="165"/>
      <c r="AK127" s="165"/>
      <c r="AL127" s="165"/>
      <c r="AM127" s="946"/>
      <c r="AN127" s="946"/>
      <c r="AO127" s="946"/>
      <c r="AP127" s="946"/>
    </row>
    <row r="128" spans="1:42">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75"/>
      <c r="Y128" s="75"/>
      <c r="Z128" s="75"/>
      <c r="AA128" s="75"/>
      <c r="AB128" s="75"/>
      <c r="AC128" s="75"/>
      <c r="AD128" s="75"/>
      <c r="AE128" s="75"/>
      <c r="AF128" s="75"/>
      <c r="AG128" s="547"/>
      <c r="AH128" s="547"/>
      <c r="AI128" s="547"/>
      <c r="AJ128" s="165"/>
      <c r="AK128" s="165"/>
      <c r="AL128" s="165"/>
      <c r="AM128" s="946"/>
      <c r="AN128" s="946"/>
      <c r="AO128" s="946"/>
      <c r="AP128" s="946"/>
    </row>
    <row r="129" spans="1:42">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75"/>
      <c r="Y129" s="75"/>
      <c r="Z129" s="75"/>
      <c r="AA129" s="75"/>
      <c r="AB129" s="75"/>
      <c r="AC129" s="75"/>
      <c r="AD129" s="75"/>
      <c r="AE129" s="75"/>
      <c r="AF129" s="75"/>
      <c r="AG129" s="547"/>
      <c r="AH129" s="547"/>
      <c r="AI129" s="547"/>
      <c r="AJ129" s="165"/>
      <c r="AK129" s="165"/>
      <c r="AL129" s="165"/>
      <c r="AM129" s="946"/>
      <c r="AN129" s="946"/>
      <c r="AO129" s="946"/>
      <c r="AP129" s="946"/>
    </row>
    <row r="130" spans="1:42">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75"/>
      <c r="Y130" s="75"/>
      <c r="Z130" s="75"/>
      <c r="AA130" s="75"/>
      <c r="AB130" s="75"/>
      <c r="AC130" s="75"/>
      <c r="AD130" s="75"/>
      <c r="AE130" s="75"/>
      <c r="AF130" s="75"/>
      <c r="AG130" s="547"/>
      <c r="AH130" s="547"/>
      <c r="AI130" s="547"/>
      <c r="AJ130" s="165"/>
      <c r="AK130" s="165"/>
      <c r="AL130" s="165"/>
      <c r="AM130" s="946"/>
      <c r="AN130" s="946"/>
      <c r="AO130" s="946"/>
      <c r="AP130" s="946"/>
    </row>
    <row r="131" spans="1:42" ht="15.75">
      <c r="A131" s="165"/>
      <c r="B131" s="165"/>
      <c r="C131" s="1767"/>
      <c r="D131" s="165"/>
      <c r="E131" s="165"/>
      <c r="F131" s="165"/>
      <c r="G131" s="165"/>
      <c r="H131" s="165"/>
      <c r="I131" s="165"/>
      <c r="J131" s="165"/>
      <c r="K131" s="165"/>
      <c r="L131" s="165"/>
      <c r="M131" s="165"/>
      <c r="N131" s="165"/>
      <c r="O131" s="165"/>
      <c r="P131" s="165"/>
      <c r="Q131" s="165"/>
      <c r="R131" s="165"/>
      <c r="S131" s="165"/>
      <c r="T131" s="165"/>
      <c r="U131" s="165"/>
      <c r="V131" s="165"/>
      <c r="W131" s="165"/>
      <c r="X131" s="75"/>
      <c r="Y131" s="75"/>
      <c r="Z131" s="75"/>
      <c r="AA131" s="75"/>
      <c r="AB131" s="75"/>
      <c r="AC131" s="75"/>
      <c r="AD131" s="75"/>
      <c r="AE131" s="75"/>
      <c r="AF131" s="75"/>
      <c r="AG131" s="547"/>
      <c r="AH131" s="547"/>
      <c r="AI131" s="547"/>
      <c r="AJ131" s="165"/>
      <c r="AK131" s="165"/>
      <c r="AL131" s="165"/>
      <c r="AM131" s="946"/>
      <c r="AN131" s="946"/>
      <c r="AO131" s="946"/>
      <c r="AP131" s="946"/>
    </row>
  </sheetData>
  <mergeCells count="9">
    <mergeCell ref="B108:AG108"/>
    <mergeCell ref="B109:AG109"/>
    <mergeCell ref="B110:AG110"/>
    <mergeCell ref="B15:AQ15"/>
    <mergeCell ref="B47:Z47"/>
    <mergeCell ref="B48:Z48"/>
    <mergeCell ref="B49:Z49"/>
    <mergeCell ref="B87:AF87"/>
    <mergeCell ref="B104:AG104"/>
  </mergeCells>
  <pageMargins left="0.70866141732283472" right="0.70866141732283472" top="0.74803149606299213" bottom="0.74803149606299213" header="0.31496062992125984" footer="0.31496062992125984"/>
  <pageSetup paperSize="9" scale="6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Q103"/>
  <sheetViews>
    <sheetView topLeftCell="B13" workbookViewId="0">
      <selection activeCell="B13" sqref="A1:XFD1048576"/>
    </sheetView>
  </sheetViews>
  <sheetFormatPr defaultColWidth="8.88671875" defaultRowHeight="12.75" outlineLevelRow="1"/>
  <cols>
    <col min="1" max="1" width="0" style="165" hidden="1" customWidth="1"/>
    <col min="2" max="2" width="5.33203125" style="165" customWidth="1"/>
    <col min="3" max="4" width="25.5546875" style="165" customWidth="1"/>
    <col min="5" max="5" width="1.33203125" style="165" customWidth="1"/>
    <col min="6" max="6" width="16" style="165" customWidth="1"/>
    <col min="7" max="23" width="1.77734375" style="165" hidden="1" customWidth="1"/>
    <col min="24" max="24" width="6" style="75" hidden="1" customWidth="1"/>
    <col min="25" max="25" width="5" style="75" hidden="1" customWidth="1"/>
    <col min="26" max="26" width="7.33203125" style="75" customWidth="1"/>
    <col min="27" max="27" width="6" style="75" customWidth="1"/>
    <col min="28" max="28" width="7" style="75" customWidth="1"/>
    <col min="29" max="29" width="6.33203125" style="75" customWidth="1"/>
    <col min="30" max="30" width="7.44140625" style="75" customWidth="1"/>
    <col min="31" max="31" width="6.33203125" style="75" customWidth="1"/>
    <col min="32" max="35" width="6.21875" style="75" customWidth="1"/>
    <col min="36" max="43" width="6.21875" style="165" customWidth="1"/>
    <col min="44" max="16384" width="8.88671875" style="165"/>
  </cols>
  <sheetData>
    <row r="1" spans="1:43" ht="21.75" hidden="1" customHeight="1" outlineLevel="1">
      <c r="B1" s="165" t="s">
        <v>695</v>
      </c>
    </row>
    <row r="2" spans="1:43" ht="22.5" hidden="1" customHeight="1" outlineLevel="1"/>
    <row r="3" spans="1:43" ht="14.25" hidden="1" customHeight="1" outlineLevel="1"/>
    <row r="4" spans="1:43" ht="15" hidden="1" customHeight="1" outlineLevel="1">
      <c r="B4" s="966" t="s">
        <v>696</v>
      </c>
      <c r="C4" s="966"/>
      <c r="X4" s="75">
        <v>2001</v>
      </c>
      <c r="Z4" s="202">
        <v>2003</v>
      </c>
      <c r="AA4" s="202"/>
      <c r="AB4" s="202">
        <v>2005</v>
      </c>
      <c r="AC4" s="202"/>
      <c r="AD4" s="202">
        <v>2007</v>
      </c>
      <c r="AE4" s="202"/>
      <c r="AF4" s="202">
        <v>2009</v>
      </c>
      <c r="AG4" s="202">
        <v>2010</v>
      </c>
      <c r="AH4" s="202">
        <v>2011</v>
      </c>
      <c r="AI4" s="202">
        <v>2012</v>
      </c>
      <c r="AJ4" s="202">
        <v>2013</v>
      </c>
      <c r="AK4" s="202">
        <v>2014</v>
      </c>
      <c r="AL4" s="202">
        <v>2015</v>
      </c>
      <c r="AM4" s="202">
        <v>2016</v>
      </c>
      <c r="AN4" s="202">
        <v>2017</v>
      </c>
      <c r="AO4" s="202">
        <v>2018</v>
      </c>
      <c r="AP4" s="202">
        <v>2019</v>
      </c>
      <c r="AQ4" s="202">
        <v>2020</v>
      </c>
    </row>
    <row r="5" spans="1:43" ht="17.25" hidden="1" customHeight="1" outlineLevel="1"/>
    <row r="6" spans="1:43" ht="15.75" hidden="1" customHeight="1" outlineLevel="1">
      <c r="A6" s="165" t="s">
        <v>2</v>
      </c>
      <c r="B6" s="165" t="s">
        <v>3</v>
      </c>
      <c r="X6" s="166"/>
      <c r="Y6" s="166"/>
      <c r="Z6" s="166">
        <f>Z92</f>
        <v>0</v>
      </c>
      <c r="AA6" s="166">
        <f t="shared" ref="AA6:AL6" si="0">AA92</f>
        <v>0</v>
      </c>
      <c r="AB6" s="166">
        <f t="shared" si="0"/>
        <v>0</v>
      </c>
      <c r="AC6" s="166">
        <f t="shared" si="0"/>
        <v>0</v>
      </c>
      <c r="AD6" s="166">
        <f t="shared" si="0"/>
        <v>0</v>
      </c>
      <c r="AE6" s="166">
        <f t="shared" si="0"/>
        <v>0</v>
      </c>
      <c r="AF6" s="166">
        <f t="shared" si="0"/>
        <v>0</v>
      </c>
      <c r="AG6" s="166">
        <f t="shared" si="0"/>
        <v>0</v>
      </c>
      <c r="AH6" s="166">
        <f t="shared" si="0"/>
        <v>0</v>
      </c>
      <c r="AI6" s="166">
        <f t="shared" si="0"/>
        <v>0</v>
      </c>
      <c r="AJ6" s="166">
        <f t="shared" si="0"/>
        <v>0</v>
      </c>
      <c r="AK6" s="166">
        <f t="shared" si="0"/>
        <v>0</v>
      </c>
      <c r="AL6" s="166">
        <f t="shared" si="0"/>
        <v>0</v>
      </c>
      <c r="AM6" s="166">
        <f>AM92</f>
        <v>0</v>
      </c>
      <c r="AN6" s="166">
        <f>AN92</f>
        <v>0</v>
      </c>
      <c r="AO6" s="166">
        <f t="shared" ref="AO6:AP6" si="1">AO92</f>
        <v>0</v>
      </c>
      <c r="AP6" s="166">
        <f t="shared" si="1"/>
        <v>0</v>
      </c>
      <c r="AQ6" s="166"/>
    </row>
    <row r="7" spans="1:43" ht="18.75" hidden="1" customHeight="1" outlineLevel="1">
      <c r="A7" s="165" t="s">
        <v>4</v>
      </c>
      <c r="B7" s="165" t="s">
        <v>5</v>
      </c>
      <c r="Z7" s="75">
        <f>Z97</f>
        <v>0</v>
      </c>
      <c r="AA7" s="75">
        <f t="shared" ref="AA7:AL7" si="2">AA97</f>
        <v>0</v>
      </c>
      <c r="AB7" s="75">
        <f t="shared" si="2"/>
        <v>0</v>
      </c>
      <c r="AC7" s="75">
        <f t="shared" si="2"/>
        <v>0</v>
      </c>
      <c r="AD7" s="75">
        <f t="shared" si="2"/>
        <v>0</v>
      </c>
      <c r="AE7" s="75">
        <f t="shared" si="2"/>
        <v>0</v>
      </c>
      <c r="AF7" s="75">
        <f t="shared" si="2"/>
        <v>0</v>
      </c>
      <c r="AG7" s="75">
        <f t="shared" si="2"/>
        <v>0</v>
      </c>
      <c r="AH7" s="75">
        <f t="shared" si="2"/>
        <v>0</v>
      </c>
      <c r="AI7" s="75">
        <f t="shared" si="2"/>
        <v>0</v>
      </c>
      <c r="AJ7" s="75">
        <f t="shared" si="2"/>
        <v>0</v>
      </c>
      <c r="AK7" s="75">
        <f t="shared" si="2"/>
        <v>0</v>
      </c>
      <c r="AL7" s="75">
        <f t="shared" si="2"/>
        <v>0</v>
      </c>
      <c r="AM7" s="75">
        <f>AM97</f>
        <v>0</v>
      </c>
      <c r="AN7" s="75">
        <f>AN97</f>
        <v>0</v>
      </c>
      <c r="AO7" s="75">
        <f t="shared" ref="AO7:AP7" si="3">AO97</f>
        <v>0</v>
      </c>
      <c r="AP7" s="75">
        <f t="shared" si="3"/>
        <v>0</v>
      </c>
      <c r="AQ7" s="75"/>
    </row>
    <row r="8" spans="1:43" ht="19.5" hidden="1" customHeight="1" outlineLevel="1">
      <c r="A8" s="165" t="s">
        <v>6</v>
      </c>
      <c r="X8" s="166"/>
      <c r="Y8" s="166"/>
      <c r="Z8" s="166">
        <f>Z6+Z7</f>
        <v>0</v>
      </c>
      <c r="AA8" s="166">
        <f t="shared" ref="AA8:AL8" si="4">AA6+AA7</f>
        <v>0</v>
      </c>
      <c r="AB8" s="166">
        <f t="shared" si="4"/>
        <v>0</v>
      </c>
      <c r="AC8" s="166">
        <f t="shared" si="4"/>
        <v>0</v>
      </c>
      <c r="AD8" s="166">
        <f t="shared" si="4"/>
        <v>0</v>
      </c>
      <c r="AE8" s="166">
        <f t="shared" si="4"/>
        <v>0</v>
      </c>
      <c r="AF8" s="166">
        <f t="shared" si="4"/>
        <v>0</v>
      </c>
      <c r="AG8" s="166">
        <f t="shared" si="4"/>
        <v>0</v>
      </c>
      <c r="AH8" s="166">
        <f t="shared" si="4"/>
        <v>0</v>
      </c>
      <c r="AI8" s="166">
        <f t="shared" si="4"/>
        <v>0</v>
      </c>
      <c r="AJ8" s="166">
        <f t="shared" si="4"/>
        <v>0</v>
      </c>
      <c r="AK8" s="166">
        <f t="shared" si="4"/>
        <v>0</v>
      </c>
      <c r="AL8" s="166">
        <f t="shared" si="4"/>
        <v>0</v>
      </c>
      <c r="AM8" s="166">
        <f>AM6+AM7</f>
        <v>0</v>
      </c>
      <c r="AN8" s="166">
        <f>AN6+AN7</f>
        <v>0</v>
      </c>
      <c r="AO8" s="166">
        <f t="shared" ref="AO8:AP8" si="5">AO6+AO7</f>
        <v>0</v>
      </c>
      <c r="AP8" s="166">
        <f t="shared" si="5"/>
        <v>0</v>
      </c>
      <c r="AQ8" s="166"/>
    </row>
    <row r="9" spans="1:43" ht="21.75" hidden="1" customHeight="1" outlineLevel="1">
      <c r="AJ9" s="75"/>
      <c r="AK9" s="75"/>
      <c r="AL9" s="75"/>
      <c r="AM9" s="75"/>
      <c r="AN9" s="75"/>
      <c r="AO9" s="75"/>
      <c r="AP9" s="75"/>
      <c r="AQ9" s="75"/>
    </row>
    <row r="10" spans="1:43" ht="24.75" hidden="1" customHeight="1" outlineLevel="1">
      <c r="B10" s="165" t="s">
        <v>110</v>
      </c>
      <c r="Z10" s="75">
        <f>Z101</f>
        <v>0</v>
      </c>
      <c r="AA10" s="75">
        <f t="shared" ref="AA10:AL10" si="6">AA101</f>
        <v>0</v>
      </c>
      <c r="AB10" s="75">
        <f t="shared" si="6"/>
        <v>0</v>
      </c>
      <c r="AC10" s="75">
        <f t="shared" si="6"/>
        <v>0</v>
      </c>
      <c r="AD10" s="75">
        <f t="shared" si="6"/>
        <v>0</v>
      </c>
      <c r="AE10" s="75">
        <f t="shared" si="6"/>
        <v>0</v>
      </c>
      <c r="AF10" s="75">
        <f t="shared" si="6"/>
        <v>0</v>
      </c>
      <c r="AG10" s="75">
        <f t="shared" si="6"/>
        <v>0</v>
      </c>
      <c r="AH10" s="75">
        <f t="shared" si="6"/>
        <v>0</v>
      </c>
      <c r="AI10" s="75">
        <f t="shared" si="6"/>
        <v>0</v>
      </c>
      <c r="AJ10" s="75">
        <f t="shared" si="6"/>
        <v>0</v>
      </c>
      <c r="AK10" s="75">
        <f t="shared" si="6"/>
        <v>0</v>
      </c>
      <c r="AL10" s="75">
        <f t="shared" si="6"/>
        <v>0</v>
      </c>
      <c r="AM10" s="75">
        <f>AM101</f>
        <v>0</v>
      </c>
      <c r="AN10" s="75">
        <f>AN101</f>
        <v>0</v>
      </c>
      <c r="AO10" s="75">
        <f t="shared" ref="AO10:AP10" si="7">AO101</f>
        <v>0</v>
      </c>
      <c r="AP10" s="75">
        <f t="shared" si="7"/>
        <v>0</v>
      </c>
      <c r="AQ10" s="75"/>
    </row>
    <row r="11" spans="1:43" ht="23.25" hidden="1" customHeight="1" outlineLevel="1">
      <c r="X11" s="166"/>
      <c r="Y11" s="166"/>
      <c r="Z11" s="166"/>
      <c r="AA11" s="166"/>
      <c r="AB11" s="166"/>
      <c r="AC11" s="166"/>
      <c r="AD11" s="166"/>
      <c r="AE11" s="166"/>
      <c r="AF11" s="166"/>
      <c r="AG11" s="166"/>
      <c r="AH11" s="166"/>
      <c r="AI11" s="166"/>
      <c r="AJ11" s="166"/>
      <c r="AK11" s="166"/>
      <c r="AL11" s="166"/>
      <c r="AM11" s="166"/>
      <c r="AN11" s="166"/>
      <c r="AO11" s="166"/>
      <c r="AP11" s="166"/>
      <c r="AQ11" s="166"/>
    </row>
    <row r="12" spans="1:43" ht="25.5" hidden="1" customHeight="1" outlineLevel="1">
      <c r="B12" s="165" t="s">
        <v>8</v>
      </c>
      <c r="X12" s="166"/>
      <c r="Y12" s="166"/>
      <c r="Z12" s="166">
        <f>Z93</f>
        <v>0</v>
      </c>
      <c r="AA12" s="166">
        <f t="shared" ref="AA12:AL12" si="8">AA93</f>
        <v>0</v>
      </c>
      <c r="AB12" s="166">
        <f t="shared" si="8"/>
        <v>0</v>
      </c>
      <c r="AC12" s="166">
        <f t="shared" si="8"/>
        <v>0</v>
      </c>
      <c r="AD12" s="166">
        <f t="shared" si="8"/>
        <v>0</v>
      </c>
      <c r="AE12" s="166">
        <f t="shared" si="8"/>
        <v>0</v>
      </c>
      <c r="AF12" s="166">
        <f t="shared" si="8"/>
        <v>0</v>
      </c>
      <c r="AG12" s="166">
        <f t="shared" si="8"/>
        <v>0</v>
      </c>
      <c r="AH12" s="166">
        <f t="shared" si="8"/>
        <v>0</v>
      </c>
      <c r="AI12" s="166">
        <f t="shared" si="8"/>
        <v>0</v>
      </c>
      <c r="AJ12" s="166">
        <f t="shared" si="8"/>
        <v>0</v>
      </c>
      <c r="AK12" s="166">
        <f t="shared" si="8"/>
        <v>0</v>
      </c>
      <c r="AL12" s="166">
        <f t="shared" si="8"/>
        <v>0</v>
      </c>
      <c r="AM12" s="166">
        <f>AM93</f>
        <v>0</v>
      </c>
      <c r="AN12" s="166">
        <f>AN93</f>
        <v>0</v>
      </c>
      <c r="AO12" s="166">
        <f t="shared" ref="AO12:AP12" si="9">AO93</f>
        <v>0</v>
      </c>
      <c r="AP12" s="166">
        <f t="shared" si="9"/>
        <v>0</v>
      </c>
      <c r="AQ12" s="166"/>
    </row>
    <row r="13" spans="1:43" ht="24.75" customHeight="1" outlineLevel="1"/>
    <row r="14" spans="1:43" ht="9" customHeight="1" outlineLevel="1"/>
    <row r="15" spans="1:43" ht="27" customHeight="1">
      <c r="B15" s="1924" t="s">
        <v>697</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O16" s="168"/>
      <c r="P16" s="168"/>
      <c r="Q16" s="168"/>
      <c r="R16" s="168"/>
      <c r="S16" s="168"/>
      <c r="T16" s="168"/>
      <c r="U16" s="168"/>
      <c r="V16" s="168"/>
      <c r="W16" s="168"/>
      <c r="X16" s="169"/>
      <c r="Y16" s="166"/>
      <c r="Z16" s="166"/>
      <c r="AA16" s="166"/>
      <c r="AB16" s="166"/>
      <c r="AC16" s="166"/>
      <c r="AD16" s="166"/>
      <c r="AE16" s="166"/>
      <c r="AF16" s="166"/>
    </row>
    <row r="17" spans="2:43">
      <c r="B17" s="170" t="s">
        <v>695</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row>
    <row r="18" spans="2:43">
      <c r="O18" s="168"/>
      <c r="P18" s="168"/>
      <c r="Q18" s="168"/>
      <c r="R18" s="168"/>
      <c r="S18" s="168"/>
      <c r="T18" s="168"/>
      <c r="U18" s="168"/>
      <c r="V18" s="168"/>
      <c r="W18" s="168"/>
      <c r="X18" s="169"/>
      <c r="Y18" s="166"/>
      <c r="Z18" s="166"/>
      <c r="AA18" s="166"/>
      <c r="AB18" s="166"/>
      <c r="AC18" s="166"/>
      <c r="AD18" s="166"/>
      <c r="AE18" s="166"/>
      <c r="AF18" s="166"/>
    </row>
    <row r="19" spans="2:43">
      <c r="B19" s="170" t="s">
        <v>243</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row>
    <row r="20" spans="2:43">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row>
    <row r="21" spans="2:43" ht="16.5" customHeight="1">
      <c r="D21" s="896" t="s">
        <v>698</v>
      </c>
      <c r="F21" s="202" t="s">
        <v>699</v>
      </c>
      <c r="O21" s="168"/>
      <c r="P21" s="168"/>
      <c r="Q21" s="168"/>
      <c r="R21" s="168"/>
      <c r="S21" s="168"/>
      <c r="T21" s="168"/>
      <c r="U21" s="168"/>
      <c r="V21" s="168"/>
      <c r="W21" s="168"/>
      <c r="X21" s="258"/>
      <c r="Y21" s="258"/>
      <c r="Z21" s="257">
        <v>2003</v>
      </c>
      <c r="AA21" s="257">
        <v>2004</v>
      </c>
      <c r="AB21" s="257">
        <v>2005</v>
      </c>
      <c r="AC21" s="257">
        <v>2006</v>
      </c>
      <c r="AD21" s="257">
        <v>2007</v>
      </c>
      <c r="AE21" s="257">
        <v>2008</v>
      </c>
      <c r="AF21" s="257">
        <v>2009</v>
      </c>
      <c r="AG21" s="202">
        <v>2010</v>
      </c>
      <c r="AH21" s="202">
        <v>2011</v>
      </c>
      <c r="AI21" s="202">
        <v>2012</v>
      </c>
      <c r="AJ21" s="202">
        <v>2013</v>
      </c>
      <c r="AK21" s="202">
        <v>2014</v>
      </c>
      <c r="AL21" s="202">
        <v>2015</v>
      </c>
      <c r="AM21" s="202">
        <v>2016</v>
      </c>
      <c r="AN21" s="202">
        <v>2017</v>
      </c>
      <c r="AO21" s="202">
        <v>2018</v>
      </c>
      <c r="AP21" s="202">
        <v>2019</v>
      </c>
      <c r="AQ21" s="202">
        <v>2020</v>
      </c>
    </row>
    <row r="22" spans="2:43" ht="16.5" customHeight="1">
      <c r="B22" s="1768">
        <v>1</v>
      </c>
      <c r="C22" s="1769" t="s">
        <v>410</v>
      </c>
      <c r="D22" s="1770"/>
      <c r="E22" s="1770"/>
      <c r="F22" s="1771"/>
      <c r="X22" s="1772"/>
      <c r="Z22" s="931"/>
      <c r="AA22" s="931"/>
      <c r="AB22" s="931"/>
      <c r="AC22" s="931"/>
      <c r="AD22" s="931"/>
      <c r="AE22" s="931"/>
      <c r="AF22" s="931"/>
      <c r="AG22" s="931"/>
      <c r="AH22" s="931"/>
      <c r="AI22" s="931"/>
      <c r="AJ22" s="931"/>
    </row>
    <row r="23" spans="2:43" ht="16.5" customHeight="1">
      <c r="B23" s="1773" t="s">
        <v>289</v>
      </c>
      <c r="C23" s="1108" t="s">
        <v>700</v>
      </c>
      <c r="D23" s="1108" t="s">
        <v>1681</v>
      </c>
      <c r="E23" s="1108"/>
      <c r="F23" s="1773">
        <v>1131111</v>
      </c>
      <c r="X23" s="1772"/>
      <c r="Z23" s="208">
        <v>0.13270296575433685</v>
      </c>
      <c r="AA23" s="208">
        <v>0.1344394819886951</v>
      </c>
      <c r="AB23" s="208">
        <v>0.142929299711748</v>
      </c>
      <c r="AC23" s="208">
        <v>0.14845348368437461</v>
      </c>
      <c r="AD23" s="208">
        <v>0.12482103513150465</v>
      </c>
      <c r="AE23" s="208">
        <v>0.12344426515037099</v>
      </c>
      <c r="AF23" s="208">
        <v>0.12316775636599683</v>
      </c>
      <c r="AG23" s="934">
        <v>0.12744434731734081</v>
      </c>
      <c r="AH23" s="934">
        <v>0.13939301983398317</v>
      </c>
      <c r="AI23" s="934">
        <v>0.14203043795354195</v>
      </c>
      <c r="AJ23" s="934">
        <v>0.14980028682441016</v>
      </c>
      <c r="AK23" s="1774">
        <v>0.15360054556245609</v>
      </c>
      <c r="AL23" s="1774">
        <v>0.15867490756224609</v>
      </c>
      <c r="AM23" s="1774">
        <v>0.15668511390338097</v>
      </c>
      <c r="AN23" s="1774">
        <v>0.14845580303644407</v>
      </c>
      <c r="AO23" s="1774">
        <v>0.15260677124522048</v>
      </c>
      <c r="AP23" s="1774">
        <v>0.15796978915293369</v>
      </c>
      <c r="AQ23" s="1774"/>
    </row>
    <row r="24" spans="2:43" ht="16.5" customHeight="1">
      <c r="B24" s="1773" t="s">
        <v>291</v>
      </c>
      <c r="C24" s="1108" t="s">
        <v>701</v>
      </c>
      <c r="D24" s="1108" t="s">
        <v>1681</v>
      </c>
      <c r="E24" s="1108"/>
      <c r="F24" s="1773">
        <v>1131112</v>
      </c>
      <c r="X24" s="1772"/>
      <c r="Z24" s="208">
        <v>0.153152299433095</v>
      </c>
      <c r="AA24" s="208">
        <v>0.16395036173560276</v>
      </c>
      <c r="AB24" s="208">
        <v>0.17820303822704223</v>
      </c>
      <c r="AC24" s="208">
        <v>0.18554746066802297</v>
      </c>
      <c r="AD24" s="208">
        <v>0.16586443380428351</v>
      </c>
      <c r="AE24" s="208">
        <v>0.16659750515758784</v>
      </c>
      <c r="AF24" s="208">
        <v>0.16320929196148393</v>
      </c>
      <c r="AG24" s="934">
        <v>0.17000484178775424</v>
      </c>
      <c r="AH24" s="934">
        <v>0.18533833400589231</v>
      </c>
      <c r="AI24" s="934">
        <v>0.1913625076230073</v>
      </c>
      <c r="AJ24" s="934">
        <v>0.20720800693154248</v>
      </c>
      <c r="AK24" s="934">
        <v>0.21186049601993112</v>
      </c>
      <c r="AL24" s="934">
        <v>0.21394258334123206</v>
      </c>
      <c r="AM24" s="934">
        <v>0.21346815026393809</v>
      </c>
      <c r="AN24" s="934">
        <v>0.19806602249786676</v>
      </c>
      <c r="AO24" s="934">
        <v>0.20389885871731292</v>
      </c>
      <c r="AP24" s="934">
        <v>0.21159849446018392</v>
      </c>
      <c r="AQ24" s="934"/>
    </row>
    <row r="25" spans="2:43" ht="16.5" customHeight="1">
      <c r="B25" s="1773" t="s">
        <v>702</v>
      </c>
      <c r="C25" s="1108" t="s">
        <v>703</v>
      </c>
      <c r="D25" s="1108"/>
      <c r="E25" s="1108"/>
      <c r="F25" s="1773"/>
      <c r="X25" s="1772"/>
      <c r="Z25" s="208"/>
      <c r="AA25" s="208"/>
      <c r="AB25" s="208"/>
      <c r="AC25" s="208"/>
      <c r="AD25" s="208"/>
      <c r="AE25" s="208"/>
      <c r="AF25" s="208"/>
      <c r="AG25" s="934"/>
      <c r="AH25" s="934"/>
      <c r="AI25" s="934"/>
      <c r="AJ25" s="934"/>
      <c r="AK25" s="934"/>
      <c r="AL25" s="934"/>
    </row>
    <row r="26" spans="2:43" ht="16.5" customHeight="1">
      <c r="B26" s="1773" t="s">
        <v>704</v>
      </c>
      <c r="C26" s="1108" t="s">
        <v>705</v>
      </c>
      <c r="D26" s="1108"/>
      <c r="E26" s="1108"/>
      <c r="F26" s="1773"/>
      <c r="X26" s="1772"/>
      <c r="Z26" s="208"/>
      <c r="AA26" s="208"/>
      <c r="AB26" s="208"/>
      <c r="AC26" s="208"/>
      <c r="AD26" s="208"/>
      <c r="AE26" s="208"/>
      <c r="AF26" s="208"/>
      <c r="AG26" s="934"/>
      <c r="AH26" s="934"/>
      <c r="AI26" s="934"/>
      <c r="AJ26" s="934"/>
      <c r="AK26" s="934"/>
      <c r="AL26" s="934"/>
    </row>
    <row r="27" spans="2:43" ht="16.5" customHeight="1">
      <c r="B27" s="1768">
        <v>2</v>
      </c>
      <c r="C27" s="1769" t="s">
        <v>706</v>
      </c>
      <c r="D27" s="1769"/>
      <c r="E27" s="1769"/>
      <c r="F27" s="1775"/>
      <c r="X27" s="1772"/>
      <c r="Z27" s="940"/>
      <c r="AA27" s="940"/>
      <c r="AB27" s="940"/>
      <c r="AC27" s="940"/>
      <c r="AD27" s="940"/>
      <c r="AE27" s="940"/>
      <c r="AF27" s="1776"/>
      <c r="AG27" s="1777"/>
      <c r="AH27" s="1776"/>
      <c r="AI27" s="1777"/>
      <c r="AJ27" s="1777"/>
    </row>
    <row r="28" spans="2:43" ht="16.5" customHeight="1">
      <c r="B28" s="1773" t="s">
        <v>414</v>
      </c>
      <c r="C28" s="1108" t="s">
        <v>700</v>
      </c>
      <c r="D28" s="1108" t="s">
        <v>1681</v>
      </c>
      <c r="E28" s="1108"/>
      <c r="F28" s="1773">
        <v>1141111</v>
      </c>
      <c r="X28" s="1772"/>
      <c r="Z28" s="208">
        <v>0.11205123638114708</v>
      </c>
      <c r="AA28" s="208">
        <v>0.11435447543310512</v>
      </c>
      <c r="AB28" s="208">
        <v>0.12347406083549063</v>
      </c>
      <c r="AC28" s="208">
        <v>0.12640629134475134</v>
      </c>
      <c r="AD28" s="208">
        <v>0.10306635724721194</v>
      </c>
      <c r="AE28" s="208">
        <v>0.10016237616355926</v>
      </c>
      <c r="AF28" s="208">
        <v>9.8482285227689301E-2</v>
      </c>
      <c r="AG28" s="934">
        <v>0.10231377758789825</v>
      </c>
      <c r="AH28" s="934">
        <v>0.11246086753007692</v>
      </c>
      <c r="AI28" s="934">
        <v>0.11548430075599637</v>
      </c>
      <c r="AJ28" s="934">
        <v>0.12313286757839063</v>
      </c>
      <c r="AK28" s="1774">
        <v>0.12680212236355295</v>
      </c>
      <c r="AL28" s="1774">
        <v>0.12839527933091732</v>
      </c>
      <c r="AM28" s="1774">
        <v>0.12962079565317844</v>
      </c>
      <c r="AN28" s="1774">
        <v>0.12358179582715186</v>
      </c>
      <c r="AO28" s="1774">
        <v>0.12674772000931742</v>
      </c>
      <c r="AP28" s="1774">
        <v>0.13034272133965399</v>
      </c>
      <c r="AQ28" s="1774"/>
    </row>
    <row r="29" spans="2:43" ht="16.5" customHeight="1">
      <c r="B29" s="1773" t="s">
        <v>507</v>
      </c>
      <c r="C29" s="1108" t="s">
        <v>703</v>
      </c>
      <c r="D29" s="1108"/>
      <c r="E29" s="1108"/>
      <c r="F29" s="1773"/>
      <c r="X29" s="1772"/>
      <c r="Z29" s="208"/>
      <c r="AA29" s="208"/>
      <c r="AB29" s="208"/>
      <c r="AC29" s="208"/>
      <c r="AD29" s="208"/>
      <c r="AE29" s="208"/>
      <c r="AF29" s="208"/>
      <c r="AG29" s="934"/>
      <c r="AH29" s="934"/>
      <c r="AI29" s="934"/>
      <c r="AJ29" s="934"/>
      <c r="AK29" s="934"/>
      <c r="AL29" s="934"/>
    </row>
    <row r="30" spans="2:43" ht="16.5" customHeight="1">
      <c r="B30" s="1768">
        <v>3</v>
      </c>
      <c r="C30" s="1769" t="s">
        <v>14</v>
      </c>
      <c r="D30" s="1769"/>
      <c r="E30" s="1769"/>
      <c r="F30" s="1775"/>
      <c r="X30" s="1772"/>
      <c r="Z30" s="940"/>
      <c r="AA30" s="940"/>
      <c r="AB30" s="940"/>
      <c r="AC30" s="940"/>
      <c r="AD30" s="940"/>
      <c r="AE30" s="940"/>
      <c r="AF30" s="1776"/>
      <c r="AG30" s="1777"/>
      <c r="AH30" s="1776"/>
      <c r="AI30" s="1777"/>
      <c r="AJ30" s="1777"/>
      <c r="AK30" s="1777"/>
      <c r="AL30" s="1778"/>
    </row>
    <row r="31" spans="2:43" ht="16.5" customHeight="1">
      <c r="B31" s="1773" t="s">
        <v>707</v>
      </c>
      <c r="C31" s="1108" t="s">
        <v>708</v>
      </c>
      <c r="D31" s="1108" t="s">
        <v>1681</v>
      </c>
      <c r="E31" s="1108"/>
      <c r="F31" s="1773">
        <v>1121111</v>
      </c>
      <c r="X31" s="1772"/>
      <c r="Z31" s="208">
        <v>0.11012991040284557</v>
      </c>
      <c r="AA31" s="208">
        <v>0.11345187560301249</v>
      </c>
      <c r="AB31" s="208">
        <v>0.12089879060899111</v>
      </c>
      <c r="AC31" s="208">
        <v>0.12333184721441155</v>
      </c>
      <c r="AD31" s="208">
        <v>9.7374083787298504E-2</v>
      </c>
      <c r="AE31" s="208">
        <v>9.9330346945231046E-2</v>
      </c>
      <c r="AF31" s="208">
        <v>9.8077601312285267E-2</v>
      </c>
      <c r="AG31" s="934">
        <v>0.10075404231570564</v>
      </c>
      <c r="AH31" s="934">
        <v>0.10975211463859588</v>
      </c>
      <c r="AI31" s="934">
        <v>0.11134892927560437</v>
      </c>
      <c r="AJ31" s="934">
        <v>0.11722327295915137</v>
      </c>
      <c r="AK31" s="934">
        <v>0.11957897067041678</v>
      </c>
      <c r="AL31" s="1774">
        <v>0.12095029569931179</v>
      </c>
      <c r="AM31" s="1774">
        <v>0.11855224733629732</v>
      </c>
      <c r="AN31" s="1774">
        <v>0.11074446836229801</v>
      </c>
      <c r="AO31" s="1774">
        <v>0.11275052605979423</v>
      </c>
      <c r="AP31" s="1774">
        <v>0.11772752240957587</v>
      </c>
      <c r="AQ31" s="1774"/>
    </row>
    <row r="32" spans="2:43" ht="16.5" customHeight="1">
      <c r="B32" s="1773" t="s">
        <v>709</v>
      </c>
      <c r="C32" s="1108" t="s">
        <v>710</v>
      </c>
      <c r="D32" s="1108"/>
      <c r="E32" s="1108"/>
      <c r="F32" s="1773"/>
      <c r="X32" s="1772"/>
      <c r="Z32" s="208"/>
      <c r="AA32" s="208"/>
      <c r="AB32" s="208"/>
      <c r="AC32" s="208"/>
      <c r="AD32" s="208"/>
      <c r="AE32" s="208"/>
      <c r="AF32" s="208"/>
      <c r="AG32" s="934"/>
      <c r="AH32" s="934"/>
      <c r="AI32" s="934"/>
      <c r="AJ32" s="934"/>
      <c r="AK32" s="934"/>
      <c r="AL32" s="934"/>
    </row>
    <row r="33" spans="2:43" ht="16.5" customHeight="1">
      <c r="B33" s="1773" t="s">
        <v>416</v>
      </c>
      <c r="C33" s="1108" t="s">
        <v>16</v>
      </c>
      <c r="D33" s="1108" t="s">
        <v>1682</v>
      </c>
      <c r="E33" s="1108"/>
      <c r="F33" s="1773">
        <v>1121115</v>
      </c>
      <c r="X33" s="1772"/>
      <c r="Z33" s="208">
        <v>0</v>
      </c>
      <c r="AA33" s="208">
        <v>0</v>
      </c>
      <c r="AB33" s="208">
        <v>0</v>
      </c>
      <c r="AC33" s="208">
        <v>0</v>
      </c>
      <c r="AD33" s="208">
        <v>0</v>
      </c>
      <c r="AE33" s="208">
        <v>0</v>
      </c>
      <c r="AF33" s="208">
        <v>0</v>
      </c>
      <c r="AG33" s="934">
        <v>0</v>
      </c>
      <c r="AH33" s="934">
        <v>1.9442950505781445E-3</v>
      </c>
      <c r="AI33" s="934">
        <v>8.7585081034173579E-3</v>
      </c>
      <c r="AJ33" s="934">
        <v>1.7503426228678263E-2</v>
      </c>
      <c r="AK33" s="934">
        <v>2.5961359456206333E-2</v>
      </c>
      <c r="AL33" s="934">
        <v>3.1911043990648584E-2</v>
      </c>
      <c r="AM33" s="934">
        <v>3.5359663542239905E-2</v>
      </c>
      <c r="AN33" s="934">
        <v>3.6488205822386731E-2</v>
      </c>
      <c r="AO33" s="934">
        <v>4.2414897227924471E-2</v>
      </c>
      <c r="AP33" s="934">
        <v>4.4957350344867225E-2</v>
      </c>
      <c r="AQ33" s="934"/>
    </row>
    <row r="34" spans="2:43" ht="16.5" customHeight="1">
      <c r="B34" s="1773" t="s">
        <v>417</v>
      </c>
      <c r="C34" s="1108" t="s">
        <v>711</v>
      </c>
      <c r="D34" s="1108" t="s">
        <v>1683</v>
      </c>
      <c r="E34" s="1108"/>
      <c r="F34" s="1773">
        <v>1111111</v>
      </c>
      <c r="X34" s="1772"/>
      <c r="Z34" s="208">
        <v>0.15789469804012965</v>
      </c>
      <c r="AA34" s="208">
        <v>0.16027081491663223</v>
      </c>
      <c r="AB34" s="208">
        <v>0.16371788952628069</v>
      </c>
      <c r="AC34" s="208">
        <v>0.16623157691920556</v>
      </c>
      <c r="AD34" s="208">
        <v>0.17247101874870974</v>
      </c>
      <c r="AE34" s="208">
        <v>0.17783156633864416</v>
      </c>
      <c r="AF34" s="208">
        <v>0.18555108144915905</v>
      </c>
      <c r="AG34" s="934">
        <v>0.19022049552226028</v>
      </c>
      <c r="AH34" s="934">
        <v>0.19848299494138827</v>
      </c>
      <c r="AI34" s="934">
        <v>0.19234001076107082</v>
      </c>
      <c r="AJ34" s="934">
        <v>0.19692109617563242</v>
      </c>
      <c r="AK34" s="934">
        <v>0.19958995991696049</v>
      </c>
      <c r="AL34" s="934">
        <v>0.2053357374693516</v>
      </c>
      <c r="AM34" s="934">
        <v>0.20058847244364753</v>
      </c>
      <c r="AN34" s="934">
        <v>0.19460563917391932</v>
      </c>
      <c r="AO34" s="934">
        <v>0.20175470512410096</v>
      </c>
      <c r="AP34" s="934">
        <v>0.20928789502257641</v>
      </c>
      <c r="AQ34" s="934"/>
    </row>
    <row r="35" spans="2:43" ht="16.5" customHeight="1">
      <c r="B35" s="1768">
        <v>4</v>
      </c>
      <c r="C35" s="1769" t="s">
        <v>419</v>
      </c>
      <c r="D35" s="1769"/>
      <c r="E35" s="1769"/>
      <c r="F35" s="1775"/>
      <c r="X35" s="1772"/>
      <c r="Z35" s="940"/>
      <c r="AA35" s="940"/>
      <c r="AB35" s="940"/>
      <c r="AC35" s="940"/>
      <c r="AD35" s="940"/>
      <c r="AE35" s="940"/>
      <c r="AF35" s="1776"/>
      <c r="AG35" s="1777"/>
      <c r="AH35" s="1776"/>
      <c r="AI35" s="1777"/>
      <c r="AJ35" s="1777"/>
      <c r="AK35" s="1777"/>
      <c r="AL35" s="1778"/>
    </row>
    <row r="36" spans="2:43" ht="16.5" customHeight="1">
      <c r="B36" s="1773" t="s">
        <v>296</v>
      </c>
      <c r="C36" s="1108" t="s">
        <v>420</v>
      </c>
      <c r="D36" s="1779" t="s">
        <v>1684</v>
      </c>
      <c r="E36" s="1779"/>
      <c r="F36" s="1773" t="s">
        <v>712</v>
      </c>
      <c r="X36" s="1772"/>
      <c r="Z36" s="208">
        <v>0</v>
      </c>
      <c r="AA36" s="208">
        <v>0</v>
      </c>
      <c r="AB36" s="208">
        <v>0</v>
      </c>
      <c r="AC36" s="208">
        <v>0</v>
      </c>
      <c r="AD36" s="208">
        <v>0</v>
      </c>
      <c r="AE36" s="208">
        <v>0</v>
      </c>
      <c r="AF36" s="208">
        <v>0</v>
      </c>
      <c r="AG36" s="934">
        <v>0</v>
      </c>
      <c r="AH36" s="934">
        <v>0</v>
      </c>
      <c r="AI36" s="934">
        <v>0</v>
      </c>
      <c r="AJ36" s="934">
        <v>0</v>
      </c>
      <c r="AK36" s="934">
        <v>0</v>
      </c>
      <c r="AL36" s="1774">
        <v>0</v>
      </c>
      <c r="AM36" s="1774">
        <v>0</v>
      </c>
      <c r="AN36" s="1774">
        <v>0</v>
      </c>
      <c r="AO36" s="1774">
        <v>0</v>
      </c>
      <c r="AP36" s="1774">
        <v>0</v>
      </c>
      <c r="AQ36" s="1774"/>
    </row>
    <row r="37" spans="2:43" ht="16.5" customHeight="1">
      <c r="B37" s="1773" t="s">
        <v>298</v>
      </c>
      <c r="C37" s="1108" t="s">
        <v>421</v>
      </c>
      <c r="D37" s="1779" t="s">
        <v>1685</v>
      </c>
      <c r="E37" s="1779"/>
      <c r="F37" s="1773" t="s">
        <v>713</v>
      </c>
      <c r="X37" s="1772"/>
      <c r="Z37" s="208">
        <v>0.113441220393786</v>
      </c>
      <c r="AA37" s="208">
        <v>0.1144887170077234</v>
      </c>
      <c r="AB37" s="208">
        <v>0.11672106598986914</v>
      </c>
      <c r="AC37" s="208">
        <v>0.11967761679468032</v>
      </c>
      <c r="AD37" s="208">
        <v>0.15070139893081863</v>
      </c>
      <c r="AE37" s="208">
        <v>0.16201422728122936</v>
      </c>
      <c r="AF37" s="208">
        <v>0.15994257853483276</v>
      </c>
      <c r="AG37" s="934">
        <v>0.16026028188726132</v>
      </c>
      <c r="AH37" s="934">
        <v>0.20199393403000981</v>
      </c>
      <c r="AI37" s="934">
        <v>0.20157802393162777</v>
      </c>
      <c r="AJ37" s="934">
        <v>0.20494846723765414</v>
      </c>
      <c r="AK37" s="934">
        <v>0.20972414067454082</v>
      </c>
      <c r="AL37" s="1780">
        <v>0.21133583325253397</v>
      </c>
      <c r="AM37" s="1780">
        <v>0.2038786112140642</v>
      </c>
      <c r="AN37" s="1780">
        <v>0.21793480076322913</v>
      </c>
      <c r="AO37" s="1780">
        <v>0.2237593849668004</v>
      </c>
      <c r="AP37" s="1780">
        <v>0.22698807940284221</v>
      </c>
      <c r="AQ37" s="1780"/>
    </row>
    <row r="38" spans="2:43" ht="16.5" customHeight="1">
      <c r="B38" s="1773" t="s">
        <v>301</v>
      </c>
      <c r="C38" s="1108" t="s">
        <v>508</v>
      </c>
      <c r="D38" s="1108"/>
      <c r="E38" s="1108"/>
      <c r="F38" s="1773"/>
      <c r="X38" s="1772"/>
      <c r="Z38" s="208"/>
      <c r="AA38" s="208"/>
      <c r="AB38" s="208"/>
      <c r="AC38" s="208"/>
      <c r="AD38" s="208"/>
      <c r="AE38" s="208"/>
      <c r="AF38" s="1781"/>
      <c r="AG38" s="934"/>
      <c r="AI38" s="934"/>
      <c r="AJ38" s="934"/>
      <c r="AK38" s="934"/>
      <c r="AL38" s="934"/>
    </row>
    <row r="39" spans="2:43" ht="16.5" customHeight="1">
      <c r="B39" s="1768">
        <v>6</v>
      </c>
      <c r="C39" s="1769" t="s">
        <v>425</v>
      </c>
      <c r="D39" s="1769"/>
      <c r="E39" s="1769"/>
      <c r="F39" s="1775"/>
      <c r="X39" s="1772"/>
      <c r="Z39" s="940"/>
      <c r="AA39" s="940"/>
      <c r="AB39" s="940"/>
      <c r="AC39" s="940"/>
      <c r="AD39" s="940"/>
      <c r="AE39" s="940"/>
      <c r="AF39" s="1776"/>
      <c r="AG39" s="1777"/>
      <c r="AH39" s="1776"/>
      <c r="AI39" s="1777"/>
      <c r="AJ39" s="1777"/>
      <c r="AK39" s="1777"/>
      <c r="AL39" s="1778"/>
    </row>
    <row r="40" spans="2:43" ht="16.5" customHeight="1">
      <c r="B40" s="1773" t="s">
        <v>426</v>
      </c>
      <c r="C40" s="1108" t="s">
        <v>427</v>
      </c>
      <c r="D40" s="1108" t="s">
        <v>1686</v>
      </c>
      <c r="E40" s="1108"/>
      <c r="F40" s="1773">
        <v>1161111</v>
      </c>
      <c r="X40" s="1772"/>
      <c r="Z40" s="208">
        <v>0.14869562575568507</v>
      </c>
      <c r="AA40" s="208">
        <v>0.14718206346227988</v>
      </c>
      <c r="AB40" s="208">
        <v>0.14769269630652623</v>
      </c>
      <c r="AC40" s="208">
        <v>0.14710954128518072</v>
      </c>
      <c r="AD40" s="208">
        <v>0.15249390719680181</v>
      </c>
      <c r="AE40" s="208">
        <v>0.15481481445149295</v>
      </c>
      <c r="AF40" s="208">
        <v>0.15954127677677388</v>
      </c>
      <c r="AG40" s="934">
        <v>0.16258593574433894</v>
      </c>
      <c r="AH40" s="934">
        <v>0.1686072064938966</v>
      </c>
      <c r="AI40" s="934">
        <v>0.16878626635104968</v>
      </c>
      <c r="AJ40" s="934">
        <v>0.17311123012205448</v>
      </c>
      <c r="AK40" s="934">
        <v>0.17602130394034587</v>
      </c>
      <c r="AL40" s="1774">
        <v>0.1804736599653905</v>
      </c>
      <c r="AM40" s="1774">
        <v>0.1823126827233473</v>
      </c>
      <c r="AN40" s="1774">
        <v>0.1758375878312069</v>
      </c>
      <c r="AO40" s="1774">
        <v>0.17671303495986787</v>
      </c>
      <c r="AP40" s="1774">
        <v>0.18132935735129585</v>
      </c>
      <c r="AQ40" s="1774"/>
    </row>
    <row r="41" spans="2:43" ht="16.5" customHeight="1">
      <c r="B41" s="1773" t="s">
        <v>428</v>
      </c>
      <c r="C41" s="1108" t="s">
        <v>1535</v>
      </c>
      <c r="D41" s="1108" t="s">
        <v>1686</v>
      </c>
      <c r="E41" s="1108"/>
      <c r="F41" s="1773">
        <v>1161113</v>
      </c>
      <c r="X41" s="1772"/>
      <c r="Z41" s="208">
        <v>0.19323830226257524</v>
      </c>
      <c r="AA41" s="208">
        <v>0.19594064078063464</v>
      </c>
      <c r="AB41" s="208">
        <v>0.20047655949275864</v>
      </c>
      <c r="AC41" s="208">
        <v>0.20329125074092852</v>
      </c>
      <c r="AD41" s="208">
        <v>0.21263325547107376</v>
      </c>
      <c r="AE41" s="208">
        <v>0.21592936748712305</v>
      </c>
      <c r="AF41" s="934">
        <v>0.21356357748764238</v>
      </c>
      <c r="AG41" s="934">
        <v>0.22073691196705242</v>
      </c>
      <c r="AH41" s="934">
        <v>0.23289320359274263</v>
      </c>
      <c r="AI41" s="934">
        <v>0.23360439895119747</v>
      </c>
      <c r="AJ41" s="934">
        <v>0.24423921849810409</v>
      </c>
      <c r="AK41" s="1780">
        <v>0.25016922693302468</v>
      </c>
      <c r="AL41" s="1780">
        <v>0.25390281575173324</v>
      </c>
      <c r="AM41" s="1780">
        <v>0.25898810682547835</v>
      </c>
      <c r="AN41" s="1780">
        <v>0.24684414003599436</v>
      </c>
      <c r="AO41" s="1780">
        <v>0.24665499835017418</v>
      </c>
      <c r="AP41" s="1780">
        <v>0.25002802268695123</v>
      </c>
    </row>
    <row r="42" spans="2:43" ht="16.5" customHeight="1">
      <c r="B42" s="1768">
        <v>8</v>
      </c>
      <c r="C42" s="1769" t="s">
        <v>511</v>
      </c>
      <c r="D42" s="1769"/>
      <c r="E42" s="1769"/>
      <c r="F42" s="1775"/>
      <c r="X42" s="1772"/>
      <c r="Z42" s="940"/>
      <c r="AA42" s="940"/>
      <c r="AB42" s="940"/>
      <c r="AC42" s="940"/>
      <c r="AD42" s="940"/>
      <c r="AE42" s="940"/>
      <c r="AF42" s="1776"/>
      <c r="AG42" s="1777"/>
      <c r="AH42" s="1777"/>
      <c r="AI42" s="1777"/>
      <c r="AJ42" s="1777"/>
      <c r="AK42" s="1777"/>
      <c r="AL42" s="1777"/>
    </row>
    <row r="43" spans="2:43" ht="16.5" customHeight="1">
      <c r="B43" s="1773" t="s">
        <v>512</v>
      </c>
      <c r="C43" s="1108" t="s">
        <v>513</v>
      </c>
      <c r="D43" s="1108" t="s">
        <v>1687</v>
      </c>
      <c r="E43" s="1108"/>
      <c r="F43" s="1773" t="s">
        <v>714</v>
      </c>
      <c r="X43" s="1772"/>
      <c r="Z43" s="208">
        <v>2.8034008993548579E-2</v>
      </c>
      <c r="AA43" s="208">
        <v>2.9047353411866417E-2</v>
      </c>
      <c r="AB43" s="208">
        <v>2.8011761664035649E-2</v>
      </c>
      <c r="AC43" s="208">
        <v>2.4568396799039421E-2</v>
      </c>
      <c r="AD43" s="208">
        <v>2.7763126338291335E-2</v>
      </c>
      <c r="AE43" s="208">
        <v>2.5937235840212881E-2</v>
      </c>
      <c r="AF43" s="208">
        <v>2.3347727820739007E-2</v>
      </c>
      <c r="AG43" s="934">
        <v>2.3391137441886315E-2</v>
      </c>
      <c r="AH43" s="934">
        <v>2.3541297375118831E-2</v>
      </c>
      <c r="AI43" s="934">
        <v>2.346771796095035E-2</v>
      </c>
      <c r="AJ43" s="934">
        <v>2.3059140780824945E-2</v>
      </c>
      <c r="AK43" s="934">
        <v>2.3071887008344488E-2</v>
      </c>
      <c r="AL43" s="1780">
        <v>2.4126945596289005E-2</v>
      </c>
      <c r="AM43" s="1774">
        <v>2.3218826087975007E-2</v>
      </c>
      <c r="AN43" s="1774">
        <v>2.3197152604568293E-2</v>
      </c>
      <c r="AO43" s="1774">
        <v>2.3199501770185371E-2</v>
      </c>
      <c r="AP43" s="1774">
        <v>2.3511899223868031E-2</v>
      </c>
      <c r="AQ43" s="1774"/>
    </row>
    <row r="44" spans="2:43" ht="16.5" customHeight="1">
      <c r="B44" s="1768">
        <v>9</v>
      </c>
      <c r="C44" s="1769" t="s">
        <v>715</v>
      </c>
      <c r="D44" s="1769"/>
      <c r="E44" s="1769"/>
      <c r="F44" s="1775"/>
      <c r="X44" s="1772"/>
      <c r="Y44" s="1782"/>
      <c r="Z44" s="940">
        <v>0.21855801670791403</v>
      </c>
      <c r="AA44" s="940">
        <v>0.22283042140343759</v>
      </c>
      <c r="AB44" s="940">
        <v>0.22894804634837873</v>
      </c>
      <c r="AC44" s="940">
        <v>0.23374280321486496</v>
      </c>
      <c r="AD44" s="940">
        <v>0.24224908525674746</v>
      </c>
      <c r="AE44" s="940">
        <v>0.24887576947277379</v>
      </c>
      <c r="AF44" s="208">
        <v>0.24556123086591919</v>
      </c>
      <c r="AG44" s="934">
        <v>0.24904111566907347</v>
      </c>
      <c r="AH44" s="934">
        <v>0.26214646104598999</v>
      </c>
      <c r="AI44" s="934">
        <v>0.25916793563791557</v>
      </c>
      <c r="AJ44" s="934">
        <v>0.26598197944968754</v>
      </c>
      <c r="AK44" s="934">
        <v>0.2702042167858274</v>
      </c>
      <c r="AL44" s="1780">
        <v>0.27552077621109061</v>
      </c>
      <c r="AM44" s="1780">
        <v>0.27703147433231384</v>
      </c>
      <c r="AN44" s="1780">
        <v>0.26702358431898804</v>
      </c>
      <c r="AO44" s="1780">
        <v>0.2697</v>
      </c>
      <c r="AP44" s="1780">
        <v>0.27329999999999999</v>
      </c>
      <c r="AQ44" s="1780"/>
    </row>
    <row r="45" spans="2:43" ht="16.5" customHeight="1">
      <c r="B45" s="1768">
        <v>10</v>
      </c>
      <c r="C45" s="1769" t="s">
        <v>716</v>
      </c>
      <c r="D45" s="1783" t="s">
        <v>1688</v>
      </c>
      <c r="E45" s="1769"/>
      <c r="F45" s="1773">
        <v>1111111</v>
      </c>
      <c r="G45" s="172"/>
      <c r="H45" s="172"/>
      <c r="I45" s="172"/>
      <c r="J45" s="172"/>
      <c r="K45" s="172"/>
      <c r="L45" s="172"/>
      <c r="M45" s="172"/>
      <c r="N45" s="172"/>
      <c r="O45" s="172"/>
      <c r="P45" s="172"/>
      <c r="Q45" s="172"/>
      <c r="R45" s="172"/>
      <c r="S45" s="172"/>
      <c r="T45" s="172"/>
      <c r="U45" s="172"/>
      <c r="V45" s="172"/>
      <c r="W45" s="172"/>
      <c r="X45" s="256"/>
      <c r="Y45" s="200"/>
      <c r="Z45" s="940">
        <v>0.19660290481159737</v>
      </c>
      <c r="AA45" s="940">
        <v>0.20094114058229653</v>
      </c>
      <c r="AB45" s="940">
        <v>0.2074797448558259</v>
      </c>
      <c r="AC45" s="940">
        <v>0.21262352010099542</v>
      </c>
      <c r="AD45" s="940">
        <v>0.24224908525674743</v>
      </c>
      <c r="AE45" s="940">
        <v>0.24887576947277379</v>
      </c>
      <c r="AF45" s="1784">
        <v>0.24556123086591916</v>
      </c>
      <c r="AG45" s="1785">
        <v>0.24904111566907347</v>
      </c>
      <c r="AH45" s="1785">
        <v>0.26214331458962153</v>
      </c>
      <c r="AI45" s="1785">
        <v>0.25914981994363401</v>
      </c>
      <c r="AJ45" s="1785">
        <v>0.26594064249652477</v>
      </c>
      <c r="AK45" s="1785">
        <v>0.27014099376055262</v>
      </c>
      <c r="AL45" s="1785">
        <v>0.27544646582169752</v>
      </c>
      <c r="AM45" s="1785">
        <v>0.27374062919371484</v>
      </c>
      <c r="AN45" s="1785">
        <v>0.26521762154624567</v>
      </c>
      <c r="AO45" s="1785">
        <v>0.26957008519899073</v>
      </c>
      <c r="AP45" s="1785">
        <v>0.27320501648032869</v>
      </c>
      <c r="AQ45" s="1785"/>
    </row>
    <row r="46" spans="2:43">
      <c r="B46" s="578" t="s">
        <v>717</v>
      </c>
    </row>
    <row r="47" spans="2:43">
      <c r="B47" s="165" t="s">
        <v>718</v>
      </c>
    </row>
    <row r="48" spans="2:43" ht="27.75" customHeight="1">
      <c r="B48" s="2023" t="s">
        <v>514</v>
      </c>
      <c r="C48" s="2024"/>
      <c r="D48" s="2024"/>
      <c r="E48" s="2024"/>
      <c r="F48" s="2024"/>
      <c r="G48" s="2024"/>
      <c r="H48" s="2024"/>
      <c r="I48" s="2024"/>
      <c r="J48" s="2024"/>
      <c r="K48" s="2024"/>
      <c r="L48" s="2024"/>
      <c r="M48" s="2024"/>
      <c r="N48" s="2024"/>
      <c r="O48" s="2024"/>
      <c r="P48" s="2024"/>
      <c r="Q48" s="2024"/>
      <c r="R48" s="2024"/>
      <c r="S48" s="2024"/>
      <c r="T48" s="2024"/>
      <c r="U48" s="2024"/>
      <c r="V48" s="2024"/>
      <c r="W48" s="2024"/>
      <c r="X48" s="2024"/>
      <c r="Y48" s="2024"/>
      <c r="Z48" s="2024"/>
      <c r="AA48" s="2024"/>
      <c r="AB48" s="2024"/>
      <c r="AC48" s="2024"/>
      <c r="AD48" s="2024"/>
      <c r="AE48" s="2024"/>
      <c r="AF48" s="2024"/>
    </row>
    <row r="49" spans="2:43">
      <c r="B49" s="165" t="s">
        <v>515</v>
      </c>
    </row>
    <row r="50" spans="2:43">
      <c r="B50" s="165" t="s">
        <v>516</v>
      </c>
    </row>
    <row r="51" spans="2:43">
      <c r="B51" s="165" t="s">
        <v>517</v>
      </c>
    </row>
    <row r="53" spans="2:43" hidden="1"/>
    <row r="54" spans="2:43" hidden="1"/>
    <row r="55" spans="2:43" hidden="1"/>
    <row r="56" spans="2:43" hidden="1"/>
    <row r="57" spans="2:43" hidden="1"/>
    <row r="58" spans="2:43">
      <c r="B58" s="165" t="s">
        <v>719</v>
      </c>
    </row>
    <row r="60" spans="2:43" outlineLevel="1">
      <c r="B60" s="971" t="s">
        <v>720</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row>
    <row r="61" spans="2:43" outlineLevel="1">
      <c r="B61" s="245" t="s">
        <v>721</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J61" s="75"/>
      <c r="AK61" s="75"/>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J62" s="75"/>
      <c r="AK62" s="75"/>
    </row>
    <row r="63" spans="2:43" outlineLevel="1">
      <c r="B63" s="165" t="s">
        <v>695</v>
      </c>
      <c r="E63" s="167"/>
      <c r="F63" s="167"/>
      <c r="G63" s="167"/>
      <c r="H63" s="167"/>
      <c r="I63" s="167"/>
      <c r="J63" s="167"/>
      <c r="K63" s="167"/>
      <c r="L63" s="167"/>
      <c r="M63" s="167"/>
      <c r="N63" s="167"/>
      <c r="O63" s="197"/>
      <c r="P63" s="198"/>
      <c r="Q63" s="199"/>
      <c r="R63" s="198"/>
      <c r="S63" s="198"/>
      <c r="T63" s="198"/>
      <c r="U63" s="198"/>
      <c r="V63" s="198"/>
      <c r="W63" s="198"/>
      <c r="X63" s="203"/>
      <c r="Y63" s="201"/>
      <c r="Z63" s="202">
        <v>2003</v>
      </c>
      <c r="AA63" s="201"/>
      <c r="AB63" s="202">
        <v>2005</v>
      </c>
      <c r="AC63" s="201"/>
      <c r="AD63" s="202">
        <v>2007</v>
      </c>
      <c r="AE63" s="201"/>
      <c r="AF63" s="202">
        <v>2009</v>
      </c>
      <c r="AG63" s="202">
        <v>2010</v>
      </c>
      <c r="AH63" s="202">
        <v>2011</v>
      </c>
      <c r="AI63" s="202">
        <v>2012</v>
      </c>
      <c r="AJ63" s="202">
        <v>2013</v>
      </c>
      <c r="AK63" s="202">
        <v>2014</v>
      </c>
      <c r="AL63" s="202">
        <v>2015</v>
      </c>
      <c r="AM63" s="202">
        <v>2016</v>
      </c>
      <c r="AN63" s="202">
        <v>2017</v>
      </c>
      <c r="AO63" s="202">
        <v>2018</v>
      </c>
      <c r="AP63" s="202">
        <v>2019</v>
      </c>
      <c r="AQ63" s="202">
        <v>2020</v>
      </c>
    </row>
    <row r="64" spans="2:43" outlineLevel="1">
      <c r="B64" s="165" t="s">
        <v>1689</v>
      </c>
      <c r="E64" s="167"/>
      <c r="F64" s="167"/>
      <c r="G64" s="167"/>
      <c r="H64" s="167"/>
      <c r="I64" s="167"/>
      <c r="J64" s="167"/>
      <c r="K64" s="167"/>
      <c r="L64" s="167"/>
      <c r="M64" s="167"/>
      <c r="N64" s="167"/>
      <c r="O64" s="197"/>
      <c r="P64" s="198"/>
      <c r="Q64" s="199"/>
      <c r="R64" s="198"/>
      <c r="S64" s="198"/>
      <c r="T64" s="198"/>
      <c r="U64" s="198"/>
      <c r="V64" s="198"/>
      <c r="W64" s="198"/>
      <c r="X64" s="203"/>
      <c r="Y64" s="203"/>
      <c r="AA64" s="203"/>
      <c r="AB64" s="203"/>
      <c r="AC64" s="203"/>
      <c r="AE64" s="203"/>
      <c r="AJ64" s="75"/>
      <c r="AK64" s="75"/>
    </row>
    <row r="65" spans="2:43" outlineLevel="1">
      <c r="B65" s="204" t="s">
        <v>28</v>
      </c>
      <c r="C65" s="165" t="s">
        <v>722</v>
      </c>
      <c r="E65" s="167"/>
      <c r="F65" s="167"/>
      <c r="G65" s="167"/>
      <c r="H65" s="167"/>
      <c r="I65" s="167"/>
      <c r="J65" s="167"/>
      <c r="K65" s="167"/>
      <c r="L65" s="167"/>
      <c r="M65" s="167"/>
      <c r="N65" s="167"/>
      <c r="O65" s="197"/>
      <c r="P65" s="198"/>
      <c r="Q65" s="199"/>
      <c r="R65" s="198"/>
      <c r="S65" s="198"/>
      <c r="T65" s="198"/>
      <c r="U65" s="198"/>
      <c r="V65" s="198"/>
      <c r="W65" s="198"/>
      <c r="X65" s="166"/>
      <c r="Z65" s="166">
        <v>10911.315000000001</v>
      </c>
      <c r="AA65" s="75">
        <v>11297.527</v>
      </c>
      <c r="AB65" s="166">
        <v>11608.536</v>
      </c>
      <c r="AC65" s="75">
        <v>12379.459000000001</v>
      </c>
      <c r="AD65" s="166">
        <v>12944.831</v>
      </c>
      <c r="AE65" s="75">
        <v>13665.306</v>
      </c>
      <c r="AF65" s="166">
        <v>13831.236999999999</v>
      </c>
      <c r="AG65" s="166">
        <v>14579.396000000001</v>
      </c>
      <c r="AH65" s="166">
        <v>15257.299000000001</v>
      </c>
      <c r="AI65" s="166">
        <v>15961.692999999999</v>
      </c>
      <c r="AJ65" s="166">
        <v>16334.290999999999</v>
      </c>
      <c r="AK65" s="166">
        <v>16945.41</v>
      </c>
      <c r="AL65" s="166">
        <v>17614.888999999999</v>
      </c>
      <c r="AM65" s="166">
        <v>18342.947</v>
      </c>
      <c r="AN65" s="166">
        <v>19306.165000000001</v>
      </c>
      <c r="AO65" s="166">
        <v>20193.972000000002</v>
      </c>
      <c r="AP65" s="166">
        <v>21034.026999999998</v>
      </c>
      <c r="AQ65" s="166">
        <v>19705.914000000001</v>
      </c>
    </row>
    <row r="66" spans="2:43" ht="5.0999999999999996" customHeight="1" outlineLevel="1">
      <c r="B66" s="75"/>
      <c r="E66" s="167"/>
      <c r="F66" s="167"/>
      <c r="G66" s="167"/>
      <c r="H66" s="167"/>
      <c r="I66" s="167"/>
      <c r="J66" s="167"/>
      <c r="K66" s="167"/>
      <c r="L66" s="167"/>
      <c r="M66" s="167"/>
      <c r="N66" s="167"/>
      <c r="O66" s="197"/>
      <c r="P66" s="198"/>
      <c r="Q66" s="199"/>
      <c r="R66" s="198"/>
      <c r="S66" s="198"/>
      <c r="T66" s="198"/>
      <c r="U66" s="198"/>
      <c r="V66" s="198"/>
      <c r="W66" s="198"/>
      <c r="X66" s="166"/>
      <c r="Z66" s="166"/>
      <c r="AB66" s="166"/>
      <c r="AD66" s="166"/>
      <c r="AF66" s="166"/>
      <c r="AG66" s="166"/>
      <c r="AH66" s="166"/>
      <c r="AI66" s="166"/>
      <c r="AJ66" s="166"/>
      <c r="AK66" s="166"/>
      <c r="AL66" s="166"/>
      <c r="AM66" s="166"/>
      <c r="AN66" s="166"/>
      <c r="AO66" s="166"/>
      <c r="AP66" s="166"/>
      <c r="AQ66" s="166"/>
    </row>
    <row r="67" spans="2:43" ht="38.25" outlineLevel="1">
      <c r="B67" s="204" t="s">
        <v>30</v>
      </c>
      <c r="C67" s="836" t="s">
        <v>723</v>
      </c>
      <c r="E67" s="167"/>
      <c r="F67" s="167"/>
      <c r="G67" s="167"/>
      <c r="H67" s="167"/>
      <c r="I67" s="167"/>
      <c r="J67" s="167"/>
      <c r="K67" s="167"/>
      <c r="L67" s="167"/>
      <c r="M67" s="167"/>
      <c r="N67" s="167"/>
      <c r="O67" s="197"/>
      <c r="P67" s="198"/>
      <c r="Q67" s="199"/>
      <c r="R67" s="198"/>
      <c r="S67" s="198"/>
      <c r="T67" s="198"/>
      <c r="U67" s="198"/>
      <c r="V67" s="198"/>
      <c r="W67" s="198"/>
      <c r="X67" s="166"/>
      <c r="Z67" s="820">
        <v>12534.268</v>
      </c>
      <c r="AA67" s="1498">
        <v>13056.919999999998</v>
      </c>
      <c r="AB67" s="820">
        <v>13592.218000000001</v>
      </c>
      <c r="AC67" s="1498">
        <v>14366.381000000003</v>
      </c>
      <c r="AD67" s="820">
        <v>15012.241000000002</v>
      </c>
      <c r="AE67" s="1498">
        <v>15921.328000000001</v>
      </c>
      <c r="AF67" s="820">
        <v>16316.829999999998</v>
      </c>
      <c r="AG67" s="820">
        <v>17261.243999999999</v>
      </c>
      <c r="AH67" s="820">
        <v>18146.936000000002</v>
      </c>
      <c r="AI67" s="820">
        <v>19096.992999999999</v>
      </c>
      <c r="AJ67" s="820">
        <v>19692.248</v>
      </c>
      <c r="AK67" s="820">
        <v>20379.449999999997</v>
      </c>
      <c r="AL67" s="820">
        <v>21166.740999999998</v>
      </c>
      <c r="AM67" s="820">
        <v>21969.701999999997</v>
      </c>
      <c r="AN67" s="820">
        <v>23193.06</v>
      </c>
      <c r="AO67" s="820">
        <v>24344.712000000003</v>
      </c>
      <c r="AP67" s="820">
        <v>25469.096999999998</v>
      </c>
      <c r="AQ67" s="820">
        <v>24540.164000000004</v>
      </c>
    </row>
    <row r="68" spans="2:43" ht="5.0999999999999996" customHeight="1" outlineLevel="1">
      <c r="B68" s="75"/>
      <c r="E68" s="167"/>
      <c r="F68" s="167"/>
      <c r="G68" s="167"/>
      <c r="H68" s="167"/>
      <c r="I68" s="167"/>
      <c r="J68" s="167"/>
      <c r="K68" s="167"/>
      <c r="L68" s="167"/>
      <c r="M68" s="167"/>
      <c r="N68" s="167"/>
      <c r="O68" s="197"/>
      <c r="P68" s="198"/>
      <c r="Q68" s="199"/>
      <c r="R68" s="198"/>
      <c r="S68" s="198"/>
      <c r="T68" s="198"/>
      <c r="U68" s="198"/>
      <c r="V68" s="198"/>
      <c r="W68" s="198"/>
      <c r="AJ68" s="75"/>
      <c r="AK68" s="75"/>
      <c r="AL68" s="75"/>
      <c r="AM68" s="75"/>
      <c r="AN68" s="75"/>
      <c r="AO68" s="75"/>
      <c r="AP68" s="75"/>
      <c r="AQ68" s="75"/>
    </row>
    <row r="69" spans="2:43" outlineLevel="1">
      <c r="B69" s="204" t="s">
        <v>32</v>
      </c>
      <c r="C69" s="165" t="s">
        <v>724</v>
      </c>
      <c r="E69" s="167"/>
      <c r="F69" s="167"/>
      <c r="G69" s="167"/>
      <c r="H69" s="167"/>
      <c r="I69" s="167"/>
      <c r="J69" s="167"/>
      <c r="K69" s="167"/>
      <c r="L69" s="167"/>
      <c r="M69" s="167"/>
      <c r="N69" s="167"/>
      <c r="O69" s="197"/>
      <c r="P69" s="198"/>
      <c r="Q69" s="199"/>
      <c r="R69" s="198"/>
      <c r="S69" s="198"/>
      <c r="T69" s="198"/>
      <c r="U69" s="198"/>
      <c r="V69" s="198"/>
      <c r="W69" s="198"/>
      <c r="X69" s="166"/>
      <c r="Z69" s="166">
        <f t="shared" ref="Z69:AQ69" si="10">SUM(Z71:Z72)</f>
        <v>2577.0420000000004</v>
      </c>
      <c r="AA69" s="75">
        <f t="shared" si="10"/>
        <v>2949.078</v>
      </c>
      <c r="AB69" s="166">
        <f t="shared" si="10"/>
        <v>3153.33</v>
      </c>
      <c r="AC69" s="75">
        <f t="shared" si="10"/>
        <v>3206.0149999999994</v>
      </c>
      <c r="AD69" s="166">
        <f t="shared" si="10"/>
        <v>3624.8399999999997</v>
      </c>
      <c r="AE69" s="75">
        <f t="shared" si="10"/>
        <v>3780.3519999999999</v>
      </c>
      <c r="AF69" s="166">
        <f t="shared" si="10"/>
        <v>3813.4629999999997</v>
      </c>
      <c r="AG69" s="166">
        <f t="shared" si="10"/>
        <v>4017.1329999999998</v>
      </c>
      <c r="AH69" s="166">
        <f t="shared" si="10"/>
        <v>4362.0480000000007</v>
      </c>
      <c r="AI69" s="166">
        <f t="shared" si="10"/>
        <v>4681.152</v>
      </c>
      <c r="AJ69" s="166">
        <f t="shared" si="10"/>
        <v>4883.0390000000007</v>
      </c>
      <c r="AK69" s="166">
        <f t="shared" si="10"/>
        <v>5291.2389999999996</v>
      </c>
      <c r="AL69" s="166">
        <f t="shared" si="10"/>
        <v>4319.5249999999996</v>
      </c>
      <c r="AM69" s="166">
        <f t="shared" si="10"/>
        <v>4512.3760000000002</v>
      </c>
      <c r="AN69" s="166">
        <f t="shared" si="10"/>
        <v>4721.085</v>
      </c>
      <c r="AO69" s="166">
        <f t="shared" si="10"/>
        <v>5059.7739999999994</v>
      </c>
      <c r="AP69" s="166">
        <f t="shared" si="10"/>
        <v>5372.8789999999999</v>
      </c>
      <c r="AQ69" s="166">
        <f t="shared" si="10"/>
        <v>5220.4009999999998</v>
      </c>
    </row>
    <row r="70" spans="2:43" ht="5.0999999999999996" customHeight="1" outlineLevel="1">
      <c r="B70" s="75"/>
      <c r="E70" s="167"/>
      <c r="F70" s="167"/>
      <c r="G70" s="167"/>
      <c r="H70" s="167"/>
      <c r="I70" s="167"/>
      <c r="J70" s="167"/>
      <c r="K70" s="167"/>
      <c r="L70" s="167"/>
      <c r="M70" s="167"/>
      <c r="N70" s="167"/>
      <c r="O70" s="197"/>
      <c r="P70" s="198"/>
      <c r="Q70" s="199"/>
      <c r="R70" s="198"/>
      <c r="S70" s="198"/>
      <c r="T70" s="198"/>
      <c r="U70" s="198"/>
      <c r="V70" s="198"/>
      <c r="W70" s="198"/>
      <c r="AJ70" s="75"/>
      <c r="AK70" s="75"/>
      <c r="AL70" s="75"/>
      <c r="AM70" s="75"/>
      <c r="AN70" s="75"/>
      <c r="AO70" s="75"/>
      <c r="AP70" s="75"/>
      <c r="AQ70" s="75"/>
    </row>
    <row r="71" spans="2:43" outlineLevel="1">
      <c r="B71" s="75"/>
      <c r="C71" s="165" t="s">
        <v>725</v>
      </c>
      <c r="E71" s="167"/>
      <c r="F71" s="167"/>
      <c r="G71" s="167"/>
      <c r="H71" s="167"/>
      <c r="I71" s="167"/>
      <c r="J71" s="167"/>
      <c r="K71" s="167"/>
      <c r="L71" s="167"/>
      <c r="M71" s="167"/>
      <c r="N71" s="167"/>
      <c r="O71" s="197"/>
      <c r="P71" s="198"/>
      <c r="Q71" s="199"/>
      <c r="R71" s="198"/>
      <c r="S71" s="198"/>
      <c r="T71" s="198"/>
      <c r="U71" s="198"/>
      <c r="V71" s="198"/>
      <c r="W71" s="198"/>
      <c r="X71" s="166"/>
      <c r="Z71" s="166">
        <v>1412.9940000000001</v>
      </c>
      <c r="AA71" s="75">
        <v>1621.5029999999999</v>
      </c>
      <c r="AB71" s="166">
        <v>1811.799</v>
      </c>
      <c r="AC71" s="75">
        <v>1854.4499999999998</v>
      </c>
      <c r="AD71" s="166">
        <v>2230.5299999999997</v>
      </c>
      <c r="AE71" s="75">
        <v>2342.1709999999998</v>
      </c>
      <c r="AF71" s="166">
        <v>2442.4199999999996</v>
      </c>
      <c r="AG71" s="166">
        <v>2616.241</v>
      </c>
      <c r="AH71" s="166">
        <v>2863.4050000000002</v>
      </c>
      <c r="AI71" s="166">
        <v>3151.2780000000002</v>
      </c>
      <c r="AJ71" s="166">
        <v>3399.0610000000001</v>
      </c>
      <c r="AK71" s="166">
        <v>3728.0639999999999</v>
      </c>
      <c r="AL71" s="166">
        <v>2945.616</v>
      </c>
      <c r="AM71" s="166">
        <v>3098.6769999999997</v>
      </c>
      <c r="AN71" s="166">
        <v>3271.797</v>
      </c>
      <c r="AO71" s="166">
        <v>3503.43</v>
      </c>
      <c r="AP71" s="166">
        <v>3698.509</v>
      </c>
      <c r="AQ71" s="166">
        <v>3704.64</v>
      </c>
    </row>
    <row r="72" spans="2:43" outlineLevel="1">
      <c r="B72" s="75"/>
      <c r="C72" s="165" t="s">
        <v>726</v>
      </c>
      <c r="E72" s="167"/>
      <c r="F72" s="167"/>
      <c r="G72" s="167"/>
      <c r="H72" s="167"/>
      <c r="I72" s="167"/>
      <c r="J72" s="167"/>
      <c r="K72" s="167"/>
      <c r="L72" s="167"/>
      <c r="M72" s="167"/>
      <c r="N72" s="167"/>
      <c r="O72" s="197"/>
      <c r="P72" s="198"/>
      <c r="Q72" s="199"/>
      <c r="R72" s="198"/>
      <c r="S72" s="198"/>
      <c r="T72" s="198"/>
      <c r="U72" s="198"/>
      <c r="V72" s="198"/>
      <c r="W72" s="198"/>
      <c r="X72" s="166"/>
      <c r="Z72" s="166">
        <v>1164.048</v>
      </c>
      <c r="AA72" s="75">
        <v>1327.575</v>
      </c>
      <c r="AB72" s="166">
        <v>1341.5309999999999</v>
      </c>
      <c r="AC72" s="75">
        <v>1351.5649999999998</v>
      </c>
      <c r="AD72" s="166">
        <v>1394.31</v>
      </c>
      <c r="AE72" s="75">
        <v>1438.181</v>
      </c>
      <c r="AF72" s="166">
        <v>1371.0430000000001</v>
      </c>
      <c r="AG72" s="166">
        <v>1400.8920000000001</v>
      </c>
      <c r="AH72" s="166">
        <v>1498.643</v>
      </c>
      <c r="AI72" s="166">
        <v>1529.874</v>
      </c>
      <c r="AJ72" s="166">
        <v>1483.9780000000001</v>
      </c>
      <c r="AK72" s="166">
        <v>1563.175</v>
      </c>
      <c r="AL72" s="166">
        <v>1373.9090000000001</v>
      </c>
      <c r="AM72" s="166">
        <v>1413.6990000000001</v>
      </c>
      <c r="AN72" s="166">
        <v>1449.288</v>
      </c>
      <c r="AO72" s="166">
        <v>1556.3440000000001</v>
      </c>
      <c r="AP72" s="166">
        <v>1674.37</v>
      </c>
      <c r="AQ72" s="166">
        <v>1515.761</v>
      </c>
    </row>
    <row r="73" spans="2:43" ht="5.0999999999999996" customHeight="1" outlineLevel="1">
      <c r="B73" s="75"/>
      <c r="E73" s="167"/>
      <c r="F73" s="167"/>
      <c r="G73" s="167"/>
      <c r="H73" s="167"/>
      <c r="I73" s="167"/>
      <c r="J73" s="167"/>
      <c r="K73" s="167"/>
      <c r="L73" s="167"/>
      <c r="M73" s="167"/>
      <c r="N73" s="167"/>
      <c r="O73" s="197"/>
      <c r="P73" s="198"/>
      <c r="Q73" s="199"/>
      <c r="R73" s="198"/>
      <c r="S73" s="198"/>
      <c r="T73" s="198"/>
      <c r="U73" s="198"/>
      <c r="V73" s="198"/>
      <c r="W73" s="198"/>
      <c r="X73" s="166"/>
      <c r="Z73" s="166"/>
      <c r="AB73" s="166"/>
      <c r="AD73" s="166"/>
      <c r="AF73" s="166"/>
      <c r="AG73" s="166"/>
      <c r="AH73" s="166"/>
      <c r="AI73" s="166"/>
      <c r="AJ73" s="166"/>
      <c r="AK73" s="166"/>
      <c r="AL73" s="166"/>
      <c r="AM73" s="166"/>
      <c r="AN73" s="166"/>
      <c r="AO73" s="166"/>
      <c r="AP73" s="166"/>
      <c r="AQ73" s="166"/>
    </row>
    <row r="74" spans="2:43" outlineLevel="1">
      <c r="B74" s="204" t="s">
        <v>36</v>
      </c>
      <c r="C74" s="165" t="s">
        <v>727</v>
      </c>
      <c r="E74" s="167"/>
      <c r="F74" s="167"/>
      <c r="G74" s="167"/>
      <c r="H74" s="167"/>
      <c r="I74" s="167"/>
      <c r="J74" s="167"/>
      <c r="K74" s="167"/>
      <c r="L74" s="167"/>
      <c r="M74" s="167"/>
      <c r="N74" s="167"/>
      <c r="O74" s="197"/>
      <c r="P74" s="198"/>
      <c r="Q74" s="199"/>
      <c r="R74" s="198"/>
      <c r="S74" s="198"/>
      <c r="T74" s="198"/>
      <c r="U74" s="198"/>
      <c r="V74" s="198"/>
      <c r="W74" s="198"/>
      <c r="X74" s="166"/>
      <c r="Z74" s="166">
        <v>2646.9929999999999</v>
      </c>
      <c r="AA74" s="75">
        <v>3018.3469999999998</v>
      </c>
      <c r="AB74" s="166">
        <v>3231.2759999999998</v>
      </c>
      <c r="AC74" s="75">
        <v>3289.5910000000003</v>
      </c>
      <c r="AD74" s="166">
        <v>3708.6210000000001</v>
      </c>
      <c r="AE74" s="75">
        <v>3866.038</v>
      </c>
      <c r="AF74" s="166">
        <v>3896.4370000000004</v>
      </c>
      <c r="AG74" s="166">
        <v>4105.1379999999999</v>
      </c>
      <c r="AH74" s="166">
        <v>4449.326</v>
      </c>
      <c r="AI74" s="166">
        <v>4767.5309999999999</v>
      </c>
      <c r="AJ74" s="166">
        <v>4969.1090000000004</v>
      </c>
      <c r="AK74" s="166">
        <v>5382.9900000000007</v>
      </c>
      <c r="AL74" s="166">
        <v>4441.6419999999998</v>
      </c>
      <c r="AM74" s="166">
        <v>4761.9470000000001</v>
      </c>
      <c r="AN74" s="166">
        <v>5014.4780000000001</v>
      </c>
      <c r="AO74" s="166">
        <v>5391.8109999999997</v>
      </c>
      <c r="AP74" s="166">
        <v>5675.2039999999997</v>
      </c>
      <c r="AQ74" s="166">
        <v>5560.3189999999995</v>
      </c>
    </row>
    <row r="75" spans="2:43" ht="5.0999999999999996" customHeight="1" outlineLevel="1">
      <c r="B75" s="75"/>
      <c r="E75" s="167"/>
      <c r="F75" s="167"/>
      <c r="G75" s="167"/>
      <c r="H75" s="167"/>
      <c r="I75" s="167"/>
      <c r="J75" s="167"/>
      <c r="K75" s="167"/>
      <c r="L75" s="167"/>
      <c r="M75" s="167"/>
      <c r="N75" s="167"/>
      <c r="O75" s="197"/>
      <c r="P75" s="198"/>
      <c r="Q75" s="199"/>
      <c r="R75" s="198"/>
      <c r="S75" s="198"/>
      <c r="T75" s="198"/>
      <c r="U75" s="198"/>
      <c r="V75" s="198"/>
      <c r="W75" s="198"/>
      <c r="X75" s="166"/>
      <c r="Z75" s="166"/>
      <c r="AB75" s="166"/>
      <c r="AD75" s="166"/>
      <c r="AF75" s="166"/>
      <c r="AG75" s="166"/>
      <c r="AH75" s="166"/>
      <c r="AI75" s="166"/>
      <c r="AJ75" s="166"/>
      <c r="AK75" s="166"/>
      <c r="AL75" s="166"/>
      <c r="AM75" s="166"/>
      <c r="AN75" s="166"/>
      <c r="AO75" s="166"/>
      <c r="AP75" s="166"/>
      <c r="AQ75" s="166"/>
    </row>
    <row r="76" spans="2:43" outlineLevel="1">
      <c r="B76" s="204" t="s">
        <v>38</v>
      </c>
      <c r="C76" s="165" t="s">
        <v>728</v>
      </c>
      <c r="E76" s="167"/>
      <c r="F76" s="167"/>
      <c r="G76" s="167"/>
      <c r="H76" s="167"/>
      <c r="I76" s="167"/>
      <c r="J76" s="167"/>
      <c r="K76" s="167"/>
      <c r="L76" s="167"/>
      <c r="M76" s="167"/>
      <c r="N76" s="167"/>
      <c r="O76" s="197"/>
      <c r="P76" s="198"/>
      <c r="Q76" s="199"/>
      <c r="R76" s="198"/>
      <c r="S76" s="198"/>
      <c r="T76" s="198"/>
      <c r="U76" s="198"/>
      <c r="V76" s="198"/>
      <c r="W76" s="198"/>
      <c r="X76" s="166"/>
      <c r="Z76" s="166">
        <v>2683.6869999999999</v>
      </c>
      <c r="AA76" s="75">
        <v>3057.8470000000002</v>
      </c>
      <c r="AB76" s="166">
        <v>3271.0509999999999</v>
      </c>
      <c r="AC76" s="75">
        <v>3334.585</v>
      </c>
      <c r="AD76" s="166">
        <v>3783.6219999999998</v>
      </c>
      <c r="AE76" s="75">
        <v>3941.3429999999998</v>
      </c>
      <c r="AF76" s="166">
        <v>3978.7729999999997</v>
      </c>
      <c r="AG76" s="166">
        <v>4179.9049999999997</v>
      </c>
      <c r="AH76" s="166">
        <v>4522.9059999999999</v>
      </c>
      <c r="AI76" s="166">
        <v>4839.9570000000003</v>
      </c>
      <c r="AJ76" s="166">
        <v>5052.0349999999999</v>
      </c>
      <c r="AK76" s="166">
        <v>5468.402</v>
      </c>
      <c r="AL76" s="166">
        <v>4527.8900000000003</v>
      </c>
      <c r="AM76" s="166">
        <v>4845.1670000000004</v>
      </c>
      <c r="AN76" s="166">
        <v>5099.6899999999996</v>
      </c>
      <c r="AO76" s="166">
        <v>5489.0659999999998</v>
      </c>
      <c r="AP76" s="166">
        <v>5772.1289999999999</v>
      </c>
      <c r="AQ76" s="166">
        <v>5657.9520000000002</v>
      </c>
    </row>
    <row r="77" spans="2:43" outlineLevel="1">
      <c r="B77" s="204"/>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F77" s="166"/>
      <c r="AG77" s="166"/>
      <c r="AH77" s="166"/>
      <c r="AI77" s="166"/>
      <c r="AJ77" s="166"/>
      <c r="AK77" s="166"/>
      <c r="AL77" s="166"/>
      <c r="AM77" s="166"/>
      <c r="AN77" s="166"/>
      <c r="AO77" s="166"/>
      <c r="AP77" s="166"/>
      <c r="AQ77" s="166"/>
    </row>
    <row r="78" spans="2:43" outlineLevel="1">
      <c r="B78" s="165" t="s">
        <v>729</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F78" s="166"/>
      <c r="AG78" s="166"/>
      <c r="AH78" s="166"/>
      <c r="AI78" s="166"/>
      <c r="AJ78" s="166"/>
      <c r="AK78" s="166"/>
      <c r="AL78" s="166"/>
      <c r="AM78" s="166"/>
      <c r="AN78" s="166"/>
      <c r="AO78" s="166"/>
      <c r="AP78" s="166"/>
      <c r="AQ78" s="166"/>
    </row>
    <row r="79" spans="2:43" ht="6" customHeight="1" outlineLevel="1">
      <c r="B79" s="75"/>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F79" s="166"/>
      <c r="AG79" s="166"/>
      <c r="AH79" s="166"/>
      <c r="AI79" s="166"/>
      <c r="AJ79" s="166"/>
      <c r="AK79" s="166"/>
      <c r="AL79" s="166"/>
      <c r="AM79" s="166"/>
      <c r="AN79" s="166"/>
      <c r="AO79" s="166"/>
      <c r="AP79" s="166"/>
      <c r="AQ79" s="166"/>
    </row>
    <row r="80" spans="2:43" s="555" customFormat="1" outlineLevel="1">
      <c r="B80" s="1786" t="s">
        <v>41</v>
      </c>
      <c r="C80" s="556" t="s">
        <v>730</v>
      </c>
      <c r="D80" s="556"/>
      <c r="E80" s="1171"/>
      <c r="F80" s="1171"/>
      <c r="G80" s="1171"/>
      <c r="H80" s="1171"/>
      <c r="I80" s="1171"/>
      <c r="J80" s="1171"/>
      <c r="K80" s="1171"/>
      <c r="L80" s="1171"/>
      <c r="M80" s="1171"/>
      <c r="N80" s="1171"/>
      <c r="O80" s="1171"/>
      <c r="P80" s="1172"/>
      <c r="Q80" s="1171"/>
      <c r="R80" s="1172"/>
      <c r="S80" s="1172"/>
      <c r="T80" s="1172"/>
      <c r="U80" s="1172"/>
      <c r="V80" s="1172"/>
      <c r="W80" s="1172"/>
      <c r="X80" s="207"/>
      <c r="Y80" s="207"/>
      <c r="Z80" s="207">
        <f t="shared" ref="Z80:AQ80" si="11">Z69/Z67</f>
        <v>0.20559972070167962</v>
      </c>
      <c r="AA80" s="207">
        <f t="shared" si="11"/>
        <v>0.22586322042258056</v>
      </c>
      <c r="AB80" s="207">
        <f t="shared" si="11"/>
        <v>0.23199524904618216</v>
      </c>
      <c r="AC80" s="207">
        <f t="shared" si="11"/>
        <v>0.22316093384965907</v>
      </c>
      <c r="AD80" s="207">
        <f t="shared" si="11"/>
        <v>0.24145895339676463</v>
      </c>
      <c r="AE80" s="207">
        <f t="shared" si="11"/>
        <v>0.23743948997219325</v>
      </c>
      <c r="AF80" s="207">
        <f t="shared" si="11"/>
        <v>0.23371347253112279</v>
      </c>
      <c r="AG80" s="207">
        <f t="shared" si="11"/>
        <v>0.2327255787589817</v>
      </c>
      <c r="AH80" s="207">
        <f t="shared" si="11"/>
        <v>0.24037380194651042</v>
      </c>
      <c r="AI80" s="207">
        <f t="shared" si="11"/>
        <v>0.24512508330499994</v>
      </c>
      <c r="AJ80" s="207">
        <f t="shared" si="11"/>
        <v>0.24796757587046439</v>
      </c>
      <c r="AK80" s="207">
        <f t="shared" si="11"/>
        <v>0.25963600587847074</v>
      </c>
      <c r="AL80" s="207">
        <f t="shared" si="11"/>
        <v>0.20407133058414614</v>
      </c>
      <c r="AM80" s="207">
        <f t="shared" si="11"/>
        <v>0.20539086055878231</v>
      </c>
      <c r="AN80" s="207">
        <f t="shared" si="11"/>
        <v>0.20355593440451583</v>
      </c>
      <c r="AO80" s="207">
        <f t="shared" si="11"/>
        <v>0.20783872900201072</v>
      </c>
      <c r="AP80" s="207">
        <f t="shared" si="11"/>
        <v>0.21095679206844281</v>
      </c>
      <c r="AQ80" s="207">
        <f t="shared" si="11"/>
        <v>0.21272885543878187</v>
      </c>
    </row>
    <row r="81" spans="2:43" s="555" customFormat="1" ht="5.0999999999999996" customHeight="1" outlineLevel="1">
      <c r="B81" s="208"/>
      <c r="E81" s="1171"/>
      <c r="F81" s="1171"/>
      <c r="G81" s="1171"/>
      <c r="H81" s="1171"/>
      <c r="I81" s="1171"/>
      <c r="J81" s="1171"/>
      <c r="K81" s="1171"/>
      <c r="L81" s="1171"/>
      <c r="M81" s="1171"/>
      <c r="N81" s="1171"/>
      <c r="O81" s="1171"/>
      <c r="P81" s="1172"/>
      <c r="Q81" s="1171"/>
      <c r="R81" s="1172"/>
      <c r="S81" s="1172"/>
      <c r="T81" s="1172"/>
      <c r="U81" s="1172"/>
      <c r="V81" s="1172"/>
      <c r="W81" s="1172"/>
      <c r="X81" s="208"/>
      <c r="Y81" s="208"/>
      <c r="Z81" s="208"/>
      <c r="AA81" s="208"/>
      <c r="AB81" s="208"/>
      <c r="AC81" s="208"/>
      <c r="AD81" s="208"/>
      <c r="AE81" s="208"/>
      <c r="AF81" s="208"/>
      <c r="AG81" s="208"/>
      <c r="AH81" s="208"/>
      <c r="AI81" s="208"/>
      <c r="AJ81" s="208"/>
      <c r="AK81" s="208"/>
      <c r="AL81" s="208"/>
      <c r="AM81" s="208"/>
      <c r="AN81" s="208"/>
      <c r="AO81" s="208"/>
      <c r="AP81" s="208"/>
      <c r="AQ81" s="208"/>
    </row>
    <row r="82" spans="2:43" s="555" customFormat="1" outlineLevel="1">
      <c r="B82" s="1787" t="s">
        <v>43</v>
      </c>
      <c r="C82" s="555" t="s">
        <v>731</v>
      </c>
      <c r="E82" s="1171"/>
      <c r="F82" s="1171"/>
      <c r="G82" s="1171"/>
      <c r="H82" s="1171"/>
      <c r="I82" s="1171"/>
      <c r="J82" s="1171"/>
      <c r="K82" s="1171"/>
      <c r="L82" s="1171"/>
      <c r="M82" s="1171"/>
      <c r="N82" s="1171"/>
      <c r="O82" s="1171"/>
      <c r="P82" s="1172"/>
      <c r="Q82" s="1171"/>
      <c r="R82" s="1172"/>
      <c r="S82" s="1172"/>
      <c r="T82" s="1172"/>
      <c r="U82" s="1172"/>
      <c r="V82" s="1172"/>
      <c r="W82" s="1172"/>
      <c r="X82" s="208"/>
      <c r="Y82" s="208"/>
      <c r="Z82" s="208">
        <f t="shared" ref="Z82:AQ82" si="12">Z76/Z67</f>
        <v>0.21410799577605968</v>
      </c>
      <c r="AA82" s="208">
        <f t="shared" si="12"/>
        <v>0.23419359236328327</v>
      </c>
      <c r="AB82" s="208">
        <f t="shared" si="12"/>
        <v>0.24065616075316035</v>
      </c>
      <c r="AC82" s="208">
        <f t="shared" si="12"/>
        <v>0.23211029973380209</v>
      </c>
      <c r="AD82" s="208">
        <f t="shared" si="12"/>
        <v>0.25203578866073356</v>
      </c>
      <c r="AE82" s="208">
        <f t="shared" si="12"/>
        <v>0.24755114648727791</v>
      </c>
      <c r="AF82" s="208">
        <f t="shared" si="12"/>
        <v>0.24384472964417722</v>
      </c>
      <c r="AG82" s="208">
        <f t="shared" si="12"/>
        <v>0.2421554900678074</v>
      </c>
      <c r="AH82" s="208">
        <f t="shared" si="12"/>
        <v>0.24923799808408426</v>
      </c>
      <c r="AI82" s="208">
        <f t="shared" si="12"/>
        <v>0.2534407903904034</v>
      </c>
      <c r="AJ82" s="208">
        <f t="shared" si="12"/>
        <v>0.25654943000920971</v>
      </c>
      <c r="AK82" s="208">
        <f t="shared" si="12"/>
        <v>0.26832922380142749</v>
      </c>
      <c r="AL82" s="208">
        <f t="shared" si="12"/>
        <v>0.21391531176197606</v>
      </c>
      <c r="AM82" s="208">
        <f t="shared" si="12"/>
        <v>0.22053858536633775</v>
      </c>
      <c r="AN82" s="208">
        <f t="shared" si="12"/>
        <v>0.21987999858578383</v>
      </c>
      <c r="AO82" s="208">
        <f t="shared" si="12"/>
        <v>0.22547262009096675</v>
      </c>
      <c r="AP82" s="208">
        <f t="shared" si="12"/>
        <v>0.22663265211169442</v>
      </c>
      <c r="AQ82" s="208">
        <f t="shared" si="12"/>
        <v>0.23055885038095097</v>
      </c>
    </row>
    <row r="83" spans="2:43" s="555" customFormat="1" ht="5.0999999999999996" customHeight="1" outlineLevel="1">
      <c r="B83" s="208"/>
      <c r="E83" s="1171"/>
      <c r="F83" s="1171"/>
      <c r="G83" s="1171"/>
      <c r="H83" s="1171"/>
      <c r="I83" s="1171"/>
      <c r="J83" s="1171"/>
      <c r="K83" s="1171"/>
      <c r="L83" s="1171"/>
      <c r="M83" s="1171"/>
      <c r="N83" s="1171"/>
      <c r="O83" s="1171"/>
      <c r="P83" s="1172"/>
      <c r="Q83" s="1171"/>
      <c r="R83" s="1172"/>
      <c r="S83" s="1172"/>
      <c r="T83" s="1172"/>
      <c r="U83" s="1172"/>
      <c r="V83" s="1172"/>
      <c r="W83" s="1172"/>
      <c r="X83" s="208"/>
      <c r="Y83" s="208"/>
      <c r="Z83" s="208"/>
      <c r="AA83" s="208"/>
      <c r="AB83" s="208"/>
      <c r="AC83" s="208"/>
      <c r="AD83" s="208"/>
      <c r="AE83" s="208"/>
      <c r="AF83" s="208"/>
      <c r="AG83" s="208"/>
      <c r="AH83" s="208"/>
      <c r="AI83" s="208"/>
      <c r="AJ83" s="208"/>
      <c r="AK83" s="208"/>
      <c r="AL83" s="208"/>
      <c r="AM83" s="208"/>
      <c r="AN83" s="208"/>
      <c r="AO83" s="208"/>
      <c r="AP83" s="208"/>
      <c r="AQ83" s="208"/>
    </row>
    <row r="84" spans="2:43" s="555" customFormat="1" ht="51" outlineLevel="1">
      <c r="B84" s="1787" t="s">
        <v>45</v>
      </c>
      <c r="C84" s="1788" t="s">
        <v>732</v>
      </c>
      <c r="E84" s="1171"/>
      <c r="F84" s="1171"/>
      <c r="G84" s="1171"/>
      <c r="H84" s="1171"/>
      <c r="I84" s="1171"/>
      <c r="J84" s="1171"/>
      <c r="K84" s="1171"/>
      <c r="L84" s="1171"/>
      <c r="M84" s="1171"/>
      <c r="N84" s="1171"/>
      <c r="O84" s="1171"/>
      <c r="P84" s="1172"/>
      <c r="Q84" s="1171"/>
      <c r="R84" s="1172"/>
      <c r="S84" s="1172"/>
      <c r="T84" s="1172"/>
      <c r="U84" s="1172"/>
      <c r="V84" s="1172"/>
      <c r="W84" s="1172"/>
      <c r="X84" s="1636"/>
      <c r="Y84" s="1636"/>
      <c r="Z84" s="1636">
        <f t="shared" ref="Z84:AQ84" si="13">Z76/Z65</f>
        <v>0.2459544976934494</v>
      </c>
      <c r="AA84" s="1636">
        <f t="shared" si="13"/>
        <v>0.27066516415495179</v>
      </c>
      <c r="AB84" s="1636">
        <f t="shared" si="13"/>
        <v>0.28177980410277403</v>
      </c>
      <c r="AC84" s="1636">
        <f t="shared" si="13"/>
        <v>0.26936435590602142</v>
      </c>
      <c r="AD84" s="1636">
        <f t="shared" si="13"/>
        <v>0.29228825003586373</v>
      </c>
      <c r="AE84" s="1636">
        <f t="shared" si="13"/>
        <v>0.28841966656290019</v>
      </c>
      <c r="AF84" s="1636">
        <f t="shared" si="13"/>
        <v>0.28766573806811352</v>
      </c>
      <c r="AG84" s="1636">
        <f t="shared" si="13"/>
        <v>0.28669946272122654</v>
      </c>
      <c r="AH84" s="1636">
        <f t="shared" si="13"/>
        <v>0.296442115999693</v>
      </c>
      <c r="AI84" s="1636">
        <f t="shared" si="13"/>
        <v>0.30322328590081271</v>
      </c>
      <c r="AJ84" s="1636">
        <f t="shared" si="13"/>
        <v>0.30929013080518769</v>
      </c>
      <c r="AK84" s="1636">
        <f t="shared" si="13"/>
        <v>0.32270697492713368</v>
      </c>
      <c r="AL84" s="1636">
        <f t="shared" si="13"/>
        <v>0.25704902256267415</v>
      </c>
      <c r="AM84" s="1636">
        <f t="shared" si="13"/>
        <v>0.26414332440692329</v>
      </c>
      <c r="AN84" s="1636">
        <f t="shared" si="13"/>
        <v>0.26414826559288185</v>
      </c>
      <c r="AO84" s="1636">
        <f t="shared" si="13"/>
        <v>0.27181705510931675</v>
      </c>
      <c r="AP84" s="1636">
        <f t="shared" si="13"/>
        <v>0.27441863605100442</v>
      </c>
      <c r="AQ84" s="1636">
        <f t="shared" si="13"/>
        <v>0.28711949113347396</v>
      </c>
    </row>
    <row r="85" spans="2:43" ht="5.0999999999999996"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ht="6" customHeight="1" outlineLevel="1">
      <c r="E86" s="167"/>
      <c r="F86" s="167"/>
      <c r="G86" s="167"/>
      <c r="H86" s="167"/>
      <c r="I86" s="167"/>
      <c r="J86" s="167"/>
      <c r="K86" s="167"/>
      <c r="L86" s="167"/>
      <c r="M86" s="167"/>
      <c r="N86" s="167"/>
      <c r="O86" s="197"/>
      <c r="P86" s="198"/>
      <c r="Q86" s="199"/>
      <c r="R86" s="198"/>
      <c r="S86" s="198"/>
      <c r="T86" s="198"/>
      <c r="U86" s="198"/>
      <c r="V86" s="198"/>
      <c r="W86" s="198"/>
      <c r="AJ86" s="75"/>
      <c r="AK86" s="75"/>
      <c r="AL86" s="75"/>
    </row>
    <row r="87" spans="2:43" ht="39.75" customHeight="1" outlineLevel="1">
      <c r="B87" s="1922" t="s">
        <v>47</v>
      </c>
      <c r="C87" s="1931"/>
      <c r="D87" s="1931"/>
      <c r="E87" s="1931"/>
      <c r="F87" s="1931"/>
      <c r="G87" s="1931"/>
      <c r="H87" s="1931"/>
      <c r="I87" s="1931"/>
      <c r="J87" s="1931"/>
      <c r="K87" s="1931"/>
      <c r="L87" s="1931"/>
      <c r="M87" s="1931"/>
      <c r="N87" s="1931"/>
      <c r="O87" s="1931"/>
      <c r="P87" s="1931"/>
      <c r="Q87" s="1931"/>
      <c r="R87" s="1931"/>
      <c r="S87" s="1931"/>
      <c r="T87" s="1931"/>
      <c r="U87" s="1931"/>
      <c r="V87" s="1931"/>
      <c r="W87" s="1931"/>
      <c r="X87" s="1931"/>
      <c r="Y87" s="1931"/>
      <c r="Z87" s="1931"/>
      <c r="AA87" s="1931"/>
      <c r="AB87" s="1931"/>
      <c r="AC87" s="1931"/>
      <c r="AD87" s="1931"/>
      <c r="AE87" s="1931"/>
      <c r="AF87" s="1931"/>
    </row>
    <row r="90" spans="2:43">
      <c r="B90" s="170" t="s">
        <v>733</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row>
    <row r="91" spans="2:43">
      <c r="B91" s="170"/>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202">
        <v>2003</v>
      </c>
      <c r="AA91" s="201"/>
      <c r="AB91" s="202">
        <v>2005</v>
      </c>
      <c r="AC91" s="201"/>
      <c r="AD91" s="202">
        <v>2007</v>
      </c>
      <c r="AE91" s="201"/>
      <c r="AF91" s="202">
        <v>2009</v>
      </c>
      <c r="AG91" s="202">
        <v>2010</v>
      </c>
      <c r="AH91" s="202">
        <v>2011</v>
      </c>
      <c r="AI91" s="202">
        <v>2012</v>
      </c>
      <c r="AJ91" s="202">
        <v>2013</v>
      </c>
      <c r="AK91" s="202">
        <v>2014</v>
      </c>
      <c r="AL91" s="202">
        <v>2015</v>
      </c>
      <c r="AM91" s="202">
        <v>2016</v>
      </c>
      <c r="AN91" s="202">
        <v>2017</v>
      </c>
      <c r="AO91" s="202">
        <v>2018</v>
      </c>
      <c r="AP91" s="202">
        <v>2019</v>
      </c>
      <c r="AQ91" s="202">
        <v>2020</v>
      </c>
    </row>
    <row r="92" spans="2:43">
      <c r="B92" s="206" t="s">
        <v>49</v>
      </c>
      <c r="D92" s="171"/>
      <c r="E92" s="171"/>
      <c r="F92" s="171"/>
      <c r="G92" s="171"/>
      <c r="H92" s="171"/>
      <c r="I92" s="171"/>
      <c r="J92" s="171"/>
      <c r="K92" s="171"/>
      <c r="L92" s="171"/>
      <c r="M92" s="171"/>
      <c r="N92" s="171"/>
      <c r="O92" s="171"/>
      <c r="P92" s="171"/>
      <c r="Q92" s="171"/>
      <c r="R92" s="171"/>
      <c r="S92" s="171"/>
      <c r="T92" s="171"/>
      <c r="U92" s="171"/>
      <c r="V92" s="171"/>
      <c r="W92" s="171"/>
      <c r="X92" s="171"/>
      <c r="Y92" s="171"/>
      <c r="Z92" s="203"/>
      <c r="AA92" s="203"/>
      <c r="AB92" s="203"/>
      <c r="AC92" s="203"/>
      <c r="AD92" s="203"/>
      <c r="AE92" s="203"/>
      <c r="AF92" s="203"/>
      <c r="AG92" s="203"/>
      <c r="AH92" s="203"/>
      <c r="AI92" s="203"/>
    </row>
    <row r="93" spans="2:43" s="623" customFormat="1">
      <c r="C93" s="253" t="s">
        <v>50</v>
      </c>
      <c r="D93" s="209"/>
      <c r="E93" s="209"/>
      <c r="F93" s="209"/>
      <c r="G93" s="209"/>
      <c r="H93" s="209"/>
      <c r="I93" s="209"/>
      <c r="J93" s="209"/>
      <c r="K93" s="209"/>
      <c r="L93" s="209"/>
      <c r="M93" s="209"/>
      <c r="N93" s="209"/>
      <c r="O93" s="210"/>
      <c r="P93" s="198"/>
      <c r="Q93" s="198"/>
      <c r="R93" s="198"/>
      <c r="S93" s="198"/>
      <c r="T93" s="198"/>
      <c r="U93" s="198"/>
      <c r="V93" s="198"/>
      <c r="W93" s="198"/>
      <c r="X93" s="196"/>
      <c r="Y93" s="196"/>
      <c r="Z93" s="196"/>
      <c r="AA93" s="196"/>
      <c r="AB93" s="196"/>
      <c r="AC93" s="196"/>
      <c r="AD93" s="196"/>
      <c r="AE93" s="196"/>
      <c r="AF93" s="196"/>
      <c r="AG93" s="203"/>
      <c r="AH93" s="203"/>
      <c r="AI93" s="203"/>
    </row>
    <row r="94" spans="2:43" s="623" customFormat="1">
      <c r="C94" s="1789" t="s">
        <v>734</v>
      </c>
      <c r="D94" s="209"/>
      <c r="E94" s="209"/>
      <c r="F94" s="209"/>
      <c r="G94" s="209"/>
      <c r="H94" s="209"/>
      <c r="I94" s="209"/>
      <c r="J94" s="209"/>
      <c r="K94" s="209"/>
      <c r="L94" s="209"/>
      <c r="M94" s="209"/>
      <c r="N94" s="209"/>
      <c r="O94" s="210"/>
      <c r="P94" s="198"/>
      <c r="Q94" s="198"/>
      <c r="R94" s="198"/>
      <c r="S94" s="198"/>
      <c r="T94" s="198"/>
      <c r="U94" s="198"/>
      <c r="V94" s="198"/>
      <c r="W94" s="198"/>
      <c r="X94" s="196"/>
      <c r="Y94" s="196"/>
      <c r="Z94" s="196"/>
      <c r="AA94" s="196"/>
      <c r="AB94" s="196"/>
      <c r="AC94" s="196"/>
      <c r="AD94" s="196"/>
      <c r="AE94" s="196"/>
      <c r="AF94" s="196"/>
      <c r="AG94" s="203"/>
      <c r="AH94" s="203"/>
      <c r="AI94" s="203"/>
    </row>
    <row r="95" spans="2:43" s="623" customFormat="1">
      <c r="C95" s="1790" t="s">
        <v>56</v>
      </c>
      <c r="X95" s="203"/>
      <c r="Y95" s="203"/>
      <c r="Z95" s="203"/>
      <c r="AA95" s="203"/>
      <c r="AB95" s="203"/>
      <c r="AC95" s="203"/>
      <c r="AD95" s="203"/>
      <c r="AE95" s="203"/>
      <c r="AF95" s="203"/>
      <c r="AG95" s="203"/>
      <c r="AH95" s="203"/>
      <c r="AI95" s="203"/>
    </row>
    <row r="97" spans="2:43">
      <c r="B97" s="206" t="s">
        <v>78</v>
      </c>
    </row>
    <row r="100" spans="2:43" ht="13.5">
      <c r="B100" s="220" t="s">
        <v>446</v>
      </c>
    </row>
    <row r="101" spans="2:43">
      <c r="B101" s="206" t="s">
        <v>447</v>
      </c>
    </row>
    <row r="102" spans="2:43">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200"/>
      <c r="Y102" s="200"/>
      <c r="Z102" s="200"/>
      <c r="AA102" s="200"/>
      <c r="AB102" s="200"/>
      <c r="AC102" s="200"/>
      <c r="AD102" s="200"/>
      <c r="AE102" s="200"/>
      <c r="AF102" s="200"/>
      <c r="AG102" s="200"/>
      <c r="AH102" s="200"/>
      <c r="AI102" s="200"/>
      <c r="AJ102" s="200"/>
      <c r="AK102" s="200"/>
      <c r="AL102" s="200"/>
      <c r="AM102" s="200"/>
      <c r="AN102" s="200"/>
      <c r="AO102" s="200"/>
      <c r="AP102" s="200"/>
      <c r="AQ102" s="200"/>
    </row>
    <row r="103" spans="2:43">
      <c r="B103" s="600" t="s">
        <v>735</v>
      </c>
    </row>
  </sheetData>
  <mergeCells count="3">
    <mergeCell ref="B48:AF48"/>
    <mergeCell ref="B87:AF87"/>
    <mergeCell ref="B15:AQ15"/>
  </mergeCells>
  <pageMargins left="0.70866141732283472" right="0.70866141732283472" top="0.74803149606299213" bottom="0.7480314960629921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Q171"/>
  <sheetViews>
    <sheetView topLeftCell="B15" zoomScale="70" zoomScaleNormal="70" workbookViewId="0">
      <selection activeCell="B15" sqref="B15:AQ135"/>
    </sheetView>
  </sheetViews>
  <sheetFormatPr defaultColWidth="8.5546875" defaultRowHeight="12.75" outlineLevelRow="1"/>
  <cols>
    <col min="1" max="1" width="1.77734375" style="165" hidden="1" customWidth="1"/>
    <col min="2" max="2" width="3.6640625" style="165" customWidth="1"/>
    <col min="3" max="3" width="57.33203125" style="165" customWidth="1"/>
    <col min="4" max="16" width="2.6640625" style="165" hidden="1" customWidth="1"/>
    <col min="17" max="17" width="4.44140625" style="165" hidden="1" customWidth="1"/>
    <col min="18" max="18" width="5.77734375" style="165" hidden="1" customWidth="1"/>
    <col min="19" max="19" width="3.21875" style="165" hidden="1" customWidth="1"/>
    <col min="20" max="20" width="7.77734375" style="165" hidden="1" customWidth="1"/>
    <col min="21" max="21" width="3.5546875" style="165" hidden="1" customWidth="1"/>
    <col min="22" max="22" width="1.33203125" style="165" hidden="1" customWidth="1"/>
    <col min="23" max="23" width="3.5546875" style="165" hidden="1" customWidth="1"/>
    <col min="24" max="24" width="6.44140625" style="75" hidden="1" customWidth="1"/>
    <col min="25" max="25" width="3.77734375" style="75" hidden="1" customWidth="1"/>
    <col min="26" max="26" width="6.5546875" style="75" hidden="1" customWidth="1"/>
    <col min="27" max="27" width="3.77734375" style="75" hidden="1" customWidth="1"/>
    <col min="28" max="28" width="6.5546875" style="75" hidden="1" customWidth="1"/>
    <col min="29" max="29" width="4.109375" style="75" customWidth="1"/>
    <col min="30" max="32" width="5.5546875" style="75" customWidth="1"/>
    <col min="33" max="33" width="5.5546875" style="547" customWidth="1"/>
    <col min="34" max="34" width="6.6640625" style="547" customWidth="1"/>
    <col min="35" max="35" width="7.109375" style="547" customWidth="1"/>
    <col min="36" max="39" width="5.5546875" style="165" customWidth="1"/>
    <col min="40" max="40" width="6.5546875" style="165" customWidth="1"/>
    <col min="41" max="43" width="5.5546875" style="165" customWidth="1"/>
    <col min="44" max="16384" width="8.5546875" style="165"/>
  </cols>
  <sheetData>
    <row r="1" spans="1:43" ht="15" hidden="1" customHeight="1" outlineLevel="1">
      <c r="B1" s="206" t="s">
        <v>658</v>
      </c>
    </row>
    <row r="2" spans="1:43" ht="12.75" hidden="1" customHeight="1" outlineLevel="1">
      <c r="V2" s="206"/>
    </row>
    <row r="3" spans="1:43" ht="17.25" hidden="1" customHeight="1" outlineLevel="1"/>
    <row r="4" spans="1:43" ht="23.25" hidden="1" customHeight="1" outlineLevel="1">
      <c r="A4" s="966"/>
      <c r="B4" s="966" t="s">
        <v>1</v>
      </c>
      <c r="C4" s="966"/>
      <c r="D4" s="966"/>
      <c r="E4" s="966"/>
      <c r="F4" s="966"/>
      <c r="G4" s="966"/>
      <c r="H4" s="966"/>
      <c r="I4" s="966"/>
      <c r="J4" s="966"/>
      <c r="K4" s="966"/>
      <c r="L4" s="966"/>
      <c r="M4" s="966"/>
      <c r="N4" s="966"/>
      <c r="O4" s="966"/>
      <c r="P4" s="966"/>
      <c r="Q4" s="966"/>
      <c r="R4" s="966">
        <v>1995</v>
      </c>
      <c r="S4" s="966"/>
      <c r="T4" s="966">
        <v>1997</v>
      </c>
      <c r="U4" s="966"/>
      <c r="V4" s="966">
        <v>1999</v>
      </c>
      <c r="W4" s="966"/>
      <c r="X4" s="201">
        <v>2001</v>
      </c>
      <c r="Y4" s="201"/>
      <c r="Z4" s="201">
        <v>2003</v>
      </c>
      <c r="AA4" s="201"/>
      <c r="AB4" s="201">
        <v>2005</v>
      </c>
      <c r="AC4" s="201"/>
      <c r="AD4" s="202">
        <v>2007</v>
      </c>
      <c r="AE4" s="202"/>
      <c r="AF4" s="202">
        <v>2009</v>
      </c>
      <c r="AG4" s="967">
        <v>2010</v>
      </c>
      <c r="AH4" s="967">
        <v>2011</v>
      </c>
      <c r="AI4" s="967">
        <v>2012</v>
      </c>
      <c r="AJ4" s="967">
        <v>2013</v>
      </c>
      <c r="AK4" s="967">
        <v>2014</v>
      </c>
      <c r="AL4" s="967">
        <v>2015</v>
      </c>
      <c r="AM4" s="967">
        <v>2016</v>
      </c>
      <c r="AN4" s="967">
        <v>2017</v>
      </c>
      <c r="AO4" s="967">
        <v>2018</v>
      </c>
      <c r="AP4" s="967">
        <v>2019</v>
      </c>
      <c r="AQ4" s="967">
        <v>2020</v>
      </c>
    </row>
    <row r="5" spans="1:43" ht="23.25" hidden="1" customHeight="1" outlineLevel="1"/>
    <row r="6" spans="1:43" ht="24" hidden="1" customHeight="1" outlineLevel="1">
      <c r="A6" s="165" t="s">
        <v>2</v>
      </c>
      <c r="B6" s="165" t="s">
        <v>3</v>
      </c>
      <c r="O6" s="168"/>
      <c r="P6" s="168"/>
      <c r="Q6" s="168"/>
      <c r="R6" s="168"/>
      <c r="S6" s="168"/>
      <c r="T6" s="168"/>
      <c r="U6" s="168"/>
      <c r="V6" s="168">
        <v>0</v>
      </c>
      <c r="W6" s="168"/>
      <c r="X6" s="166">
        <f>X95</f>
        <v>0</v>
      </c>
      <c r="Y6" s="166"/>
      <c r="Z6" s="166">
        <f t="shared" ref="Z6:AQ6" si="0">Z95</f>
        <v>0</v>
      </c>
      <c r="AA6" s="166"/>
      <c r="AB6" s="166">
        <f t="shared" si="0"/>
        <v>0</v>
      </c>
      <c r="AC6" s="166"/>
      <c r="AD6" s="166">
        <f t="shared" si="0"/>
        <v>0</v>
      </c>
      <c r="AE6" s="166"/>
      <c r="AF6" s="166">
        <f t="shared" si="0"/>
        <v>0</v>
      </c>
      <c r="AG6" s="166">
        <f t="shared" si="0"/>
        <v>26.052782852687201</v>
      </c>
      <c r="AH6" s="166">
        <f t="shared" si="0"/>
        <v>38.463591000000001</v>
      </c>
      <c r="AI6" s="166">
        <f t="shared" si="0"/>
        <v>41.963764804999997</v>
      </c>
      <c r="AJ6" s="166">
        <f t="shared" si="0"/>
        <v>37.693502851199995</v>
      </c>
      <c r="AK6" s="166">
        <f t="shared" si="0"/>
        <v>43.413679986399998</v>
      </c>
      <c r="AL6" s="166">
        <f t="shared" si="0"/>
        <v>44.745696660099995</v>
      </c>
      <c r="AM6" s="166">
        <f t="shared" si="0"/>
        <v>47.666831428999956</v>
      </c>
      <c r="AN6" s="166">
        <f t="shared" si="0"/>
        <v>56.69911339120285</v>
      </c>
      <c r="AO6" s="166">
        <f t="shared" si="0"/>
        <v>57.036439530000003</v>
      </c>
      <c r="AP6" s="166">
        <f t="shared" si="0"/>
        <v>58.922114302000004</v>
      </c>
      <c r="AQ6" s="166">
        <f t="shared" si="0"/>
        <v>54.604916720000006</v>
      </c>
    </row>
    <row r="7" spans="1:43" ht="17.25" hidden="1" customHeight="1" outlineLevel="1">
      <c r="A7" s="165" t="s">
        <v>4</v>
      </c>
      <c r="B7" s="165" t="s">
        <v>5</v>
      </c>
      <c r="O7" s="168"/>
      <c r="P7" s="168"/>
      <c r="Q7" s="168"/>
      <c r="R7" s="168"/>
      <c r="S7" s="168"/>
      <c r="T7" s="168"/>
      <c r="U7" s="168"/>
      <c r="V7" s="173">
        <f>V120</f>
        <v>100.9128</v>
      </c>
      <c r="W7" s="168"/>
      <c r="X7" s="256">
        <f>X120</f>
        <v>0</v>
      </c>
      <c r="Y7" s="169"/>
      <c r="Z7" s="256">
        <f>Z120</f>
        <v>0</v>
      </c>
      <c r="AA7" s="169"/>
      <c r="AB7" s="256">
        <f>AB120</f>
        <v>0</v>
      </c>
      <c r="AC7" s="169"/>
      <c r="AD7" s="256">
        <f>AD120</f>
        <v>0</v>
      </c>
      <c r="AE7" s="169"/>
      <c r="AF7" s="256">
        <f t="shared" ref="AF7:AQ7" si="1">AF120</f>
        <v>0</v>
      </c>
      <c r="AG7" s="256">
        <f t="shared" si="1"/>
        <v>0.22765948970125399</v>
      </c>
      <c r="AH7" s="256">
        <f t="shared" si="1"/>
        <v>0.21</v>
      </c>
      <c r="AI7" s="256">
        <f t="shared" si="1"/>
        <v>0.24758399249999999</v>
      </c>
      <c r="AJ7" s="256">
        <f t="shared" si="1"/>
        <v>0.29794688400000002</v>
      </c>
      <c r="AK7" s="256">
        <f t="shared" si="1"/>
        <v>0.32669354880000001</v>
      </c>
      <c r="AL7" s="256">
        <f t="shared" si="1"/>
        <v>0.39313043939999998</v>
      </c>
      <c r="AM7" s="256">
        <f t="shared" si="1"/>
        <v>0.38162698249999999</v>
      </c>
      <c r="AN7" s="256">
        <f t="shared" si="1"/>
        <v>0.5103148460000001</v>
      </c>
      <c r="AO7" s="256">
        <f t="shared" si="1"/>
        <v>0</v>
      </c>
      <c r="AP7" s="256">
        <f t="shared" si="1"/>
        <v>0</v>
      </c>
      <c r="AQ7" s="256">
        <f t="shared" si="1"/>
        <v>0</v>
      </c>
    </row>
    <row r="8" spans="1:43" ht="18.75" hidden="1" customHeight="1" outlineLevel="1">
      <c r="A8" s="165" t="s">
        <v>6</v>
      </c>
      <c r="O8" s="168"/>
      <c r="P8" s="168"/>
      <c r="Q8" s="168"/>
      <c r="R8" s="168"/>
      <c r="S8" s="168"/>
      <c r="T8" s="168"/>
      <c r="U8" s="168"/>
      <c r="V8" s="168">
        <f>V6+V7</f>
        <v>100.9128</v>
      </c>
      <c r="W8" s="168"/>
      <c r="X8" s="166">
        <f>X6+X7</f>
        <v>0</v>
      </c>
      <c r="Y8" s="166"/>
      <c r="Z8" s="166">
        <f>Z6+Z7</f>
        <v>0</v>
      </c>
      <c r="AA8" s="166"/>
      <c r="AB8" s="166">
        <f>AB6+AB7</f>
        <v>0</v>
      </c>
      <c r="AC8" s="166"/>
      <c r="AD8" s="166">
        <f>AD6+AD7</f>
        <v>0</v>
      </c>
      <c r="AE8" s="166"/>
      <c r="AF8" s="166">
        <f t="shared" ref="AF8:AQ8" si="2">AF6+AF7</f>
        <v>0</v>
      </c>
      <c r="AG8" s="166">
        <f t="shared" si="2"/>
        <v>26.280442342388454</v>
      </c>
      <c r="AH8" s="166">
        <f t="shared" si="2"/>
        <v>38.673591000000002</v>
      </c>
      <c r="AI8" s="166">
        <f t="shared" si="2"/>
        <v>42.211348797499994</v>
      </c>
      <c r="AJ8" s="166">
        <f t="shared" si="2"/>
        <v>37.991449735199993</v>
      </c>
      <c r="AK8" s="166">
        <f t="shared" si="2"/>
        <v>43.7403735352</v>
      </c>
      <c r="AL8" s="166">
        <f t="shared" si="2"/>
        <v>45.138827099499991</v>
      </c>
      <c r="AM8" s="166">
        <f t="shared" si="2"/>
        <v>48.048458411499958</v>
      </c>
      <c r="AN8" s="166">
        <f t="shared" si="2"/>
        <v>57.20942823720285</v>
      </c>
      <c r="AO8" s="166">
        <f t="shared" si="2"/>
        <v>57.036439530000003</v>
      </c>
      <c r="AP8" s="166">
        <f t="shared" si="2"/>
        <v>58.922114302000004</v>
      </c>
      <c r="AQ8" s="166">
        <f t="shared" si="2"/>
        <v>54.604916720000006</v>
      </c>
    </row>
    <row r="9" spans="1:43" ht="22.5" hidden="1" customHeight="1" outlineLevel="1">
      <c r="O9" s="168"/>
      <c r="P9" s="168"/>
      <c r="Q9" s="168"/>
      <c r="R9" s="168"/>
      <c r="S9" s="168"/>
      <c r="T9" s="168"/>
      <c r="U9" s="168"/>
      <c r="V9" s="168"/>
      <c r="W9" s="168"/>
      <c r="X9" s="166"/>
      <c r="Y9" s="166"/>
      <c r="Z9" s="166"/>
      <c r="AA9" s="166"/>
      <c r="AB9" s="166"/>
      <c r="AC9" s="166"/>
      <c r="AD9" s="166"/>
      <c r="AE9" s="166"/>
      <c r="AF9" s="166"/>
      <c r="AG9" s="166"/>
      <c r="AH9" s="166"/>
      <c r="AI9" s="166"/>
      <c r="AJ9" s="166"/>
    </row>
    <row r="10" spans="1:43" ht="18.75" hidden="1" customHeight="1" outlineLevel="1">
      <c r="B10" s="165" t="s">
        <v>110</v>
      </c>
      <c r="O10" s="168"/>
      <c r="P10" s="168"/>
      <c r="Q10" s="168"/>
      <c r="R10" s="168"/>
      <c r="S10" s="168"/>
      <c r="T10" s="168"/>
      <c r="U10" s="168"/>
      <c r="V10" s="168"/>
      <c r="W10" s="168"/>
      <c r="X10" s="166">
        <f>X128</f>
        <v>0</v>
      </c>
      <c r="Y10" s="166"/>
      <c r="Z10" s="166">
        <f>Z128</f>
        <v>0</v>
      </c>
      <c r="AA10" s="166"/>
      <c r="AB10" s="166">
        <f>AB128</f>
        <v>0</v>
      </c>
      <c r="AC10" s="166"/>
      <c r="AD10" s="166">
        <f>AD128</f>
        <v>0</v>
      </c>
      <c r="AE10" s="166"/>
      <c r="AF10" s="166">
        <f t="shared" ref="AF10:AQ10" si="3">AF128</f>
        <v>0</v>
      </c>
      <c r="AG10" s="166">
        <f t="shared" si="3"/>
        <v>3.3864349093061499</v>
      </c>
      <c r="AH10" s="166">
        <f t="shared" si="3"/>
        <v>5.55</v>
      </c>
      <c r="AI10" s="166">
        <f t="shared" si="3"/>
        <v>6.0448353299999997</v>
      </c>
      <c r="AJ10" s="166">
        <f t="shared" si="3"/>
        <v>16.251838797540881</v>
      </c>
      <c r="AK10" s="166">
        <f t="shared" si="3"/>
        <v>20.704425016799998</v>
      </c>
      <c r="AL10" s="166">
        <f t="shared" si="3"/>
        <v>23.204967207099997</v>
      </c>
      <c r="AM10" s="166">
        <f t="shared" si="3"/>
        <v>22.229573190600004</v>
      </c>
      <c r="AN10" s="166">
        <f t="shared" si="3"/>
        <v>32.60429776509816</v>
      </c>
      <c r="AO10" s="166">
        <f t="shared" si="3"/>
        <v>24.419033600000006</v>
      </c>
      <c r="AP10" s="166">
        <f t="shared" si="3"/>
        <v>26.544599294000001</v>
      </c>
      <c r="AQ10" s="166">
        <f t="shared" si="3"/>
        <v>26.170230935999999</v>
      </c>
    </row>
    <row r="11" spans="1:43" ht="17.25" hidden="1" customHeight="1" outlineLevel="1">
      <c r="O11" s="168"/>
      <c r="P11" s="168"/>
      <c r="Q11" s="168"/>
      <c r="R11" s="168"/>
      <c r="S11" s="168"/>
      <c r="T11" s="168"/>
      <c r="U11" s="168"/>
      <c r="V11" s="168"/>
      <c r="W11" s="168"/>
      <c r="X11" s="166"/>
      <c r="Y11" s="166"/>
      <c r="Z11" s="166"/>
      <c r="AA11" s="166"/>
      <c r="AB11" s="166"/>
      <c r="AC11" s="166"/>
      <c r="AD11" s="166"/>
      <c r="AE11" s="166"/>
      <c r="AF11" s="166"/>
      <c r="AG11" s="166"/>
      <c r="AH11" s="166"/>
      <c r="AI11" s="166"/>
      <c r="AJ11" s="166"/>
      <c r="AK11" s="166"/>
      <c r="AL11" s="166"/>
      <c r="AM11" s="166"/>
      <c r="AN11" s="166"/>
      <c r="AO11" s="166"/>
      <c r="AP11" s="166"/>
      <c r="AQ11" s="166"/>
    </row>
    <row r="12" spans="1:43" ht="17.25" hidden="1" customHeight="1" outlineLevel="1">
      <c r="B12" s="165" t="s">
        <v>8</v>
      </c>
      <c r="O12" s="168"/>
      <c r="P12" s="168"/>
      <c r="Q12" s="168"/>
      <c r="R12" s="168"/>
      <c r="S12" s="168"/>
      <c r="T12" s="168"/>
      <c r="U12" s="168"/>
      <c r="V12" s="168"/>
      <c r="W12" s="168"/>
      <c r="X12" s="166">
        <f>X99</f>
        <v>0</v>
      </c>
      <c r="Y12" s="166"/>
      <c r="Z12" s="166">
        <f>Z99</f>
        <v>0</v>
      </c>
      <c r="AA12" s="166"/>
      <c r="AB12" s="166">
        <f>AB99</f>
        <v>0</v>
      </c>
      <c r="AC12" s="166"/>
      <c r="AD12" s="166">
        <f>AD100</f>
        <v>0</v>
      </c>
      <c r="AE12" s="166"/>
      <c r="AF12" s="166">
        <f t="shared" ref="AF12:AM12" si="4">AF100</f>
        <v>0</v>
      </c>
      <c r="AG12" s="166">
        <f t="shared" si="4"/>
        <v>0</v>
      </c>
      <c r="AH12" s="166">
        <f t="shared" si="4"/>
        <v>2.7987999999999999E-2</v>
      </c>
      <c r="AI12" s="166">
        <f t="shared" si="4"/>
        <v>7.0390999999999995E-2</v>
      </c>
      <c r="AJ12" s="166">
        <f t="shared" si="4"/>
        <v>0.38735599999999998</v>
      </c>
      <c r="AK12" s="166">
        <f t="shared" si="4"/>
        <v>0.49210999999999999</v>
      </c>
      <c r="AL12" s="166">
        <f t="shared" si="4"/>
        <v>0.56128500000000003</v>
      </c>
      <c r="AM12" s="166">
        <f t="shared" si="4"/>
        <v>3.477233</v>
      </c>
      <c r="AN12" s="166">
        <f>AN100</f>
        <v>3.885586</v>
      </c>
      <c r="AO12" s="166">
        <f t="shared" ref="AO12:AQ12" si="5">AO100</f>
        <v>4.0042309999999999</v>
      </c>
      <c r="AP12" s="166">
        <f t="shared" si="5"/>
        <v>3.9698500000000001</v>
      </c>
      <c r="AQ12" s="166">
        <f t="shared" si="5"/>
        <v>4.206372</v>
      </c>
    </row>
    <row r="13" spans="1:43" ht="15.75" hidden="1" customHeight="1" outlineLevel="1">
      <c r="O13" s="168"/>
      <c r="P13" s="168"/>
      <c r="Q13" s="168"/>
      <c r="R13" s="168"/>
      <c r="S13" s="168"/>
      <c r="T13" s="168"/>
      <c r="U13" s="168"/>
      <c r="V13" s="168"/>
      <c r="W13" s="168"/>
      <c r="X13" s="166"/>
      <c r="Y13" s="166"/>
      <c r="Z13" s="166"/>
      <c r="AA13" s="166"/>
      <c r="AB13" s="166"/>
      <c r="AC13" s="166"/>
      <c r="AD13" s="166"/>
      <c r="AE13" s="166"/>
      <c r="AF13" s="166"/>
      <c r="AG13" s="950"/>
    </row>
    <row r="14" spans="1:43" ht="24" hidden="1" customHeight="1" outlineLevel="1">
      <c r="O14" s="168"/>
      <c r="P14" s="168"/>
      <c r="Q14" s="168"/>
      <c r="R14" s="168"/>
      <c r="S14" s="168"/>
      <c r="T14" s="168"/>
      <c r="U14" s="168"/>
      <c r="V14" s="168"/>
      <c r="W14" s="168"/>
      <c r="X14" s="166"/>
      <c r="Y14" s="166"/>
      <c r="Z14" s="166"/>
      <c r="AA14" s="166"/>
      <c r="AB14" s="166"/>
      <c r="AC14" s="166"/>
      <c r="AD14" s="166"/>
      <c r="AE14" s="166"/>
      <c r="AF14" s="166"/>
      <c r="AG14" s="950"/>
    </row>
    <row r="15" spans="1:43" ht="27" customHeight="1" collapsed="1">
      <c r="B15" s="1924" t="s">
        <v>659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O16" s="168"/>
      <c r="P16" s="168"/>
      <c r="Q16" s="168"/>
      <c r="R16" s="168"/>
      <c r="S16" s="168"/>
      <c r="T16" s="168"/>
      <c r="U16" s="168"/>
      <c r="V16" s="168"/>
      <c r="W16" s="168"/>
      <c r="X16" s="169"/>
      <c r="Y16" s="166"/>
      <c r="Z16" s="166"/>
      <c r="AA16" s="166"/>
      <c r="AB16" s="166"/>
      <c r="AC16" s="166"/>
      <c r="AD16" s="166"/>
      <c r="AE16" s="166"/>
      <c r="AF16" s="166"/>
      <c r="AG16" s="950"/>
    </row>
    <row r="17" spans="2:43" ht="16.5" customHeight="1">
      <c r="B17" s="170" t="s">
        <v>658</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950"/>
    </row>
    <row r="18" spans="2:43">
      <c r="O18" s="168"/>
      <c r="P18" s="168"/>
      <c r="Q18" s="168"/>
      <c r="R18" s="168"/>
      <c r="S18" s="168"/>
      <c r="T18" s="168"/>
      <c r="U18" s="168"/>
      <c r="V18" s="168"/>
      <c r="W18" s="168"/>
      <c r="X18" s="169"/>
      <c r="Y18" s="166"/>
      <c r="Z18" s="166"/>
      <c r="AA18" s="166"/>
      <c r="AB18" s="166"/>
      <c r="AC18" s="166"/>
      <c r="AD18" s="166"/>
      <c r="AE18" s="166"/>
      <c r="AF18" s="166"/>
      <c r="AG18" s="950"/>
    </row>
    <row r="19" spans="2:43">
      <c r="B19" s="170" t="s">
        <v>660</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950"/>
    </row>
    <row r="20" spans="2:43">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c r="AG20" s="950"/>
    </row>
    <row r="21" spans="2:43" ht="22.5" customHeight="1">
      <c r="O21" s="168"/>
      <c r="P21" s="168"/>
      <c r="Q21" s="168"/>
      <c r="R21" s="168"/>
      <c r="S21" s="168"/>
      <c r="T21" s="168"/>
      <c r="U21" s="168"/>
      <c r="V21" s="168"/>
      <c r="W21" s="168"/>
      <c r="X21" s="257">
        <v>2001</v>
      </c>
      <c r="Y21" s="258"/>
      <c r="Z21" s="257">
        <v>2003</v>
      </c>
      <c r="AA21" s="258"/>
      <c r="AB21" s="257">
        <v>2005</v>
      </c>
      <c r="AC21" s="258"/>
      <c r="AD21" s="257">
        <v>2007</v>
      </c>
      <c r="AE21" s="257">
        <v>2008</v>
      </c>
      <c r="AF21" s="257">
        <v>2009</v>
      </c>
      <c r="AG21" s="967">
        <v>2010</v>
      </c>
      <c r="AH21" s="967">
        <v>2011</v>
      </c>
      <c r="AI21" s="967">
        <v>2012</v>
      </c>
      <c r="AJ21" s="967">
        <v>2013</v>
      </c>
      <c r="AK21" s="967">
        <v>2014</v>
      </c>
      <c r="AL21" s="967">
        <v>2015</v>
      </c>
      <c r="AM21" s="967">
        <v>2016</v>
      </c>
      <c r="AN21" s="967">
        <v>2017</v>
      </c>
      <c r="AO21" s="967">
        <v>2018</v>
      </c>
      <c r="AP21" s="967">
        <v>2019</v>
      </c>
      <c r="AQ21" s="967">
        <v>2020</v>
      </c>
    </row>
    <row r="22" spans="2:43">
      <c r="B22" s="75">
        <v>1</v>
      </c>
      <c r="C22" s="165" t="s">
        <v>410</v>
      </c>
      <c r="D22" s="261"/>
      <c r="E22" s="261"/>
      <c r="F22" s="261"/>
      <c r="G22" s="261"/>
      <c r="H22" s="261"/>
      <c r="I22" s="261"/>
      <c r="J22" s="261"/>
      <c r="K22" s="261"/>
      <c r="L22" s="261"/>
      <c r="M22" s="261"/>
      <c r="N22" s="261"/>
      <c r="O22" s="261"/>
      <c r="P22" s="261"/>
      <c r="Q22" s="261"/>
      <c r="R22" s="261"/>
      <c r="S22" s="261"/>
      <c r="T22" s="261"/>
      <c r="U22" s="261"/>
      <c r="V22" s="261"/>
      <c r="W22" s="261"/>
      <c r="X22" s="244"/>
      <c r="Y22" s="244"/>
      <c r="Z22" s="244"/>
      <c r="AA22" s="244"/>
      <c r="AB22" s="244"/>
      <c r="AC22" s="244"/>
      <c r="AD22" s="244"/>
      <c r="AE22" s="244"/>
      <c r="AF22" s="244"/>
      <c r="AG22" s="950"/>
      <c r="AM22" s="261"/>
    </row>
    <row r="23" spans="2:43">
      <c r="B23" s="75" t="s">
        <v>289</v>
      </c>
      <c r="C23" s="165" t="s">
        <v>12</v>
      </c>
      <c r="D23" s="261"/>
      <c r="E23" s="261"/>
      <c r="F23" s="261"/>
      <c r="G23" s="261"/>
      <c r="H23" s="261"/>
      <c r="I23" s="261"/>
      <c r="J23" s="261"/>
      <c r="K23" s="261"/>
      <c r="L23" s="261"/>
      <c r="M23" s="261"/>
      <c r="N23" s="261"/>
      <c r="O23" s="261"/>
      <c r="P23" s="261"/>
      <c r="Q23" s="261"/>
      <c r="R23" s="261"/>
      <c r="S23" s="261"/>
      <c r="T23" s="261"/>
      <c r="U23" s="261"/>
      <c r="V23" s="261"/>
      <c r="W23" s="261"/>
      <c r="X23" s="244"/>
      <c r="Y23" s="244"/>
      <c r="Z23" s="244"/>
      <c r="AA23" s="244"/>
      <c r="AB23" s="1347"/>
      <c r="AC23" s="1347"/>
      <c r="AD23" s="1347"/>
      <c r="AE23" s="244"/>
      <c r="AF23" s="1348"/>
      <c r="AG23" s="1001">
        <v>59.734605141424801</v>
      </c>
      <c r="AH23" s="1349">
        <v>53.465330650655602</v>
      </c>
      <c r="AI23" s="1001">
        <v>63.590451264351202</v>
      </c>
      <c r="AJ23" s="1001">
        <v>72.438926359180797</v>
      </c>
      <c r="AK23" s="1001">
        <v>75.253214710000009</v>
      </c>
      <c r="AL23" s="1001">
        <v>79.851233640000004</v>
      </c>
      <c r="AM23" s="1001">
        <v>88.37469969</v>
      </c>
      <c r="AN23" s="1001">
        <v>101.36663681</v>
      </c>
      <c r="AO23" s="1001">
        <v>97.237091660000004</v>
      </c>
      <c r="AP23" s="1001">
        <v>107.17584073</v>
      </c>
      <c r="AQ23" s="1001">
        <v>115.32573837</v>
      </c>
    </row>
    <row r="24" spans="2:43">
      <c r="B24" s="75" t="s">
        <v>411</v>
      </c>
      <c r="C24" s="165" t="s">
        <v>412</v>
      </c>
      <c r="D24" s="261"/>
      <c r="E24" s="261"/>
      <c r="F24" s="261"/>
      <c r="G24" s="261"/>
      <c r="H24" s="261"/>
      <c r="I24" s="261"/>
      <c r="J24" s="261"/>
      <c r="K24" s="261"/>
      <c r="L24" s="261"/>
      <c r="M24" s="261"/>
      <c r="N24" s="261"/>
      <c r="O24" s="261"/>
      <c r="P24" s="261"/>
      <c r="Q24" s="261"/>
      <c r="R24" s="261"/>
      <c r="S24" s="261"/>
      <c r="T24" s="261"/>
      <c r="U24" s="261"/>
      <c r="V24" s="261"/>
      <c r="W24" s="261"/>
      <c r="X24" s="244"/>
      <c r="Y24" s="244"/>
      <c r="Z24" s="244"/>
      <c r="AA24" s="244"/>
      <c r="AB24" s="1347"/>
      <c r="AC24" s="1347"/>
      <c r="AD24" s="1347"/>
      <c r="AE24" s="244"/>
      <c r="AF24" s="1348"/>
      <c r="AG24" s="1001"/>
      <c r="AH24" s="1001"/>
      <c r="AI24" s="1001"/>
      <c r="AJ24" s="1001"/>
      <c r="AK24" s="1001"/>
      <c r="AL24" s="1001"/>
      <c r="AM24" s="1001"/>
      <c r="AN24" s="1001"/>
      <c r="AO24" s="1001"/>
      <c r="AP24" s="1001"/>
      <c r="AQ24" s="1001"/>
    </row>
    <row r="25" spans="2:43">
      <c r="B25" s="75">
        <v>2</v>
      </c>
      <c r="C25" s="165" t="s">
        <v>413</v>
      </c>
      <c r="D25" s="261"/>
      <c r="E25" s="261"/>
      <c r="F25" s="261"/>
      <c r="G25" s="261"/>
      <c r="H25" s="261"/>
      <c r="I25" s="261"/>
      <c r="J25" s="261"/>
      <c r="K25" s="261"/>
      <c r="L25" s="261"/>
      <c r="M25" s="261"/>
      <c r="N25" s="261"/>
      <c r="O25" s="261"/>
      <c r="P25" s="261"/>
      <c r="Q25" s="261"/>
      <c r="R25" s="261"/>
      <c r="S25" s="261"/>
      <c r="T25" s="261"/>
      <c r="U25" s="261"/>
      <c r="V25" s="261"/>
      <c r="W25" s="261"/>
      <c r="X25" s="244"/>
      <c r="Y25" s="244"/>
      <c r="Z25" s="244"/>
      <c r="AA25" s="244"/>
      <c r="AB25" s="1347"/>
      <c r="AC25" s="1347"/>
      <c r="AD25" s="1347"/>
      <c r="AE25" s="244"/>
      <c r="AF25" s="1348"/>
      <c r="AG25" s="1349"/>
      <c r="AH25" s="1349"/>
      <c r="AI25" s="1349"/>
      <c r="AJ25" s="1001"/>
      <c r="AK25" s="1001"/>
      <c r="AL25" s="1001"/>
      <c r="AM25" s="1001"/>
      <c r="AN25" s="1001"/>
      <c r="AO25" s="1001"/>
      <c r="AP25" s="1001"/>
      <c r="AQ25" s="1001"/>
    </row>
    <row r="26" spans="2:43">
      <c r="B26" s="75" t="s">
        <v>414</v>
      </c>
      <c r="C26" s="165" t="s">
        <v>12</v>
      </c>
      <c r="D26" s="261"/>
      <c r="E26" s="261"/>
      <c r="F26" s="261"/>
      <c r="G26" s="261"/>
      <c r="H26" s="261"/>
      <c r="I26" s="261"/>
      <c r="J26" s="261"/>
      <c r="K26" s="261"/>
      <c r="L26" s="261"/>
      <c r="M26" s="261"/>
      <c r="N26" s="261"/>
      <c r="O26" s="261"/>
      <c r="P26" s="261"/>
      <c r="Q26" s="261"/>
      <c r="R26" s="261"/>
      <c r="S26" s="261"/>
      <c r="T26" s="261"/>
      <c r="U26" s="261"/>
      <c r="V26" s="261"/>
      <c r="W26" s="261"/>
      <c r="X26" s="244"/>
      <c r="Y26" s="244"/>
      <c r="Z26" s="244"/>
      <c r="AA26" s="244"/>
      <c r="AB26" s="1347"/>
      <c r="AC26" s="1347"/>
      <c r="AD26" s="1347"/>
      <c r="AE26" s="244"/>
      <c r="AF26" s="1348"/>
      <c r="AG26" s="1001">
        <v>0.185165423</v>
      </c>
      <c r="AH26" s="1001">
        <v>0.20410953836347001</v>
      </c>
      <c r="AI26" s="1001">
        <v>0.193953079379173</v>
      </c>
      <c r="AJ26" s="1001">
        <v>0.233827639000347</v>
      </c>
      <c r="AK26" s="1001">
        <v>0.242788</v>
      </c>
      <c r="AL26" s="1001">
        <v>0.273198</v>
      </c>
      <c r="AM26" s="1001">
        <v>0.31916299999999997</v>
      </c>
      <c r="AN26" s="1001">
        <v>0.35814499999999999</v>
      </c>
      <c r="AO26" s="1001">
        <v>0.35774520999999998</v>
      </c>
      <c r="AP26" s="1001">
        <v>0.381998</v>
      </c>
      <c r="AQ26" s="1001">
        <v>0.39119229999999999</v>
      </c>
    </row>
    <row r="27" spans="2:43">
      <c r="B27" s="75">
        <v>3</v>
      </c>
      <c r="C27" s="165" t="s">
        <v>14</v>
      </c>
      <c r="D27" s="261"/>
      <c r="E27" s="261"/>
      <c r="F27" s="261"/>
      <c r="G27" s="261"/>
      <c r="H27" s="261"/>
      <c r="I27" s="261"/>
      <c r="J27" s="261"/>
      <c r="K27" s="261"/>
      <c r="L27" s="261"/>
      <c r="M27" s="261"/>
      <c r="N27" s="261"/>
      <c r="O27" s="261"/>
      <c r="P27" s="261"/>
      <c r="Q27" s="261"/>
      <c r="R27" s="261"/>
      <c r="S27" s="261"/>
      <c r="T27" s="261"/>
      <c r="U27" s="261"/>
      <c r="V27" s="261"/>
      <c r="W27" s="261"/>
      <c r="X27" s="244"/>
      <c r="Y27" s="244"/>
      <c r="Z27" s="244"/>
      <c r="AA27" s="244"/>
      <c r="AB27" s="1347"/>
      <c r="AC27" s="1347"/>
      <c r="AD27" s="1347"/>
      <c r="AE27" s="244"/>
      <c r="AF27" s="1348"/>
      <c r="AG27" s="1349"/>
      <c r="AH27" s="1349"/>
      <c r="AI27" s="1349"/>
      <c r="AJ27" s="1001"/>
      <c r="AK27" s="1001"/>
      <c r="AL27" s="1001"/>
      <c r="AM27" s="1001"/>
      <c r="AN27" s="1001"/>
      <c r="AO27" s="1001"/>
      <c r="AP27" s="1001"/>
      <c r="AQ27" s="1001"/>
    </row>
    <row r="28" spans="2:43">
      <c r="B28" s="75" t="s">
        <v>415</v>
      </c>
      <c r="C28" s="165" t="s">
        <v>15</v>
      </c>
      <c r="D28" s="261"/>
      <c r="E28" s="261"/>
      <c r="F28" s="261"/>
      <c r="G28" s="261"/>
      <c r="H28" s="261"/>
      <c r="I28" s="261"/>
      <c r="J28" s="261"/>
      <c r="K28" s="261"/>
      <c r="L28" s="261"/>
      <c r="M28" s="261"/>
      <c r="N28" s="261"/>
      <c r="O28" s="261"/>
      <c r="P28" s="261"/>
      <c r="Q28" s="261"/>
      <c r="R28" s="261"/>
      <c r="S28" s="261"/>
      <c r="T28" s="261"/>
      <c r="U28" s="261"/>
      <c r="V28" s="261"/>
      <c r="W28" s="261"/>
      <c r="X28" s="244"/>
      <c r="Y28" s="244"/>
      <c r="Z28" s="244"/>
      <c r="AA28" s="244"/>
      <c r="AB28" s="1347"/>
      <c r="AC28" s="1347"/>
      <c r="AD28" s="1347"/>
      <c r="AE28" s="244"/>
      <c r="AF28" s="1348"/>
      <c r="AG28" s="1001">
        <v>1.6940138740999999</v>
      </c>
      <c r="AH28" s="1001">
        <v>2.0180121342507999</v>
      </c>
      <c r="AI28" s="1001">
        <v>2.1931761913705698</v>
      </c>
      <c r="AJ28" s="1001">
        <v>2.3268407692614201</v>
      </c>
      <c r="AK28" s="1001">
        <v>2.7288209999999999</v>
      </c>
      <c r="AL28" s="1001">
        <v>2.913456</v>
      </c>
      <c r="AM28" s="1001">
        <v>3.2521460000000002</v>
      </c>
      <c r="AN28" s="1001">
        <v>3.6430440000000002</v>
      </c>
      <c r="AO28" s="1001">
        <v>2.9497230000000001</v>
      </c>
      <c r="AP28" s="1001">
        <v>3.1537760000000001</v>
      </c>
      <c r="AQ28" s="1001">
        <v>3.3131029999999999</v>
      </c>
    </row>
    <row r="29" spans="2:43">
      <c r="B29" s="75" t="s">
        <v>416</v>
      </c>
      <c r="C29" s="165" t="s">
        <v>16</v>
      </c>
      <c r="D29" s="261"/>
      <c r="E29" s="261"/>
      <c r="F29" s="261"/>
      <c r="G29" s="261"/>
      <c r="H29" s="261"/>
      <c r="I29" s="261"/>
      <c r="J29" s="261"/>
      <c r="K29" s="261"/>
      <c r="L29" s="261"/>
      <c r="M29" s="261"/>
      <c r="N29" s="261"/>
      <c r="O29" s="261"/>
      <c r="P29" s="261"/>
      <c r="Q29" s="261"/>
      <c r="R29" s="261"/>
      <c r="S29" s="261"/>
      <c r="T29" s="261"/>
      <c r="U29" s="261"/>
      <c r="V29" s="261"/>
      <c r="W29" s="261"/>
      <c r="X29" s="244"/>
      <c r="Y29" s="244"/>
      <c r="Z29" s="244"/>
      <c r="AA29" s="244"/>
      <c r="AB29" s="1347"/>
      <c r="AC29" s="1347"/>
      <c r="AD29" s="1347"/>
      <c r="AE29" s="244"/>
      <c r="AF29" s="1348"/>
      <c r="AG29" s="1001">
        <v>28.6916864445848</v>
      </c>
      <c r="AH29" s="1001">
        <v>24.8678849295109</v>
      </c>
      <c r="AI29" s="1001">
        <v>25.262596684139499</v>
      </c>
      <c r="AJ29" s="1001">
        <v>28.728857547765799</v>
      </c>
      <c r="AK29" s="1001">
        <v>27.371631000000001</v>
      </c>
      <c r="AL29" s="1001">
        <v>35.049101999999998</v>
      </c>
      <c r="AM29" s="1001">
        <v>40.681246000000002</v>
      </c>
      <c r="AN29" s="1001">
        <v>45.908315000000002</v>
      </c>
      <c r="AO29" s="1001">
        <v>45.038989970000003</v>
      </c>
      <c r="AP29" s="1001">
        <v>53.341625000000001</v>
      </c>
      <c r="AQ29" s="1001">
        <v>59.0810356</v>
      </c>
    </row>
    <row r="30" spans="2:43">
      <c r="B30" s="75" t="s">
        <v>417</v>
      </c>
      <c r="C30" s="165" t="s">
        <v>418</v>
      </c>
      <c r="D30" s="261"/>
      <c r="E30" s="261"/>
      <c r="F30" s="261"/>
      <c r="G30" s="261"/>
      <c r="H30" s="261"/>
      <c r="I30" s="261"/>
      <c r="J30" s="261"/>
      <c r="K30" s="261"/>
      <c r="L30" s="261"/>
      <c r="M30" s="261"/>
      <c r="N30" s="261"/>
      <c r="O30" s="261"/>
      <c r="P30" s="261"/>
      <c r="Q30" s="261"/>
      <c r="R30" s="261"/>
      <c r="S30" s="261"/>
      <c r="T30" s="261"/>
      <c r="U30" s="261"/>
      <c r="V30" s="261"/>
      <c r="W30" s="261"/>
      <c r="X30" s="244"/>
      <c r="Y30" s="244"/>
      <c r="Z30" s="244"/>
      <c r="AA30" s="244"/>
      <c r="AB30" s="1347"/>
      <c r="AC30" s="1347"/>
      <c r="AD30" s="1347"/>
      <c r="AE30" s="244"/>
      <c r="AF30" s="1348"/>
      <c r="AG30" s="1001"/>
      <c r="AH30" s="1001"/>
      <c r="AI30" s="1001"/>
      <c r="AJ30" s="1001"/>
      <c r="AK30" s="1001"/>
      <c r="AL30" s="1001"/>
      <c r="AM30" s="1001"/>
      <c r="AN30" s="1001"/>
      <c r="AO30" s="1001"/>
      <c r="AP30" s="1001"/>
      <c r="AQ30" s="1001"/>
    </row>
    <row r="31" spans="2:43">
      <c r="B31" s="75">
        <v>4</v>
      </c>
      <c r="C31" s="165" t="s">
        <v>419</v>
      </c>
      <c r="D31" s="261"/>
      <c r="E31" s="261"/>
      <c r="F31" s="261"/>
      <c r="G31" s="261"/>
      <c r="H31" s="261"/>
      <c r="I31" s="261"/>
      <c r="J31" s="261"/>
      <c r="K31" s="261"/>
      <c r="L31" s="261"/>
      <c r="M31" s="261"/>
      <c r="N31" s="261"/>
      <c r="O31" s="261"/>
      <c r="P31" s="261"/>
      <c r="Q31" s="261"/>
      <c r="R31" s="261"/>
      <c r="S31" s="261"/>
      <c r="T31" s="261"/>
      <c r="U31" s="261"/>
      <c r="V31" s="261"/>
      <c r="W31" s="261"/>
      <c r="X31" s="244"/>
      <c r="Y31" s="244"/>
      <c r="Z31" s="244"/>
      <c r="AA31" s="244"/>
      <c r="AB31" s="1347"/>
      <c r="AC31" s="1347"/>
      <c r="AD31" s="1347"/>
      <c r="AE31" s="244"/>
      <c r="AF31" s="1348"/>
      <c r="AG31" s="1349"/>
      <c r="AH31" s="1349"/>
      <c r="AI31" s="1349"/>
      <c r="AJ31" s="1001"/>
      <c r="AK31" s="1001"/>
      <c r="AL31" s="1001"/>
      <c r="AM31" s="1001"/>
      <c r="AN31" s="1001"/>
      <c r="AO31" s="1001"/>
      <c r="AP31" s="1001"/>
      <c r="AQ31" s="1001"/>
    </row>
    <row r="32" spans="2:43">
      <c r="B32" s="75" t="s">
        <v>296</v>
      </c>
      <c r="C32" s="165" t="s">
        <v>420</v>
      </c>
      <c r="D32" s="261"/>
      <c r="E32" s="261"/>
      <c r="F32" s="261"/>
      <c r="G32" s="261"/>
      <c r="H32" s="261"/>
      <c r="I32" s="261"/>
      <c r="J32" s="261"/>
      <c r="K32" s="261"/>
      <c r="L32" s="261"/>
      <c r="M32" s="261"/>
      <c r="N32" s="261"/>
      <c r="O32" s="261"/>
      <c r="P32" s="261"/>
      <c r="Q32" s="261"/>
      <c r="R32" s="261"/>
      <c r="S32" s="261"/>
      <c r="T32" s="261"/>
      <c r="U32" s="261"/>
      <c r="V32" s="261"/>
      <c r="W32" s="261"/>
      <c r="X32" s="244"/>
      <c r="Y32" s="244"/>
      <c r="Z32" s="244"/>
      <c r="AA32" s="244"/>
      <c r="AB32" s="1347"/>
      <c r="AC32" s="1347"/>
      <c r="AD32" s="1347"/>
      <c r="AE32" s="244"/>
      <c r="AF32" s="1348"/>
      <c r="AG32" s="1001"/>
      <c r="AH32" s="1001"/>
      <c r="AI32" s="1001"/>
      <c r="AJ32" s="1001"/>
      <c r="AK32" s="1001"/>
      <c r="AL32" s="1001"/>
      <c r="AM32" s="1001"/>
      <c r="AN32" s="1001"/>
      <c r="AO32" s="1001"/>
      <c r="AP32" s="1001"/>
      <c r="AQ32" s="1001"/>
    </row>
    <row r="33" spans="2:43">
      <c r="B33" s="75" t="s">
        <v>298</v>
      </c>
      <c r="C33" s="165" t="s">
        <v>421</v>
      </c>
      <c r="D33" s="261"/>
      <c r="E33" s="261"/>
      <c r="F33" s="261"/>
      <c r="G33" s="261"/>
      <c r="H33" s="261"/>
      <c r="I33" s="261"/>
      <c r="J33" s="261"/>
      <c r="K33" s="261"/>
      <c r="L33" s="261"/>
      <c r="M33" s="261"/>
      <c r="N33" s="261"/>
      <c r="O33" s="261"/>
      <c r="P33" s="261"/>
      <c r="Q33" s="261"/>
      <c r="R33" s="261"/>
      <c r="S33" s="261"/>
      <c r="T33" s="261"/>
      <c r="U33" s="261"/>
      <c r="V33" s="261"/>
      <c r="W33" s="261"/>
      <c r="X33" s="244"/>
      <c r="Y33" s="244"/>
      <c r="Z33" s="244"/>
      <c r="AA33" s="244"/>
      <c r="AB33" s="1347"/>
      <c r="AC33" s="1347"/>
      <c r="AD33" s="1347"/>
      <c r="AE33" s="244"/>
      <c r="AF33" s="1348"/>
      <c r="AG33" s="1001">
        <v>2.9644316000000002E-3</v>
      </c>
      <c r="AH33" s="1001">
        <v>1.4228714999999999E-2</v>
      </c>
      <c r="AI33" s="1001">
        <v>8.5372312499999992E-3</v>
      </c>
      <c r="AJ33" s="1001">
        <v>2.6959687195861198E-3</v>
      </c>
      <c r="AK33" s="1001">
        <v>1.3481999999999999E-2</v>
      </c>
      <c r="AL33" s="1001">
        <v>7.6509300000000002E-3</v>
      </c>
      <c r="AM33" s="1001">
        <v>5.1006226000000002E-3</v>
      </c>
      <c r="AN33" s="1001">
        <v>5.1006226000000002E-3</v>
      </c>
      <c r="AO33" s="1001">
        <v>1.275155E-2</v>
      </c>
      <c r="AP33" s="1001">
        <v>2.55047E-3</v>
      </c>
      <c r="AQ33" s="1001">
        <v>2.55047E-3</v>
      </c>
    </row>
    <row r="34" spans="2:43">
      <c r="B34" s="75">
        <v>5</v>
      </c>
      <c r="C34" s="165" t="s">
        <v>422</v>
      </c>
      <c r="D34" s="261"/>
      <c r="E34" s="261"/>
      <c r="F34" s="261"/>
      <c r="G34" s="261"/>
      <c r="H34" s="261"/>
      <c r="I34" s="261"/>
      <c r="J34" s="261"/>
      <c r="K34" s="261"/>
      <c r="L34" s="261"/>
      <c r="M34" s="261"/>
      <c r="N34" s="261"/>
      <c r="O34" s="261"/>
      <c r="P34" s="261"/>
      <c r="Q34" s="261"/>
      <c r="R34" s="261"/>
      <c r="S34" s="261"/>
      <c r="T34" s="261"/>
      <c r="U34" s="261"/>
      <c r="V34" s="261"/>
      <c r="W34" s="261"/>
      <c r="X34" s="244"/>
      <c r="Y34" s="244"/>
      <c r="Z34" s="244"/>
      <c r="AA34" s="244"/>
      <c r="AB34" s="1347"/>
      <c r="AC34" s="1347"/>
      <c r="AD34" s="1347"/>
      <c r="AE34" s="244"/>
      <c r="AF34" s="1348"/>
      <c r="AG34" s="1349"/>
      <c r="AH34" s="1349"/>
      <c r="AI34" s="1349"/>
      <c r="AJ34" s="1001"/>
      <c r="AK34" s="1001"/>
      <c r="AL34" s="1001"/>
      <c r="AM34" s="1001"/>
      <c r="AN34" s="1001"/>
      <c r="AO34" s="1001"/>
      <c r="AP34" s="1001"/>
      <c r="AQ34" s="1001"/>
    </row>
    <row r="35" spans="2:43">
      <c r="B35" s="75" t="s">
        <v>423</v>
      </c>
      <c r="C35" s="165" t="s">
        <v>424</v>
      </c>
      <c r="D35" s="261"/>
      <c r="E35" s="261"/>
      <c r="F35" s="261"/>
      <c r="G35" s="261"/>
      <c r="H35" s="261"/>
      <c r="I35" s="261"/>
      <c r="J35" s="261"/>
      <c r="K35" s="261"/>
      <c r="L35" s="261"/>
      <c r="M35" s="261"/>
      <c r="N35" s="261"/>
      <c r="O35" s="261"/>
      <c r="P35" s="261"/>
      <c r="Q35" s="261"/>
      <c r="R35" s="261"/>
      <c r="S35" s="261"/>
      <c r="T35" s="261"/>
      <c r="U35" s="261"/>
      <c r="V35" s="261"/>
      <c r="W35" s="261"/>
      <c r="X35" s="244"/>
      <c r="Y35" s="244"/>
      <c r="Z35" s="244"/>
      <c r="AA35" s="244"/>
      <c r="AB35" s="1347"/>
      <c r="AC35" s="1347"/>
      <c r="AD35" s="1347"/>
      <c r="AE35" s="244"/>
      <c r="AF35" s="1348"/>
      <c r="AG35" s="1001"/>
      <c r="AH35" s="1001"/>
      <c r="AI35" s="1001"/>
      <c r="AJ35" s="1001"/>
      <c r="AK35" s="1001"/>
      <c r="AL35" s="1001"/>
      <c r="AM35" s="1001"/>
      <c r="AN35" s="1001"/>
      <c r="AO35" s="1001"/>
      <c r="AP35" s="1001"/>
      <c r="AQ35" s="1001"/>
    </row>
    <row r="36" spans="2:43">
      <c r="B36" s="75">
        <v>6</v>
      </c>
      <c r="C36" s="165" t="s">
        <v>425</v>
      </c>
      <c r="D36" s="261"/>
      <c r="E36" s="261"/>
      <c r="F36" s="261"/>
      <c r="G36" s="261"/>
      <c r="H36" s="261"/>
      <c r="I36" s="261"/>
      <c r="J36" s="261"/>
      <c r="K36" s="261"/>
      <c r="L36" s="261"/>
      <c r="M36" s="261"/>
      <c r="N36" s="261"/>
      <c r="O36" s="261"/>
      <c r="P36" s="261"/>
      <c r="Q36" s="261"/>
      <c r="R36" s="261"/>
      <c r="S36" s="261"/>
      <c r="T36" s="261"/>
      <c r="U36" s="261"/>
      <c r="V36" s="261"/>
      <c r="W36" s="261"/>
      <c r="X36" s="244"/>
      <c r="Y36" s="244"/>
      <c r="Z36" s="244"/>
      <c r="AA36" s="244"/>
      <c r="AB36" s="1347"/>
      <c r="AC36" s="1347"/>
      <c r="AD36" s="1347"/>
      <c r="AE36" s="244"/>
      <c r="AF36" s="229"/>
      <c r="AG36" s="1349"/>
      <c r="AH36" s="1349"/>
      <c r="AI36" s="1349"/>
      <c r="AJ36" s="1001"/>
      <c r="AK36" s="1001"/>
      <c r="AL36" s="1001"/>
      <c r="AM36" s="1001"/>
      <c r="AN36" s="1001"/>
      <c r="AO36" s="1001"/>
      <c r="AP36" s="1001"/>
      <c r="AQ36" s="1001"/>
    </row>
    <row r="37" spans="2:43">
      <c r="B37" s="75" t="s">
        <v>426</v>
      </c>
      <c r="C37" s="165" t="s">
        <v>427</v>
      </c>
      <c r="D37" s="261"/>
      <c r="E37" s="261"/>
      <c r="F37" s="261"/>
      <c r="G37" s="261"/>
      <c r="H37" s="261"/>
      <c r="I37" s="261"/>
      <c r="J37" s="261"/>
      <c r="K37" s="261"/>
      <c r="L37" s="261"/>
      <c r="M37" s="261"/>
      <c r="N37" s="261"/>
      <c r="O37" s="261"/>
      <c r="P37" s="261"/>
      <c r="Q37" s="261"/>
      <c r="R37" s="261"/>
      <c r="S37" s="261"/>
      <c r="T37" s="261"/>
      <c r="U37" s="261"/>
      <c r="V37" s="261"/>
      <c r="W37" s="261"/>
      <c r="X37" s="244"/>
      <c r="Y37" s="244"/>
      <c r="Z37" s="244"/>
      <c r="AA37" s="244"/>
      <c r="AB37" s="1347"/>
      <c r="AC37" s="1347"/>
      <c r="AD37" s="1347"/>
      <c r="AE37" s="932"/>
      <c r="AF37" s="1751"/>
      <c r="AG37" s="1001"/>
      <c r="AH37" s="1001"/>
      <c r="AI37" s="1001"/>
      <c r="AJ37" s="1001"/>
      <c r="AK37" s="1001"/>
      <c r="AL37" s="1001"/>
      <c r="AM37" s="1001"/>
      <c r="AN37" s="1001"/>
      <c r="AO37" s="1001"/>
      <c r="AP37" s="1001"/>
      <c r="AQ37" s="1001"/>
    </row>
    <row r="38" spans="2:43">
      <c r="B38" s="75" t="s">
        <v>428</v>
      </c>
      <c r="C38" s="165" t="s">
        <v>429</v>
      </c>
      <c r="D38" s="261"/>
      <c r="E38" s="261"/>
      <c r="F38" s="261"/>
      <c r="G38" s="261"/>
      <c r="H38" s="261"/>
      <c r="I38" s="261"/>
      <c r="J38" s="261"/>
      <c r="K38" s="261"/>
      <c r="L38" s="261"/>
      <c r="M38" s="261"/>
      <c r="N38" s="261"/>
      <c r="O38" s="261"/>
      <c r="P38" s="261"/>
      <c r="Q38" s="261"/>
      <c r="R38" s="261"/>
      <c r="S38" s="261"/>
      <c r="T38" s="261"/>
      <c r="U38" s="261"/>
      <c r="V38" s="261"/>
      <c r="W38" s="261"/>
      <c r="X38" s="244"/>
      <c r="Y38" s="244"/>
      <c r="Z38" s="244"/>
      <c r="AA38" s="244"/>
      <c r="AB38" s="1347"/>
      <c r="AC38" s="1347"/>
      <c r="AD38" s="1347"/>
      <c r="AE38" s="932"/>
      <c r="AF38" s="1751"/>
      <c r="AG38" s="1001">
        <v>6.5234361215929297</v>
      </c>
      <c r="AH38" s="1001">
        <v>4.8462658152201801</v>
      </c>
      <c r="AI38" s="1001">
        <v>5.3534940040181898</v>
      </c>
      <c r="AJ38" s="1001">
        <v>6.2305336907587296</v>
      </c>
      <c r="AK38" s="1001">
        <v>5.1211669999999998</v>
      </c>
      <c r="AL38" s="1001">
        <v>5.4697180000000003</v>
      </c>
      <c r="AM38" s="1001">
        <v>7.0374150000000002</v>
      </c>
      <c r="AN38" s="1001">
        <v>7.6945950099999996</v>
      </c>
      <c r="AO38" s="1001">
        <v>10.046196999999999</v>
      </c>
      <c r="AP38" s="1001">
        <v>9.0304359099999996</v>
      </c>
      <c r="AQ38" s="1001">
        <v>11.940621999999999</v>
      </c>
    </row>
    <row r="39" spans="2:43">
      <c r="B39" s="172"/>
      <c r="C39" s="172"/>
      <c r="D39" s="172"/>
      <c r="E39" s="172"/>
      <c r="F39" s="172"/>
      <c r="G39" s="172"/>
      <c r="H39" s="172"/>
      <c r="I39" s="172"/>
      <c r="J39" s="172"/>
      <c r="K39" s="172"/>
      <c r="L39" s="172"/>
      <c r="M39" s="172"/>
      <c r="N39" s="172"/>
      <c r="O39" s="172"/>
      <c r="P39" s="172"/>
      <c r="Q39" s="172"/>
      <c r="R39" s="172"/>
      <c r="S39" s="172"/>
      <c r="T39" s="172"/>
      <c r="U39" s="172"/>
      <c r="V39" s="172"/>
      <c r="W39" s="172"/>
      <c r="X39" s="256"/>
      <c r="Y39" s="256"/>
      <c r="Z39" s="256"/>
      <c r="AA39" s="256"/>
      <c r="AB39" s="256"/>
      <c r="AC39" s="256"/>
      <c r="AD39" s="256"/>
      <c r="AE39" s="256"/>
      <c r="AF39" s="256"/>
      <c r="AG39" s="1791"/>
      <c r="AH39" s="1792"/>
      <c r="AI39" s="1792"/>
      <c r="AJ39" s="1791"/>
      <c r="AK39" s="1792"/>
      <c r="AL39" s="1792"/>
      <c r="AM39" s="1792"/>
      <c r="AN39" s="1792"/>
      <c r="AO39" s="1791"/>
      <c r="AP39" s="256"/>
      <c r="AQ39" s="256"/>
    </row>
    <row r="40" spans="2:43">
      <c r="X40" s="166"/>
      <c r="Y40" s="166"/>
      <c r="Z40" s="166"/>
      <c r="AA40" s="166"/>
      <c r="AB40" s="166"/>
      <c r="AC40" s="166"/>
      <c r="AD40" s="166"/>
      <c r="AE40" s="166"/>
      <c r="AF40" s="166"/>
      <c r="AG40" s="950"/>
    </row>
    <row r="41" spans="2:43" ht="15" customHeight="1">
      <c r="B41" s="1352" t="s">
        <v>661</v>
      </c>
      <c r="C41" s="1351"/>
      <c r="D41" s="1351"/>
      <c r="E41" s="1351"/>
      <c r="F41" s="1351"/>
      <c r="G41" s="1351"/>
      <c r="H41" s="835"/>
      <c r="I41" s="835"/>
      <c r="J41" s="835"/>
      <c r="K41" s="835"/>
      <c r="L41" s="835"/>
      <c r="M41" s="835"/>
      <c r="N41" s="835"/>
      <c r="O41" s="835"/>
      <c r="P41" s="835"/>
      <c r="Q41" s="835"/>
      <c r="R41" s="835"/>
      <c r="S41" s="835"/>
      <c r="T41" s="835"/>
      <c r="U41" s="835"/>
      <c r="V41" s="835"/>
      <c r="W41" s="835"/>
      <c r="X41" s="835"/>
      <c r="Y41" s="835"/>
      <c r="Z41" s="835"/>
      <c r="AA41" s="835"/>
      <c r="AB41" s="835"/>
      <c r="AC41" s="835"/>
      <c r="AD41" s="835"/>
      <c r="AE41" s="835"/>
      <c r="AF41" s="835"/>
      <c r="AG41" s="839"/>
      <c r="AH41" s="839"/>
      <c r="AI41" s="839"/>
    </row>
    <row r="42" spans="2:43">
      <c r="C42" s="1353"/>
      <c r="D42" s="1354"/>
      <c r="E42" s="848"/>
      <c r="F42" s="1355"/>
      <c r="G42" s="848"/>
      <c r="O42" s="168"/>
      <c r="P42" s="168"/>
      <c r="Q42" s="168"/>
      <c r="R42" s="168"/>
      <c r="S42" s="168"/>
      <c r="T42" s="168"/>
      <c r="U42" s="168"/>
      <c r="V42" s="168"/>
      <c r="W42" s="168"/>
      <c r="X42" s="166"/>
      <c r="Y42" s="166"/>
      <c r="Z42" s="166"/>
      <c r="AA42" s="166"/>
      <c r="AB42" s="166"/>
      <c r="AC42" s="166"/>
      <c r="AD42" s="166"/>
      <c r="AE42" s="166"/>
      <c r="AF42" s="166"/>
      <c r="AG42" s="950"/>
    </row>
    <row r="43" spans="2:43" hidden="1">
      <c r="O43" s="168"/>
      <c r="P43" s="168"/>
      <c r="Q43" s="168"/>
      <c r="R43" s="168"/>
      <c r="S43" s="168"/>
      <c r="T43" s="168"/>
      <c r="U43" s="168"/>
      <c r="V43" s="168"/>
      <c r="W43" s="168"/>
      <c r="X43" s="166"/>
      <c r="Y43" s="166"/>
      <c r="Z43" s="166"/>
      <c r="AA43" s="166"/>
      <c r="AB43" s="166"/>
      <c r="AC43" s="166"/>
      <c r="AD43" s="166"/>
      <c r="AE43" s="166"/>
      <c r="AF43" s="166"/>
      <c r="AG43" s="950"/>
    </row>
    <row r="44" spans="2:43" hidden="1">
      <c r="O44" s="168"/>
      <c r="P44" s="168"/>
      <c r="Q44" s="168"/>
      <c r="R44" s="168"/>
      <c r="S44" s="168"/>
      <c r="T44" s="168"/>
      <c r="U44" s="168"/>
      <c r="V44" s="168"/>
      <c r="W44" s="168"/>
      <c r="X44" s="166"/>
      <c r="Y44" s="166"/>
      <c r="Z44" s="166"/>
      <c r="AA44" s="166"/>
      <c r="AB44" s="166"/>
      <c r="AC44" s="166"/>
      <c r="AD44" s="166"/>
      <c r="AE44" s="166"/>
      <c r="AF44" s="166"/>
      <c r="AG44" s="950"/>
    </row>
    <row r="45" spans="2:43" hidden="1">
      <c r="O45" s="168"/>
      <c r="P45" s="168"/>
      <c r="Q45" s="168"/>
      <c r="R45" s="168"/>
      <c r="S45" s="168"/>
      <c r="T45" s="168"/>
      <c r="U45" s="168"/>
      <c r="V45" s="168"/>
      <c r="W45" s="168"/>
      <c r="X45" s="166"/>
      <c r="Y45" s="166"/>
      <c r="Z45" s="166"/>
      <c r="AA45" s="166"/>
      <c r="AB45" s="166"/>
      <c r="AC45" s="166"/>
      <c r="AD45" s="166"/>
      <c r="AE45" s="166"/>
      <c r="AF45" s="166"/>
      <c r="AG45" s="950"/>
    </row>
    <row r="46" spans="2:43" hidden="1">
      <c r="O46" s="168"/>
      <c r="P46" s="168"/>
      <c r="Q46" s="168"/>
      <c r="R46" s="168"/>
      <c r="S46" s="168"/>
      <c r="T46" s="168"/>
      <c r="U46" s="168"/>
      <c r="V46" s="168"/>
      <c r="W46" s="168"/>
      <c r="X46" s="166"/>
      <c r="Y46" s="166"/>
      <c r="Z46" s="166"/>
      <c r="AA46" s="166"/>
      <c r="AB46" s="166"/>
      <c r="AC46" s="166"/>
      <c r="AD46" s="166"/>
      <c r="AE46" s="166"/>
      <c r="AF46" s="166"/>
      <c r="AG46" s="950"/>
    </row>
    <row r="47" spans="2:43" hidden="1">
      <c r="O47" s="168"/>
      <c r="P47" s="168"/>
      <c r="Q47" s="168"/>
      <c r="R47" s="168"/>
      <c r="S47" s="168"/>
      <c r="T47" s="168"/>
      <c r="U47" s="168"/>
      <c r="V47" s="168"/>
      <c r="W47" s="168"/>
      <c r="X47" s="166"/>
      <c r="Y47" s="166"/>
      <c r="Z47" s="166"/>
      <c r="AA47" s="166"/>
      <c r="AB47" s="166"/>
      <c r="AC47" s="166"/>
      <c r="AD47" s="166"/>
      <c r="AE47" s="166"/>
      <c r="AF47" s="166"/>
      <c r="AG47" s="950"/>
    </row>
    <row r="48" spans="2:43" ht="15" hidden="1">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66"/>
      <c r="AB48" s="166"/>
      <c r="AC48" s="166"/>
      <c r="AD48" s="166"/>
      <c r="AE48" s="166"/>
      <c r="AF48" s="166"/>
      <c r="AG48" s="950"/>
    </row>
    <row r="49" spans="2:43" ht="15" hidden="1">
      <c r="B49" s="941"/>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166"/>
      <c r="AB49" s="166"/>
      <c r="AC49" s="166"/>
      <c r="AD49" s="166"/>
      <c r="AE49" s="166"/>
      <c r="AF49" s="166"/>
      <c r="AG49" s="950"/>
    </row>
    <row r="50" spans="2:43" ht="15" hidden="1">
      <c r="B50" s="941"/>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166"/>
      <c r="AB50" s="166"/>
      <c r="AC50" s="166"/>
      <c r="AD50" s="166"/>
      <c r="AE50" s="166"/>
      <c r="AF50" s="166"/>
      <c r="AG50" s="950"/>
    </row>
    <row r="51" spans="2:43" ht="15" hidden="1">
      <c r="B51" s="941"/>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166"/>
      <c r="AB51" s="166"/>
      <c r="AC51" s="166"/>
      <c r="AD51" s="166"/>
      <c r="AE51" s="166"/>
      <c r="AF51" s="166"/>
      <c r="AG51" s="950"/>
    </row>
    <row r="52" spans="2:43" ht="15" hidden="1">
      <c r="B52" s="941"/>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166"/>
      <c r="AB52" s="166"/>
      <c r="AC52" s="166"/>
      <c r="AD52" s="166"/>
      <c r="AE52" s="166"/>
      <c r="AF52" s="166"/>
      <c r="AG52" s="950"/>
    </row>
    <row r="53" spans="2:43" ht="15" hidden="1">
      <c r="B53" s="941"/>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166"/>
      <c r="AB53" s="166"/>
      <c r="AC53" s="166"/>
      <c r="AD53" s="166"/>
      <c r="AE53" s="166"/>
      <c r="AF53" s="166"/>
      <c r="AG53" s="950"/>
    </row>
    <row r="54" spans="2:43" ht="15" hidden="1">
      <c r="B54" s="1920"/>
      <c r="C54" s="1921"/>
      <c r="D54" s="1921"/>
      <c r="E54" s="1921"/>
      <c r="F54" s="1921"/>
      <c r="G54" s="1921"/>
      <c r="H54" s="1921"/>
      <c r="I54" s="1921"/>
      <c r="J54" s="1921"/>
      <c r="K54" s="1921"/>
      <c r="L54" s="1921"/>
      <c r="M54" s="1921"/>
      <c r="N54" s="1921"/>
      <c r="O54" s="1921"/>
      <c r="P54" s="1921"/>
      <c r="Q54" s="1921"/>
      <c r="R54" s="1921"/>
      <c r="S54" s="1921"/>
      <c r="T54" s="1921"/>
      <c r="U54" s="1921"/>
      <c r="V54" s="1921"/>
      <c r="W54" s="1921"/>
      <c r="X54" s="1921"/>
      <c r="Y54" s="1921"/>
      <c r="Z54" s="1921"/>
      <c r="AA54" s="166"/>
      <c r="AB54" s="166"/>
      <c r="AC54" s="166"/>
      <c r="AD54" s="166"/>
      <c r="AE54" s="166"/>
      <c r="AF54" s="166"/>
      <c r="AG54" s="950"/>
    </row>
    <row r="55" spans="2:43" ht="15" hidden="1">
      <c r="B55" s="1920"/>
      <c r="C55" s="1921"/>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66"/>
      <c r="AB55" s="166"/>
      <c r="AC55" s="166"/>
      <c r="AD55" s="166"/>
      <c r="AE55" s="166"/>
      <c r="AF55" s="166"/>
      <c r="AG55" s="950"/>
    </row>
    <row r="56" spans="2:43" hidden="1">
      <c r="O56" s="168"/>
      <c r="P56" s="168"/>
      <c r="Q56" s="168"/>
      <c r="R56" s="168"/>
      <c r="S56" s="168"/>
      <c r="T56" s="168"/>
      <c r="U56" s="168"/>
      <c r="V56" s="168"/>
      <c r="W56" s="168"/>
      <c r="X56" s="166"/>
      <c r="Y56" s="166"/>
      <c r="Z56" s="166"/>
      <c r="AA56" s="166"/>
      <c r="AB56" s="166"/>
      <c r="AC56" s="166"/>
      <c r="AD56" s="166"/>
      <c r="AE56" s="166"/>
      <c r="AF56" s="166"/>
      <c r="AG56" s="950"/>
    </row>
    <row r="57" spans="2:43" hidden="1">
      <c r="O57" s="168"/>
      <c r="P57" s="168"/>
      <c r="Q57" s="168"/>
      <c r="R57" s="168"/>
      <c r="S57" s="168"/>
      <c r="T57" s="168"/>
      <c r="U57" s="168"/>
      <c r="V57" s="168"/>
      <c r="W57" s="168"/>
      <c r="X57" s="166"/>
      <c r="Y57" s="166"/>
      <c r="Z57" s="166"/>
      <c r="AA57" s="166"/>
      <c r="AB57" s="166"/>
      <c r="AC57" s="166"/>
      <c r="AD57" s="166"/>
      <c r="AE57" s="166"/>
      <c r="AF57" s="166"/>
      <c r="AG57" s="950"/>
    </row>
    <row r="58" spans="2:43" hidden="1">
      <c r="O58" s="168"/>
      <c r="P58" s="168"/>
      <c r="Q58" s="168"/>
      <c r="R58" s="168"/>
      <c r="S58" s="168"/>
      <c r="T58" s="168"/>
      <c r="U58" s="168"/>
      <c r="V58" s="168"/>
      <c r="W58" s="168"/>
      <c r="X58" s="166"/>
      <c r="Y58" s="166"/>
      <c r="Z58" s="166"/>
      <c r="AA58" s="166"/>
      <c r="AB58" s="166"/>
      <c r="AC58" s="166"/>
      <c r="AD58" s="166"/>
      <c r="AE58" s="166"/>
      <c r="AF58" s="166"/>
      <c r="AG58" s="950"/>
    </row>
    <row r="59" spans="2:43">
      <c r="O59" s="168"/>
      <c r="P59" s="168"/>
      <c r="Q59" s="168"/>
      <c r="R59" s="168"/>
      <c r="S59" s="168"/>
      <c r="T59" s="168"/>
      <c r="U59" s="168"/>
      <c r="V59" s="168"/>
      <c r="W59" s="168"/>
      <c r="X59" s="166"/>
      <c r="Y59" s="166"/>
      <c r="Z59" s="166"/>
      <c r="AA59" s="166"/>
      <c r="AB59" s="166"/>
      <c r="AC59" s="166"/>
      <c r="AD59" s="166"/>
      <c r="AE59" s="166"/>
      <c r="AF59" s="166"/>
      <c r="AG59" s="950"/>
    </row>
    <row r="60" spans="2:43"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950"/>
    </row>
    <row r="61" spans="2:43"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950"/>
      <c r="AJ61" s="547"/>
      <c r="AK61" s="547"/>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950"/>
      <c r="AJ62" s="547"/>
      <c r="AK62" s="547"/>
    </row>
    <row r="63" spans="2:43" ht="27" customHeight="1" outlineLevel="1">
      <c r="B63" s="165" t="s">
        <v>1690</v>
      </c>
      <c r="E63" s="167"/>
      <c r="F63" s="167"/>
      <c r="G63" s="167"/>
      <c r="H63" s="167"/>
      <c r="I63" s="167"/>
      <c r="J63" s="167"/>
      <c r="K63" s="167"/>
      <c r="L63" s="167"/>
      <c r="M63" s="167"/>
      <c r="N63" s="167"/>
      <c r="O63" s="197"/>
      <c r="P63" s="198"/>
      <c r="Q63" s="199"/>
      <c r="R63" s="198"/>
      <c r="S63" s="198"/>
      <c r="T63" s="198"/>
      <c r="U63" s="198"/>
      <c r="V63" s="198"/>
      <c r="W63" s="198"/>
      <c r="X63" s="1003">
        <v>2001</v>
      </c>
      <c r="Y63" s="1356"/>
      <c r="Z63" s="967">
        <v>2003</v>
      </c>
      <c r="AA63" s="1356"/>
      <c r="AB63" s="967">
        <v>2005</v>
      </c>
      <c r="AC63" s="1356"/>
      <c r="AD63" s="967">
        <v>2007</v>
      </c>
      <c r="AE63" s="967">
        <v>2008</v>
      </c>
      <c r="AF63" s="967">
        <v>2009</v>
      </c>
      <c r="AG63" s="967">
        <v>2010</v>
      </c>
      <c r="AH63" s="967">
        <v>2011</v>
      </c>
      <c r="AI63" s="967">
        <v>2012</v>
      </c>
      <c r="AJ63" s="967">
        <v>2013</v>
      </c>
      <c r="AK63" s="967">
        <v>2014</v>
      </c>
      <c r="AL63" s="967">
        <v>2015</v>
      </c>
      <c r="AM63" s="967">
        <v>2016</v>
      </c>
      <c r="AN63" s="967">
        <v>2017</v>
      </c>
      <c r="AO63" s="967">
        <v>2018</v>
      </c>
      <c r="AP63" s="967">
        <v>2019</v>
      </c>
      <c r="AQ63" s="967">
        <v>2020</v>
      </c>
    </row>
    <row r="64" spans="2:43" outlineLevel="1">
      <c r="B64" s="165" t="s">
        <v>1691</v>
      </c>
      <c r="E64" s="167"/>
      <c r="F64" s="167"/>
      <c r="G64" s="167"/>
      <c r="H64" s="167"/>
      <c r="I64" s="167"/>
      <c r="J64" s="167"/>
      <c r="K64" s="167"/>
      <c r="L64" s="167"/>
      <c r="M64" s="167"/>
      <c r="N64" s="167"/>
      <c r="O64" s="197"/>
      <c r="P64" s="198"/>
      <c r="Q64" s="199"/>
      <c r="R64" s="198"/>
      <c r="S64" s="198"/>
      <c r="T64" s="198"/>
      <c r="U64" s="198"/>
      <c r="V64" s="198"/>
      <c r="W64" s="198"/>
      <c r="X64" s="547"/>
      <c r="Y64" s="994"/>
      <c r="Z64" s="547"/>
      <c r="AA64" s="994"/>
      <c r="AB64" s="994"/>
      <c r="AC64" s="994"/>
      <c r="AD64" s="547"/>
      <c r="AE64" s="994"/>
      <c r="AF64" s="547"/>
      <c r="AG64" s="950"/>
      <c r="AH64" s="1793"/>
      <c r="AI64" s="1793"/>
      <c r="AJ64" s="1793"/>
      <c r="AK64" s="1793"/>
      <c r="AL64" s="1794"/>
      <c r="AM64" s="1794"/>
      <c r="AN64" s="595"/>
      <c r="AO64" s="595"/>
      <c r="AP64" s="595"/>
      <c r="AQ64" s="595"/>
    </row>
    <row r="65" spans="2:43" outlineLevel="1">
      <c r="B65" s="204" t="s">
        <v>28</v>
      </c>
      <c r="C65" s="165" t="s">
        <v>29</v>
      </c>
      <c r="E65" s="167"/>
      <c r="F65" s="167"/>
      <c r="G65" s="167"/>
      <c r="H65" s="167"/>
      <c r="I65" s="167"/>
      <c r="J65" s="167"/>
      <c r="K65" s="167"/>
      <c r="L65" s="167"/>
      <c r="M65" s="167"/>
      <c r="N65" s="167"/>
      <c r="O65" s="197"/>
      <c r="P65" s="198"/>
      <c r="Q65" s="199"/>
      <c r="R65" s="198"/>
      <c r="S65" s="198"/>
      <c r="T65" s="198"/>
      <c r="U65" s="198"/>
      <c r="V65" s="198"/>
      <c r="W65" s="198"/>
      <c r="X65" s="950"/>
      <c r="Y65" s="950"/>
      <c r="Z65" s="950"/>
      <c r="AA65" s="950"/>
      <c r="AB65" s="950"/>
      <c r="AC65" s="950"/>
      <c r="AD65" s="950"/>
      <c r="AE65" s="950"/>
      <c r="AF65" s="950"/>
      <c r="AG65" s="950"/>
      <c r="AH65" s="166">
        <v>12130.266</v>
      </c>
      <c r="AI65" s="166">
        <v>13227.014999999999</v>
      </c>
      <c r="AJ65" s="166">
        <v>14142.786</v>
      </c>
      <c r="AK65" s="166">
        <v>14430.174000000001</v>
      </c>
      <c r="AL65" s="166">
        <v>14644.602000000001</v>
      </c>
      <c r="AM65" s="166">
        <v>15314.95</v>
      </c>
      <c r="AN65" s="166">
        <v>16279.441999999999</v>
      </c>
      <c r="AO65" s="166">
        <v>17272.241999999998</v>
      </c>
      <c r="AP65" s="166">
        <v>17821.215</v>
      </c>
      <c r="AQ65" s="166">
        <v>16634.598000000002</v>
      </c>
    </row>
    <row r="66" spans="2:43" outlineLevel="1">
      <c r="B66" s="75"/>
      <c r="E66" s="167"/>
      <c r="F66" s="167"/>
      <c r="G66" s="167"/>
      <c r="H66" s="167"/>
      <c r="I66" s="167"/>
      <c r="J66" s="167"/>
      <c r="K66" s="167"/>
      <c r="L66" s="167"/>
      <c r="M66" s="167"/>
      <c r="N66" s="167"/>
      <c r="O66" s="197"/>
      <c r="P66" s="198"/>
      <c r="Q66" s="199"/>
      <c r="R66" s="198"/>
      <c r="S66" s="198"/>
      <c r="T66" s="198"/>
      <c r="U66" s="198"/>
      <c r="V66" s="198"/>
      <c r="W66" s="198"/>
      <c r="X66" s="950"/>
      <c r="Y66" s="950"/>
      <c r="Z66" s="950"/>
      <c r="AA66" s="950"/>
      <c r="AB66" s="950"/>
      <c r="AC66" s="950"/>
      <c r="AD66" s="950"/>
      <c r="AE66" s="950"/>
      <c r="AF66" s="950"/>
      <c r="AG66" s="950"/>
      <c r="AH66" s="596"/>
      <c r="AI66" s="596"/>
      <c r="AJ66" s="596"/>
      <c r="AK66" s="596"/>
      <c r="AL66" s="596"/>
      <c r="AM66" s="596"/>
      <c r="AN66" s="596"/>
      <c r="AO66" s="596"/>
      <c r="AP66" s="596"/>
      <c r="AQ66" s="596"/>
    </row>
    <row r="67" spans="2:43" outlineLevel="1">
      <c r="B67" s="204" t="s">
        <v>30</v>
      </c>
      <c r="C67" s="165" t="s">
        <v>31</v>
      </c>
      <c r="E67" s="167"/>
      <c r="F67" s="167"/>
      <c r="G67" s="167"/>
      <c r="H67" s="167"/>
      <c r="I67" s="167"/>
      <c r="J67" s="167"/>
      <c r="K67" s="167"/>
      <c r="L67" s="167"/>
      <c r="M67" s="167"/>
      <c r="N67" s="167"/>
      <c r="O67" s="197"/>
      <c r="P67" s="198"/>
      <c r="Q67" s="199"/>
      <c r="R67" s="198"/>
      <c r="S67" s="198"/>
      <c r="T67" s="198"/>
      <c r="U67" s="198"/>
      <c r="V67" s="198"/>
      <c r="W67" s="198"/>
      <c r="X67" s="950"/>
      <c r="Y67" s="950"/>
      <c r="Z67" s="950"/>
      <c r="AA67" s="950"/>
      <c r="AB67" s="950"/>
      <c r="AC67" s="950"/>
      <c r="AD67" s="950"/>
      <c r="AE67" s="950"/>
      <c r="AF67" s="950"/>
      <c r="AG67" s="950"/>
      <c r="AH67" s="596">
        <v>13855.146999999999</v>
      </c>
      <c r="AI67" s="596">
        <v>15005.888000000001</v>
      </c>
      <c r="AJ67" s="596">
        <v>16009.234</v>
      </c>
      <c r="AK67" s="596">
        <v>16350.619000000002</v>
      </c>
      <c r="AL67" s="596">
        <v>16677.406999999999</v>
      </c>
      <c r="AM67" s="596">
        <v>17295.326000000001</v>
      </c>
      <c r="AN67" s="596">
        <v>18377.278000000002</v>
      </c>
      <c r="AO67" s="596">
        <v>19485.445999999996</v>
      </c>
      <c r="AP67" s="596">
        <v>20424.248</v>
      </c>
      <c r="AQ67" s="596">
        <v>19260.234</v>
      </c>
    </row>
    <row r="68" spans="2:43" outlineLevel="1">
      <c r="B68" s="75"/>
      <c r="E68" s="167"/>
      <c r="F68" s="167"/>
      <c r="G68" s="167"/>
      <c r="H68" s="167"/>
      <c r="I68" s="167"/>
      <c r="J68" s="167"/>
      <c r="K68" s="167"/>
      <c r="L68" s="167"/>
      <c r="M68" s="167"/>
      <c r="N68" s="167"/>
      <c r="O68" s="197"/>
      <c r="P68" s="198"/>
      <c r="Q68" s="199"/>
      <c r="R68" s="198"/>
      <c r="S68" s="198"/>
      <c r="T68" s="198"/>
      <c r="U68" s="198"/>
      <c r="V68" s="198"/>
      <c r="W68" s="198"/>
      <c r="X68" s="950"/>
      <c r="Y68" s="950"/>
      <c r="Z68" s="950"/>
      <c r="AA68" s="950"/>
      <c r="AB68" s="950"/>
      <c r="AC68" s="950"/>
      <c r="AD68" s="950"/>
      <c r="AE68" s="950"/>
      <c r="AF68" s="950"/>
      <c r="AG68" s="950"/>
      <c r="AH68" s="597"/>
      <c r="AI68" s="597"/>
      <c r="AJ68" s="597"/>
      <c r="AK68" s="597"/>
      <c r="AL68" s="597"/>
      <c r="AM68" s="597"/>
      <c r="AN68" s="597"/>
      <c r="AO68" s="597"/>
      <c r="AP68" s="597"/>
      <c r="AQ68" s="597"/>
    </row>
    <row r="69" spans="2:43" outlineLevel="1">
      <c r="B69" s="204" t="s">
        <v>32</v>
      </c>
      <c r="C69" s="165" t="s">
        <v>33</v>
      </c>
      <c r="E69" s="167"/>
      <c r="F69" s="167"/>
      <c r="G69" s="167"/>
      <c r="H69" s="167"/>
      <c r="I69" s="167"/>
      <c r="J69" s="167"/>
      <c r="K69" s="167"/>
      <c r="L69" s="167"/>
      <c r="M69" s="167"/>
      <c r="N69" s="167"/>
      <c r="O69" s="197"/>
      <c r="P69" s="198"/>
      <c r="Q69" s="199"/>
      <c r="R69" s="198"/>
      <c r="S69" s="198"/>
      <c r="T69" s="198"/>
      <c r="U69" s="198"/>
      <c r="V69" s="198"/>
      <c r="W69" s="198"/>
      <c r="X69" s="950"/>
      <c r="Y69" s="950"/>
      <c r="Z69" s="950"/>
      <c r="AA69" s="950"/>
      <c r="AB69" s="950"/>
      <c r="AC69" s="950"/>
      <c r="AD69" s="950"/>
      <c r="AE69" s="950"/>
      <c r="AF69" s="950"/>
      <c r="AG69" s="950"/>
      <c r="AH69" s="596">
        <f t="shared" ref="AH69:AQ69" si="6">SUM(AH71:AH72)</f>
        <v>2179.3729999999996</v>
      </c>
      <c r="AI69" s="596">
        <f t="shared" si="6"/>
        <v>2409.404</v>
      </c>
      <c r="AJ69" s="596">
        <f t="shared" si="6"/>
        <v>2597.6779999999999</v>
      </c>
      <c r="AK69" s="596">
        <f t="shared" si="6"/>
        <v>2762.0390000000002</v>
      </c>
      <c r="AL69" s="596">
        <f t="shared" si="6"/>
        <v>2937.567</v>
      </c>
      <c r="AM69" s="596">
        <f t="shared" si="6"/>
        <v>3171.8149999999996</v>
      </c>
      <c r="AN69" s="596">
        <f t="shared" si="6"/>
        <v>3352.8339999999998</v>
      </c>
      <c r="AO69" s="596">
        <f t="shared" si="6"/>
        <v>3739.2829999999994</v>
      </c>
      <c r="AP69" s="596">
        <f t="shared" si="6"/>
        <v>3850.6469999999999</v>
      </c>
      <c r="AQ69" s="596">
        <f t="shared" si="6"/>
        <v>3760.6260000000002</v>
      </c>
    </row>
    <row r="70" spans="2:43" outlineLevel="1">
      <c r="B70" s="75"/>
      <c r="E70" s="167"/>
      <c r="F70" s="167"/>
      <c r="G70" s="167"/>
      <c r="H70" s="167"/>
      <c r="I70" s="167"/>
      <c r="J70" s="167"/>
      <c r="K70" s="167"/>
      <c r="L70" s="167"/>
      <c r="M70" s="167"/>
      <c r="N70" s="167"/>
      <c r="O70" s="197"/>
      <c r="P70" s="198"/>
      <c r="Q70" s="199"/>
      <c r="R70" s="198"/>
      <c r="S70" s="198"/>
      <c r="T70" s="198"/>
      <c r="U70" s="198"/>
      <c r="V70" s="198"/>
      <c r="W70" s="198"/>
      <c r="X70" s="950"/>
      <c r="Y70" s="950"/>
      <c r="Z70" s="950"/>
      <c r="AA70" s="950"/>
      <c r="AB70" s="950"/>
      <c r="AC70" s="950"/>
      <c r="AD70" s="950"/>
      <c r="AE70" s="950"/>
      <c r="AF70" s="950"/>
      <c r="AG70" s="950"/>
      <c r="AH70" s="597"/>
      <c r="AI70" s="597"/>
      <c r="AJ70" s="597"/>
      <c r="AK70" s="597"/>
      <c r="AL70" s="597"/>
      <c r="AM70" s="597"/>
      <c r="AN70" s="597"/>
      <c r="AO70" s="597"/>
      <c r="AP70" s="597"/>
      <c r="AQ70" s="597"/>
    </row>
    <row r="71" spans="2:43" outlineLevel="1">
      <c r="B71" s="75"/>
      <c r="C71" s="165" t="s">
        <v>34</v>
      </c>
      <c r="E71" s="167"/>
      <c r="F71" s="167"/>
      <c r="G71" s="167"/>
      <c r="H71" s="167"/>
      <c r="I71" s="167"/>
      <c r="J71" s="167"/>
      <c r="K71" s="167"/>
      <c r="L71" s="167"/>
      <c r="M71" s="167"/>
      <c r="N71" s="167"/>
      <c r="O71" s="197"/>
      <c r="P71" s="198"/>
      <c r="Q71" s="199"/>
      <c r="R71" s="198"/>
      <c r="S71" s="198"/>
      <c r="T71" s="198"/>
      <c r="U71" s="198"/>
      <c r="V71" s="198"/>
      <c r="W71" s="198"/>
      <c r="X71" s="950"/>
      <c r="Y71" s="950"/>
      <c r="Z71" s="950"/>
      <c r="AA71" s="950"/>
      <c r="AB71" s="950"/>
      <c r="AC71" s="950"/>
      <c r="AD71" s="950"/>
      <c r="AE71" s="950"/>
      <c r="AF71" s="950"/>
      <c r="AG71" s="950"/>
      <c r="AH71" s="596">
        <v>1482.0519999999999</v>
      </c>
      <c r="AI71" s="596">
        <v>1692.077</v>
      </c>
      <c r="AJ71" s="596">
        <v>1855.1869999999999</v>
      </c>
      <c r="AK71" s="596">
        <v>2000.1310000000001</v>
      </c>
      <c r="AL71" s="596">
        <v>2130.1280000000002</v>
      </c>
      <c r="AM71" s="596">
        <v>2298.1859999999997</v>
      </c>
      <c r="AN71" s="596">
        <v>2439.509</v>
      </c>
      <c r="AO71" s="596">
        <v>2698.4769999999999</v>
      </c>
      <c r="AP71" s="596">
        <v>2782.7849999999999</v>
      </c>
      <c r="AQ71" s="596">
        <v>2698.2860000000001</v>
      </c>
    </row>
    <row r="72" spans="2:43" outlineLevel="1">
      <c r="B72" s="75"/>
      <c r="C72" s="165" t="s">
        <v>35</v>
      </c>
      <c r="E72" s="167"/>
      <c r="F72" s="167"/>
      <c r="G72" s="167"/>
      <c r="H72" s="167"/>
      <c r="I72" s="167"/>
      <c r="J72" s="167"/>
      <c r="K72" s="167"/>
      <c r="L72" s="167"/>
      <c r="M72" s="167"/>
      <c r="N72" s="167"/>
      <c r="O72" s="197"/>
      <c r="P72" s="198"/>
      <c r="Q72" s="199"/>
      <c r="R72" s="198"/>
      <c r="S72" s="198"/>
      <c r="T72" s="198"/>
      <c r="U72" s="198"/>
      <c r="V72" s="198"/>
      <c r="W72" s="198"/>
      <c r="X72" s="950"/>
      <c r="Y72" s="950"/>
      <c r="Z72" s="950"/>
      <c r="AA72" s="950"/>
      <c r="AB72" s="950"/>
      <c r="AC72" s="950"/>
      <c r="AD72" s="950"/>
      <c r="AE72" s="950"/>
      <c r="AF72" s="950"/>
      <c r="AG72" s="950"/>
      <c r="AH72" s="596">
        <v>697.32099999999991</v>
      </c>
      <c r="AI72" s="596">
        <v>717.327</v>
      </c>
      <c r="AJ72" s="596">
        <v>742.49099999999999</v>
      </c>
      <c r="AK72" s="596">
        <v>761.90800000000002</v>
      </c>
      <c r="AL72" s="596">
        <v>807.43899999999996</v>
      </c>
      <c r="AM72" s="596">
        <v>873.62900000000002</v>
      </c>
      <c r="AN72" s="596">
        <v>913.32500000000005</v>
      </c>
      <c r="AO72" s="596">
        <v>1040.8059999999998</v>
      </c>
      <c r="AP72" s="596">
        <v>1067.8620000000001</v>
      </c>
      <c r="AQ72" s="596">
        <v>1062.3400000000001</v>
      </c>
    </row>
    <row r="73" spans="2:43" outlineLevel="1">
      <c r="B73" s="75"/>
      <c r="E73" s="167"/>
      <c r="F73" s="167"/>
      <c r="G73" s="167"/>
      <c r="H73" s="167"/>
      <c r="I73" s="167"/>
      <c r="J73" s="167"/>
      <c r="K73" s="167"/>
      <c r="L73" s="167"/>
      <c r="M73" s="167"/>
      <c r="N73" s="167"/>
      <c r="O73" s="197"/>
      <c r="P73" s="198"/>
      <c r="Q73" s="199"/>
      <c r="R73" s="198"/>
      <c r="S73" s="198"/>
      <c r="T73" s="198"/>
      <c r="U73" s="198"/>
      <c r="V73" s="198"/>
      <c r="W73" s="198"/>
      <c r="X73" s="950"/>
      <c r="Y73" s="950"/>
      <c r="Z73" s="950"/>
      <c r="AA73" s="950"/>
      <c r="AB73" s="950"/>
      <c r="AC73" s="950"/>
      <c r="AD73" s="950"/>
      <c r="AE73" s="950"/>
      <c r="AF73" s="950"/>
      <c r="AG73" s="950"/>
      <c r="AH73" s="596"/>
      <c r="AI73" s="596"/>
      <c r="AJ73" s="596"/>
      <c r="AK73" s="596"/>
      <c r="AL73" s="596"/>
      <c r="AM73" s="596"/>
      <c r="AN73" s="596"/>
      <c r="AO73" s="596"/>
      <c r="AP73" s="596"/>
      <c r="AQ73" s="596"/>
    </row>
    <row r="74" spans="2:43" outlineLevel="1">
      <c r="B74" s="204" t="s">
        <v>36</v>
      </c>
      <c r="C74" s="165" t="s">
        <v>37</v>
      </c>
      <c r="E74" s="167"/>
      <c r="F74" s="167"/>
      <c r="G74" s="167"/>
      <c r="H74" s="167"/>
      <c r="I74" s="167"/>
      <c r="J74" s="167"/>
      <c r="K74" s="167"/>
      <c r="L74" s="167"/>
      <c r="M74" s="167"/>
      <c r="N74" s="167"/>
      <c r="O74" s="197"/>
      <c r="P74" s="198"/>
      <c r="Q74" s="199"/>
      <c r="R74" s="198"/>
      <c r="S74" s="198"/>
      <c r="T74" s="198"/>
      <c r="U74" s="198"/>
      <c r="V74" s="198"/>
      <c r="W74" s="198"/>
      <c r="X74" s="950"/>
      <c r="Y74" s="950"/>
      <c r="Z74" s="950"/>
      <c r="AA74" s="950"/>
      <c r="AB74" s="950"/>
      <c r="AC74" s="950"/>
      <c r="AD74" s="950"/>
      <c r="AE74" s="950"/>
      <c r="AF74" s="950"/>
      <c r="AG74" s="950"/>
      <c r="AH74" s="596">
        <v>2264.1650000000004</v>
      </c>
      <c r="AI74" s="596">
        <v>2519.5989999999997</v>
      </c>
      <c r="AJ74" s="596">
        <v>2694.8989999999999</v>
      </c>
      <c r="AK74" s="596">
        <v>2869.7809999999999</v>
      </c>
      <c r="AL74" s="596">
        <v>3052.2140000000004</v>
      </c>
      <c r="AM74" s="596">
        <v>3289.1289999999999</v>
      </c>
      <c r="AN74" s="596">
        <v>3474.2660000000001</v>
      </c>
      <c r="AO74" s="596">
        <v>3875.3030000000003</v>
      </c>
      <c r="AP74" s="596">
        <v>3976.6219999999998</v>
      </c>
      <c r="AQ74" s="596">
        <v>3871.9250000000002</v>
      </c>
    </row>
    <row r="75" spans="2:43" outlineLevel="1">
      <c r="B75" s="75"/>
      <c r="E75" s="167"/>
      <c r="F75" s="167"/>
      <c r="G75" s="167"/>
      <c r="H75" s="167"/>
      <c r="I75" s="167"/>
      <c r="J75" s="167"/>
      <c r="K75" s="167"/>
      <c r="L75" s="167"/>
      <c r="M75" s="167"/>
      <c r="N75" s="167"/>
      <c r="O75" s="197"/>
      <c r="P75" s="198"/>
      <c r="Q75" s="199"/>
      <c r="R75" s="198"/>
      <c r="S75" s="198"/>
      <c r="T75" s="198"/>
      <c r="U75" s="198"/>
      <c r="V75" s="198"/>
      <c r="W75" s="198"/>
      <c r="X75" s="950"/>
      <c r="Y75" s="950"/>
      <c r="Z75" s="950"/>
      <c r="AA75" s="950"/>
      <c r="AB75" s="950"/>
      <c r="AC75" s="950"/>
      <c r="AD75" s="950"/>
      <c r="AE75" s="950"/>
      <c r="AF75" s="950"/>
      <c r="AG75" s="950"/>
      <c r="AH75" s="596"/>
      <c r="AI75" s="596"/>
      <c r="AJ75" s="596"/>
      <c r="AK75" s="596"/>
      <c r="AL75" s="596"/>
      <c r="AM75" s="596"/>
      <c r="AN75" s="596"/>
      <c r="AO75" s="596"/>
      <c r="AP75" s="596"/>
      <c r="AQ75" s="596"/>
    </row>
    <row r="76" spans="2:43" outlineLevel="1">
      <c r="B76" s="204" t="s">
        <v>38</v>
      </c>
      <c r="C76" s="165" t="s">
        <v>39</v>
      </c>
      <c r="E76" s="167"/>
      <c r="F76" s="167"/>
      <c r="G76" s="167"/>
      <c r="H76" s="167"/>
      <c r="I76" s="167"/>
      <c r="J76" s="167"/>
      <c r="K76" s="167"/>
      <c r="L76" s="167"/>
      <c r="M76" s="167"/>
      <c r="N76" s="167"/>
      <c r="O76" s="197"/>
      <c r="P76" s="198"/>
      <c r="Q76" s="199"/>
      <c r="R76" s="198"/>
      <c r="S76" s="198"/>
      <c r="T76" s="198"/>
      <c r="U76" s="198"/>
      <c r="V76" s="198"/>
      <c r="W76" s="198"/>
      <c r="X76" s="950"/>
      <c r="Y76" s="950"/>
      <c r="Z76" s="950"/>
      <c r="AA76" s="950"/>
      <c r="AB76" s="950"/>
      <c r="AC76" s="950"/>
      <c r="AD76" s="950"/>
      <c r="AE76" s="950"/>
      <c r="AF76" s="950"/>
      <c r="AG76" s="950"/>
      <c r="AH76" s="596">
        <v>2372.9349999999999</v>
      </c>
      <c r="AI76" s="596">
        <v>2653.4470000000001</v>
      </c>
      <c r="AJ76" s="596">
        <v>2848.51</v>
      </c>
      <c r="AK76" s="596">
        <v>3036.665</v>
      </c>
      <c r="AL76" s="596">
        <v>3222.0259999999998</v>
      </c>
      <c r="AM76" s="596">
        <v>3462.509</v>
      </c>
      <c r="AN76" s="596">
        <v>3667.192</v>
      </c>
      <c r="AO76" s="596">
        <v>4090.1870000000004</v>
      </c>
      <c r="AP76" s="596">
        <v>4281.12</v>
      </c>
      <c r="AQ76" s="596">
        <v>4119.1230000000005</v>
      </c>
    </row>
    <row r="77" spans="2:43" outlineLevel="1">
      <c r="B77" s="204"/>
      <c r="E77" s="167"/>
      <c r="F77" s="167"/>
      <c r="G77" s="167"/>
      <c r="H77" s="167"/>
      <c r="I77" s="167"/>
      <c r="J77" s="167"/>
      <c r="K77" s="167"/>
      <c r="L77" s="167"/>
      <c r="M77" s="167"/>
      <c r="N77" s="167"/>
      <c r="O77" s="197"/>
      <c r="P77" s="198"/>
      <c r="Q77" s="199"/>
      <c r="R77" s="198"/>
      <c r="S77" s="198"/>
      <c r="T77" s="198"/>
      <c r="U77" s="198"/>
      <c r="V77" s="198"/>
      <c r="W77" s="198"/>
      <c r="X77" s="950"/>
      <c r="Y77" s="547"/>
      <c r="Z77" s="950"/>
      <c r="AA77" s="547"/>
      <c r="AB77" s="950"/>
      <c r="AC77" s="950"/>
      <c r="AD77" s="950"/>
      <c r="AE77" s="547"/>
      <c r="AF77" s="950"/>
      <c r="AG77" s="950"/>
      <c r="AH77" s="596"/>
      <c r="AI77" s="596"/>
      <c r="AJ77" s="596"/>
      <c r="AK77" s="596"/>
      <c r="AL77" s="596"/>
      <c r="AM77" s="596"/>
      <c r="AN77" s="596"/>
      <c r="AO77" s="596"/>
      <c r="AP77" s="596"/>
      <c r="AQ77" s="596"/>
    </row>
    <row r="78" spans="2:43" outlineLevel="1">
      <c r="B78" s="165" t="s">
        <v>40</v>
      </c>
      <c r="E78" s="167"/>
      <c r="F78" s="167"/>
      <c r="G78" s="167"/>
      <c r="H78" s="167"/>
      <c r="I78" s="167"/>
      <c r="J78" s="167"/>
      <c r="K78" s="167"/>
      <c r="L78" s="167"/>
      <c r="M78" s="167"/>
      <c r="N78" s="167"/>
      <c r="O78" s="197"/>
      <c r="P78" s="198"/>
      <c r="Q78" s="199"/>
      <c r="R78" s="198"/>
      <c r="S78" s="198"/>
      <c r="T78" s="198"/>
      <c r="U78" s="198"/>
      <c r="V78" s="198"/>
      <c r="W78" s="198"/>
      <c r="X78" s="950"/>
      <c r="Y78" s="547"/>
      <c r="Z78" s="950"/>
      <c r="AA78" s="547"/>
      <c r="AB78" s="950"/>
      <c r="AC78" s="950"/>
      <c r="AD78" s="950"/>
      <c r="AE78" s="547"/>
      <c r="AF78" s="950"/>
      <c r="AG78" s="950"/>
      <c r="AH78" s="596"/>
      <c r="AI78" s="596"/>
      <c r="AJ78" s="596"/>
      <c r="AK78" s="596"/>
      <c r="AL78" s="596"/>
      <c r="AM78" s="596"/>
      <c r="AN78" s="596"/>
      <c r="AO78" s="596"/>
      <c r="AP78" s="596"/>
      <c r="AQ78" s="596"/>
    </row>
    <row r="79" spans="2:43" outlineLevel="1">
      <c r="B79" s="75"/>
      <c r="E79" s="167"/>
      <c r="F79" s="167"/>
      <c r="G79" s="167"/>
      <c r="H79" s="167"/>
      <c r="I79" s="167"/>
      <c r="J79" s="167"/>
      <c r="K79" s="167"/>
      <c r="L79" s="167"/>
      <c r="M79" s="167"/>
      <c r="N79" s="167"/>
      <c r="O79" s="197"/>
      <c r="P79" s="198"/>
      <c r="Q79" s="199"/>
      <c r="R79" s="198"/>
      <c r="S79" s="198"/>
      <c r="T79" s="198"/>
      <c r="U79" s="198"/>
      <c r="V79" s="198"/>
      <c r="W79" s="198"/>
      <c r="X79" s="950"/>
      <c r="Y79" s="547"/>
      <c r="Z79" s="950"/>
      <c r="AA79" s="547"/>
      <c r="AB79" s="950"/>
      <c r="AC79" s="950"/>
      <c r="AD79" s="950"/>
      <c r="AE79" s="547"/>
      <c r="AF79" s="950"/>
      <c r="AG79" s="950"/>
      <c r="AH79" s="596"/>
      <c r="AI79" s="596"/>
      <c r="AJ79" s="596"/>
      <c r="AK79" s="596"/>
      <c r="AL79" s="596"/>
      <c r="AM79" s="596"/>
      <c r="AN79" s="596"/>
      <c r="AO79" s="596"/>
      <c r="AP79" s="596"/>
      <c r="AQ79" s="596"/>
    </row>
    <row r="80" spans="2:43" outlineLevel="1">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1753"/>
      <c r="Y80" s="971"/>
      <c r="Z80" s="1753"/>
      <c r="AA80" s="971"/>
      <c r="AB80" s="1753"/>
      <c r="AC80" s="1753"/>
      <c r="AD80" s="1753"/>
      <c r="AE80" s="971"/>
      <c r="AF80" s="1753"/>
      <c r="AG80" s="950"/>
      <c r="AH80" s="598">
        <f t="shared" ref="AH80:AQ80" si="7">AH69/AH67</f>
        <v>0.15729699583844184</v>
      </c>
      <c r="AI80" s="598">
        <f t="shared" si="7"/>
        <v>0.16056390664784381</v>
      </c>
      <c r="AJ80" s="598">
        <f t="shared" si="7"/>
        <v>0.16226122998764336</v>
      </c>
      <c r="AK80" s="598">
        <f t="shared" si="7"/>
        <v>0.16892565351807168</v>
      </c>
      <c r="AL80" s="598">
        <f t="shared" si="7"/>
        <v>0.17614051153155885</v>
      </c>
      <c r="AM80" s="598">
        <f t="shared" si="7"/>
        <v>0.18339145500928977</v>
      </c>
      <c r="AN80" s="598">
        <f t="shared" si="7"/>
        <v>0.18244453830431251</v>
      </c>
      <c r="AO80" s="598">
        <f t="shared" si="7"/>
        <v>0.19190132984382294</v>
      </c>
      <c r="AP80" s="598">
        <f t="shared" si="7"/>
        <v>0.1885331102520886</v>
      </c>
      <c r="AQ80" s="598">
        <f t="shared" si="7"/>
        <v>0.19525339100241462</v>
      </c>
    </row>
    <row r="81" spans="2:43" outlineLevel="1">
      <c r="B81" s="75"/>
      <c r="E81" s="167"/>
      <c r="F81" s="167"/>
      <c r="G81" s="167"/>
      <c r="H81" s="167"/>
      <c r="I81" s="167"/>
      <c r="J81" s="167"/>
      <c r="K81" s="167"/>
      <c r="L81" s="167"/>
      <c r="M81" s="167"/>
      <c r="N81" s="167"/>
      <c r="O81" s="197"/>
      <c r="P81" s="198"/>
      <c r="Q81" s="199"/>
      <c r="R81" s="198"/>
      <c r="S81" s="198"/>
      <c r="T81" s="198"/>
      <c r="U81" s="198"/>
      <c r="V81" s="198"/>
      <c r="W81" s="198"/>
      <c r="X81" s="950"/>
      <c r="Y81" s="547"/>
      <c r="Z81" s="950"/>
      <c r="AA81" s="547"/>
      <c r="AB81" s="950"/>
      <c r="AC81" s="950"/>
      <c r="AD81" s="950"/>
      <c r="AE81" s="547"/>
      <c r="AF81" s="950"/>
      <c r="AG81" s="950"/>
      <c r="AH81" s="596"/>
      <c r="AI81" s="596"/>
      <c r="AJ81" s="596"/>
      <c r="AK81" s="596"/>
      <c r="AL81" s="596"/>
      <c r="AM81" s="596"/>
      <c r="AN81" s="596"/>
      <c r="AO81" s="596"/>
      <c r="AP81" s="596"/>
      <c r="AQ81" s="596"/>
    </row>
    <row r="82" spans="2:43" outlineLevel="1">
      <c r="B82" s="204" t="s">
        <v>43</v>
      </c>
      <c r="C82" s="165" t="s">
        <v>44</v>
      </c>
      <c r="E82" s="167"/>
      <c r="F82" s="167"/>
      <c r="G82" s="167"/>
      <c r="H82" s="167"/>
      <c r="I82" s="167"/>
      <c r="J82" s="167"/>
      <c r="K82" s="167"/>
      <c r="L82" s="167"/>
      <c r="M82" s="167"/>
      <c r="N82" s="167"/>
      <c r="O82" s="197"/>
      <c r="P82" s="198"/>
      <c r="Q82" s="199"/>
      <c r="R82" s="198"/>
      <c r="S82" s="198"/>
      <c r="T82" s="198"/>
      <c r="U82" s="198"/>
      <c r="V82" s="198"/>
      <c r="W82" s="198"/>
      <c r="X82" s="1756"/>
      <c r="Y82" s="547"/>
      <c r="Z82" s="1756"/>
      <c r="AA82" s="547"/>
      <c r="AB82" s="1756"/>
      <c r="AC82" s="1756"/>
      <c r="AD82" s="1756"/>
      <c r="AE82" s="547"/>
      <c r="AF82" s="1756"/>
      <c r="AG82" s="950"/>
      <c r="AH82" s="599">
        <f t="shared" ref="AH82:AQ82" si="8">AH76/AH67</f>
        <v>0.1712673997612584</v>
      </c>
      <c r="AI82" s="599">
        <f t="shared" si="8"/>
        <v>0.17682705615289146</v>
      </c>
      <c r="AJ82" s="599">
        <f t="shared" si="8"/>
        <v>0.17792918761759621</v>
      </c>
      <c r="AK82" s="599">
        <f t="shared" si="8"/>
        <v>0.18572171487819511</v>
      </c>
      <c r="AL82" s="599">
        <f t="shared" si="8"/>
        <v>0.19319705995062661</v>
      </c>
      <c r="AM82" s="599">
        <f t="shared" si="8"/>
        <v>0.20019911738003665</v>
      </c>
      <c r="AN82" s="599">
        <f t="shared" si="8"/>
        <v>0.19955033601820682</v>
      </c>
      <c r="AO82" s="599">
        <f t="shared" si="8"/>
        <v>0.20990984758573147</v>
      </c>
      <c r="AP82" s="599">
        <f t="shared" si="8"/>
        <v>0.20960967571486597</v>
      </c>
      <c r="AQ82" s="599">
        <f t="shared" si="8"/>
        <v>0.21386671626107973</v>
      </c>
    </row>
    <row r="83" spans="2:43" outlineLevel="1">
      <c r="B83" s="75"/>
      <c r="E83" s="167"/>
      <c r="F83" s="167"/>
      <c r="G83" s="167"/>
      <c r="H83" s="167"/>
      <c r="I83" s="167"/>
      <c r="J83" s="167"/>
      <c r="K83" s="167"/>
      <c r="L83" s="167"/>
      <c r="M83" s="167"/>
      <c r="N83" s="167"/>
      <c r="O83" s="197"/>
      <c r="P83" s="198"/>
      <c r="Q83" s="199"/>
      <c r="R83" s="198"/>
      <c r="S83" s="198"/>
      <c r="T83" s="198"/>
      <c r="U83" s="198"/>
      <c r="V83" s="198"/>
      <c r="W83" s="198"/>
      <c r="X83" s="950"/>
      <c r="Y83" s="547"/>
      <c r="Z83" s="950"/>
      <c r="AA83" s="547"/>
      <c r="AB83" s="950"/>
      <c r="AC83" s="950"/>
      <c r="AD83" s="950"/>
      <c r="AE83" s="547"/>
      <c r="AF83" s="950"/>
      <c r="AG83" s="950"/>
      <c r="AH83" s="596"/>
      <c r="AI83" s="596"/>
      <c r="AJ83" s="596"/>
      <c r="AK83" s="596"/>
      <c r="AL83" s="596"/>
      <c r="AM83" s="596"/>
      <c r="AN83" s="596"/>
      <c r="AO83" s="596"/>
      <c r="AP83" s="596"/>
      <c r="AQ83" s="596"/>
    </row>
    <row r="84" spans="2:43" outlineLevel="1">
      <c r="B84" s="204" t="s">
        <v>45</v>
      </c>
      <c r="C84" s="165" t="s">
        <v>46</v>
      </c>
      <c r="E84" s="167"/>
      <c r="F84" s="167"/>
      <c r="G84" s="167"/>
      <c r="H84" s="167"/>
      <c r="I84" s="167"/>
      <c r="J84" s="167"/>
      <c r="K84" s="167"/>
      <c r="L84" s="167"/>
      <c r="M84" s="167"/>
      <c r="N84" s="167"/>
      <c r="O84" s="197"/>
      <c r="P84" s="198"/>
      <c r="Q84" s="199"/>
      <c r="R84" s="198"/>
      <c r="S84" s="198"/>
      <c r="T84" s="198"/>
      <c r="U84" s="198"/>
      <c r="V84" s="198"/>
      <c r="W84" s="198"/>
      <c r="X84" s="1756"/>
      <c r="Y84" s="547"/>
      <c r="Z84" s="1756"/>
      <c r="AA84" s="547"/>
      <c r="AB84" s="1756"/>
      <c r="AC84" s="1756"/>
      <c r="AD84" s="1756"/>
      <c r="AE84" s="547"/>
      <c r="AF84" s="1756"/>
      <c r="AG84" s="950"/>
      <c r="AH84" s="599">
        <f t="shared" ref="AH84:AQ84" si="9">AH76/AH65</f>
        <v>0.19562101935769588</v>
      </c>
      <c r="AI84" s="599">
        <f t="shared" si="9"/>
        <v>0.2006081493065518</v>
      </c>
      <c r="AJ84" s="599">
        <f t="shared" si="9"/>
        <v>0.2014108111372116</v>
      </c>
      <c r="AK84" s="599">
        <f t="shared" si="9"/>
        <v>0.21043855742834422</v>
      </c>
      <c r="AL84" s="599">
        <f t="shared" si="9"/>
        <v>0.22001458284765948</v>
      </c>
      <c r="AM84" s="599">
        <f t="shared" si="9"/>
        <v>0.22608686283664001</v>
      </c>
      <c r="AN84" s="599">
        <f t="shared" si="9"/>
        <v>0.22526521486424414</v>
      </c>
      <c r="AO84" s="599">
        <f t="shared" si="9"/>
        <v>0.23680695302902777</v>
      </c>
      <c r="AP84" s="599">
        <f t="shared" si="9"/>
        <v>0.24022604519388829</v>
      </c>
      <c r="AQ84" s="599">
        <f t="shared" si="9"/>
        <v>0.2476238379791324</v>
      </c>
    </row>
    <row r="85" spans="2:43"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outlineLevel="1">
      <c r="E86" s="167"/>
      <c r="F86" s="167"/>
      <c r="G86" s="167"/>
      <c r="H86" s="167"/>
      <c r="I86" s="167"/>
      <c r="J86" s="167"/>
      <c r="K86" s="167"/>
      <c r="L86" s="167"/>
      <c r="M86" s="167"/>
      <c r="N86" s="167"/>
      <c r="O86" s="197"/>
      <c r="P86" s="198"/>
      <c r="Q86" s="199"/>
      <c r="R86" s="198"/>
      <c r="S86" s="198"/>
      <c r="T86" s="198"/>
      <c r="U86" s="198"/>
      <c r="V86" s="198"/>
      <c r="W86" s="198"/>
      <c r="AG86" s="950"/>
      <c r="AJ86" s="547"/>
      <c r="AK86" s="547"/>
    </row>
    <row r="87" spans="2:43" ht="30"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950"/>
    </row>
    <row r="88" spans="2:43">
      <c r="O88" s="168"/>
      <c r="P88" s="168"/>
      <c r="Q88" s="168"/>
      <c r="R88" s="168"/>
      <c r="S88" s="168"/>
      <c r="T88" s="168"/>
      <c r="U88" s="168"/>
      <c r="V88" s="168"/>
      <c r="W88" s="168"/>
      <c r="X88" s="166"/>
      <c r="Y88" s="166"/>
      <c r="Z88" s="166"/>
      <c r="AA88" s="166"/>
      <c r="AB88" s="166"/>
      <c r="AC88" s="166"/>
      <c r="AD88" s="166"/>
      <c r="AE88" s="166"/>
      <c r="AF88" s="166"/>
      <c r="AG88" s="950"/>
    </row>
    <row r="89" spans="2:43">
      <c r="O89" s="168"/>
      <c r="P89" s="168"/>
      <c r="Q89" s="168"/>
      <c r="R89" s="168"/>
      <c r="S89" s="168"/>
      <c r="T89" s="168"/>
      <c r="U89" s="168"/>
      <c r="V89" s="168"/>
      <c r="W89" s="168"/>
      <c r="X89" s="166"/>
      <c r="Y89" s="166"/>
      <c r="Z89" s="166"/>
      <c r="AA89" s="166"/>
      <c r="AB89" s="166"/>
      <c r="AC89" s="166"/>
      <c r="AD89" s="166"/>
      <c r="AE89" s="166"/>
      <c r="AF89" s="166"/>
      <c r="AG89" s="950"/>
    </row>
    <row r="90" spans="2:43">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950"/>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950"/>
    </row>
    <row r="92" spans="2:43" ht="25.5" customHeight="1">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944"/>
      <c r="AD92" s="211">
        <v>2007</v>
      </c>
      <c r="AE92" s="196"/>
      <c r="AF92" s="211">
        <v>2009</v>
      </c>
      <c r="AG92" s="967">
        <v>2010</v>
      </c>
      <c r="AH92" s="967">
        <v>2011</v>
      </c>
      <c r="AI92" s="967">
        <v>2012</v>
      </c>
      <c r="AJ92" s="967">
        <v>2013</v>
      </c>
      <c r="AK92" s="967">
        <v>2014</v>
      </c>
      <c r="AL92" s="967">
        <v>2015</v>
      </c>
      <c r="AM92" s="967">
        <v>2016</v>
      </c>
      <c r="AN92" s="967">
        <v>2017</v>
      </c>
      <c r="AO92" s="967">
        <v>2018</v>
      </c>
      <c r="AP92" s="967">
        <v>2019</v>
      </c>
      <c r="AQ92" s="967">
        <v>2020</v>
      </c>
    </row>
    <row r="93" spans="2:43">
      <c r="R93" s="261"/>
      <c r="S93" s="261"/>
      <c r="T93" s="261"/>
      <c r="U93" s="261"/>
      <c r="V93" s="261"/>
      <c r="W93" s="261"/>
      <c r="X93" s="244"/>
      <c r="Y93" s="244"/>
      <c r="Z93" s="244"/>
      <c r="AA93" s="244"/>
      <c r="AB93" s="244"/>
      <c r="AC93" s="244"/>
      <c r="AD93" s="244"/>
      <c r="AE93" s="244"/>
      <c r="AF93" s="244"/>
      <c r="AG93" s="166"/>
      <c r="AH93" s="75"/>
    </row>
    <row r="94" spans="2:43">
      <c r="O94" s="168"/>
      <c r="P94" s="168"/>
      <c r="Q94" s="168"/>
      <c r="R94" s="168"/>
      <c r="S94" s="168"/>
      <c r="T94" s="168"/>
      <c r="U94" s="168"/>
      <c r="V94" s="168"/>
      <c r="W94" s="168"/>
      <c r="X94" s="166"/>
      <c r="Y94" s="166"/>
      <c r="Z94" s="166"/>
      <c r="AA94" s="166"/>
      <c r="AB94" s="166"/>
      <c r="AC94" s="166"/>
      <c r="AD94" s="166"/>
      <c r="AE94" s="166"/>
      <c r="AF94" s="166"/>
      <c r="AG94" s="166"/>
      <c r="AH94" s="75"/>
    </row>
    <row r="95" spans="2:43">
      <c r="B95" s="217" t="s">
        <v>49</v>
      </c>
      <c r="O95" s="168"/>
      <c r="P95" s="168"/>
      <c r="Q95" s="168"/>
      <c r="R95" s="168">
        <v>0</v>
      </c>
      <c r="S95" s="168"/>
      <c r="T95" s="168">
        <v>0</v>
      </c>
      <c r="U95" s="168"/>
      <c r="V95" s="168">
        <v>0</v>
      </c>
      <c r="W95" s="168"/>
      <c r="X95" s="273">
        <v>0</v>
      </c>
      <c r="Y95" s="273"/>
      <c r="Z95" s="273">
        <v>0</v>
      </c>
      <c r="AA95" s="273"/>
      <c r="AB95" s="273">
        <v>0</v>
      </c>
      <c r="AC95" s="273"/>
      <c r="AD95" s="273">
        <v>0</v>
      </c>
      <c r="AE95" s="273"/>
      <c r="AF95" s="273">
        <v>0</v>
      </c>
      <c r="AG95" s="949">
        <v>26.052782852687201</v>
      </c>
      <c r="AH95" s="949">
        <v>38.463591000000001</v>
      </c>
      <c r="AI95" s="949">
        <v>41.963764804999997</v>
      </c>
      <c r="AJ95" s="949">
        <v>37.693502851199995</v>
      </c>
      <c r="AK95" s="949">
        <v>43.413679986399998</v>
      </c>
      <c r="AL95" s="949">
        <v>44.745696660099995</v>
      </c>
      <c r="AM95" s="949">
        <f t="shared" ref="AM95:AP95" si="10">SUM(AM97:AM115)</f>
        <v>47.666831428999956</v>
      </c>
      <c r="AN95" s="949">
        <f t="shared" si="10"/>
        <v>56.69911339120285</v>
      </c>
      <c r="AO95" s="949">
        <f>SUM(AO97:AO115)</f>
        <v>57.036439530000003</v>
      </c>
      <c r="AP95" s="949">
        <f t="shared" si="10"/>
        <v>58.922114302000004</v>
      </c>
      <c r="AQ95" s="949">
        <f>SUM(AQ97:AQ115)</f>
        <v>54.604916720000006</v>
      </c>
    </row>
    <row r="96" spans="2:43">
      <c r="B96" s="217"/>
      <c r="O96" s="168"/>
      <c r="P96" s="168"/>
      <c r="Q96" s="168"/>
      <c r="R96" s="168"/>
      <c r="S96" s="168"/>
      <c r="T96" s="168"/>
      <c r="U96" s="168"/>
      <c r="V96" s="168"/>
      <c r="W96" s="168"/>
      <c r="X96" s="273"/>
      <c r="Y96" s="273"/>
      <c r="Z96" s="273"/>
      <c r="AA96" s="273"/>
      <c r="AB96" s="273"/>
      <c r="AC96" s="273"/>
      <c r="AD96" s="273"/>
      <c r="AE96" s="273"/>
      <c r="AF96" s="273"/>
      <c r="AG96" s="949"/>
      <c r="AH96" s="949"/>
      <c r="AI96" s="949"/>
      <c r="AJ96" s="949"/>
      <c r="AK96" s="949"/>
      <c r="AL96" s="949"/>
      <c r="AM96" s="949"/>
      <c r="AN96" s="949"/>
      <c r="AO96" s="949"/>
      <c r="AP96" s="949"/>
      <c r="AQ96" s="949"/>
    </row>
    <row r="97" spans="2:43">
      <c r="B97" s="217"/>
      <c r="O97" s="168"/>
      <c r="P97" s="168"/>
      <c r="Q97" s="168"/>
      <c r="R97" s="168"/>
      <c r="S97" s="168"/>
      <c r="T97" s="168"/>
      <c r="U97" s="168"/>
      <c r="V97" s="168"/>
      <c r="W97" s="168"/>
      <c r="X97" s="273"/>
      <c r="Y97" s="273"/>
      <c r="Z97" s="273"/>
      <c r="AA97" s="273"/>
      <c r="AB97" s="273"/>
      <c r="AC97" s="273"/>
      <c r="AD97" s="273"/>
      <c r="AE97" s="273"/>
      <c r="AF97" s="273"/>
      <c r="AG97" s="949"/>
      <c r="AH97" s="949"/>
      <c r="AI97" s="949"/>
      <c r="AJ97" s="949"/>
      <c r="AK97" s="949"/>
      <c r="AL97" s="949"/>
      <c r="AM97" s="949"/>
      <c r="AN97" s="949"/>
      <c r="AO97" s="949"/>
      <c r="AP97" s="949"/>
      <c r="AQ97" s="949"/>
    </row>
    <row r="98" spans="2:43">
      <c r="B98" s="217"/>
      <c r="O98" s="168"/>
      <c r="P98" s="168"/>
      <c r="Q98" s="168"/>
      <c r="R98" s="168"/>
      <c r="S98" s="168"/>
      <c r="T98" s="168"/>
      <c r="U98" s="168"/>
      <c r="V98" s="168"/>
      <c r="W98" s="168"/>
      <c r="X98" s="273"/>
      <c r="Y98" s="273"/>
      <c r="Z98" s="273"/>
      <c r="AA98" s="273"/>
      <c r="AB98" s="273"/>
      <c r="AC98" s="273"/>
      <c r="AD98" s="273"/>
      <c r="AE98" s="273"/>
      <c r="AF98" s="273"/>
      <c r="AG98" s="970"/>
      <c r="AH98" s="970"/>
      <c r="AI98" s="970"/>
      <c r="AJ98" s="970"/>
      <c r="AK98" s="970"/>
      <c r="AL98" s="970"/>
      <c r="AM98" s="970"/>
      <c r="AN98" s="970"/>
      <c r="AO98" s="970"/>
      <c r="AP98" s="970"/>
      <c r="AQ98" s="970"/>
    </row>
    <row r="99" spans="2:43">
      <c r="B99" s="217" t="s">
        <v>50</v>
      </c>
      <c r="O99" s="168"/>
      <c r="P99" s="168"/>
      <c r="Q99" s="168"/>
      <c r="R99" s="168"/>
      <c r="S99" s="168"/>
      <c r="T99" s="168"/>
      <c r="U99" s="168"/>
      <c r="V99" s="168"/>
      <c r="W99" s="168"/>
      <c r="X99" s="273"/>
      <c r="Y99" s="273"/>
      <c r="Z99" s="273"/>
      <c r="AA99" s="273"/>
      <c r="AB99" s="273"/>
      <c r="AC99" s="273"/>
      <c r="AD99" s="273"/>
      <c r="AE99" s="273"/>
      <c r="AF99" s="273"/>
      <c r="AG99" s="970"/>
      <c r="AH99" s="970"/>
      <c r="AI99" s="970"/>
      <c r="AJ99" s="970"/>
      <c r="AK99" s="970"/>
      <c r="AL99" s="970"/>
      <c r="AM99" s="970"/>
      <c r="AN99" s="970"/>
      <c r="AO99" s="970"/>
      <c r="AP99" s="970"/>
      <c r="AQ99" s="970"/>
    </row>
    <row r="100" spans="2:43">
      <c r="B100" s="1135" t="s">
        <v>1692</v>
      </c>
      <c r="O100" s="168"/>
      <c r="P100" s="168"/>
      <c r="Q100" s="168"/>
      <c r="R100" s="168"/>
      <c r="S100" s="168"/>
      <c r="T100" s="168"/>
      <c r="U100" s="168"/>
      <c r="V100" s="168"/>
      <c r="W100" s="168"/>
      <c r="X100" s="273"/>
      <c r="Y100" s="273"/>
      <c r="Z100" s="273"/>
      <c r="AA100" s="273"/>
      <c r="AB100" s="273"/>
      <c r="AC100" s="273"/>
      <c r="AD100" s="273"/>
      <c r="AE100" s="273"/>
      <c r="AF100" s="273"/>
      <c r="AG100" s="970"/>
      <c r="AH100" s="970">
        <v>2.7987999999999999E-2</v>
      </c>
      <c r="AI100" s="970">
        <v>7.0390999999999995E-2</v>
      </c>
      <c r="AJ100" s="970">
        <v>0.38735599999999998</v>
      </c>
      <c r="AK100" s="970">
        <v>0.49210999999999999</v>
      </c>
      <c r="AL100" s="970">
        <v>0.56128500000000003</v>
      </c>
      <c r="AM100" s="970">
        <v>3.477233</v>
      </c>
      <c r="AN100" s="970">
        <v>3.885586</v>
      </c>
      <c r="AO100" s="970">
        <v>4.0042309999999999</v>
      </c>
      <c r="AP100" s="970">
        <v>3.9698500000000001</v>
      </c>
      <c r="AQ100" s="970">
        <v>4.206372</v>
      </c>
    </row>
    <row r="101" spans="2:43">
      <c r="B101" s="217"/>
      <c r="O101" s="168"/>
      <c r="P101" s="168"/>
      <c r="Q101" s="168"/>
      <c r="R101" s="168"/>
      <c r="S101" s="168"/>
      <c r="T101" s="168"/>
      <c r="U101" s="168"/>
      <c r="V101" s="168"/>
      <c r="W101" s="168"/>
      <c r="X101" s="273"/>
      <c r="Y101" s="273"/>
      <c r="Z101" s="273"/>
      <c r="AA101" s="273"/>
      <c r="AB101" s="273"/>
      <c r="AC101" s="273"/>
      <c r="AD101" s="273"/>
      <c r="AE101" s="273"/>
      <c r="AF101" s="273"/>
      <c r="AG101" s="970"/>
      <c r="AH101" s="970"/>
      <c r="AI101" s="970"/>
      <c r="AJ101" s="970"/>
      <c r="AK101" s="970"/>
      <c r="AL101" s="970"/>
      <c r="AM101" s="970"/>
      <c r="AN101" s="970"/>
      <c r="AO101" s="970"/>
      <c r="AP101" s="970"/>
      <c r="AQ101" s="970"/>
    </row>
    <row r="102" spans="2:43">
      <c r="B102" s="217"/>
      <c r="O102" s="168"/>
      <c r="P102" s="168"/>
      <c r="Q102" s="168"/>
      <c r="R102" s="168"/>
      <c r="S102" s="168"/>
      <c r="T102" s="168"/>
      <c r="U102" s="168"/>
      <c r="V102" s="168"/>
      <c r="W102" s="168"/>
      <c r="X102" s="273"/>
      <c r="Y102" s="273"/>
      <c r="Z102" s="273"/>
      <c r="AA102" s="273"/>
      <c r="AB102" s="273"/>
      <c r="AC102" s="273"/>
      <c r="AD102" s="273"/>
      <c r="AE102" s="273"/>
      <c r="AF102" s="273"/>
      <c r="AG102" s="970"/>
      <c r="AH102" s="970"/>
      <c r="AI102" s="970"/>
      <c r="AJ102" s="970"/>
      <c r="AK102" s="970"/>
      <c r="AL102" s="970"/>
      <c r="AM102" s="970"/>
      <c r="AN102" s="970"/>
      <c r="AO102" s="970"/>
      <c r="AP102" s="970"/>
      <c r="AQ102" s="970"/>
    </row>
    <row r="103" spans="2:43">
      <c r="B103" s="206" t="s">
        <v>56</v>
      </c>
      <c r="O103" s="168"/>
      <c r="P103" s="168"/>
      <c r="Q103" s="168"/>
      <c r="R103" s="168"/>
      <c r="S103" s="168"/>
      <c r="T103" s="168"/>
      <c r="U103" s="168"/>
      <c r="V103" s="168"/>
      <c r="W103" s="168"/>
      <c r="X103" s="273"/>
      <c r="Y103" s="273"/>
      <c r="Z103" s="273"/>
      <c r="AA103" s="273"/>
      <c r="AB103" s="273"/>
      <c r="AC103" s="273"/>
      <c r="AD103" s="273"/>
      <c r="AE103" s="273"/>
      <c r="AF103" s="273"/>
      <c r="AG103" s="970"/>
      <c r="AH103" s="970"/>
      <c r="AI103" s="970"/>
      <c r="AJ103" s="970"/>
      <c r="AK103" s="970"/>
      <c r="AL103" s="970"/>
      <c r="AM103" s="970"/>
      <c r="AN103" s="970"/>
      <c r="AO103" s="970"/>
      <c r="AP103" s="970"/>
      <c r="AQ103" s="970"/>
    </row>
    <row r="104" spans="2:43">
      <c r="B104" s="1135" t="s">
        <v>1303</v>
      </c>
      <c r="O104" s="168"/>
      <c r="P104" s="168"/>
      <c r="Q104" s="168"/>
      <c r="R104" s="168"/>
      <c r="S104" s="168"/>
      <c r="T104" s="168"/>
      <c r="U104" s="168"/>
      <c r="V104" s="168"/>
      <c r="W104" s="168"/>
      <c r="X104" s="273"/>
      <c r="Y104" s="273"/>
      <c r="Z104" s="273"/>
      <c r="AA104" s="273"/>
      <c r="AB104" s="273"/>
      <c r="AC104" s="273"/>
      <c r="AD104" s="273"/>
      <c r="AE104" s="273"/>
      <c r="AF104" s="273"/>
      <c r="AG104" s="970"/>
      <c r="AH104" s="970"/>
      <c r="AI104" s="970"/>
      <c r="AJ104" s="970"/>
      <c r="AK104" s="970">
        <v>1.8583159968</v>
      </c>
      <c r="AL104" s="970">
        <v>2.0967682233999998</v>
      </c>
      <c r="AM104" s="970">
        <v>2.32829009659996</v>
      </c>
      <c r="AN104" s="970">
        <v>2.53709651</v>
      </c>
      <c r="AO104" s="1795"/>
      <c r="AP104" s="1795"/>
      <c r="AQ104" s="1795"/>
    </row>
    <row r="105" spans="2:43">
      <c r="B105" s="1135"/>
      <c r="O105" s="168"/>
      <c r="P105" s="168"/>
      <c r="Q105" s="168"/>
      <c r="R105" s="168"/>
      <c r="S105" s="168"/>
      <c r="T105" s="168"/>
      <c r="U105" s="168"/>
      <c r="V105" s="168"/>
      <c r="W105" s="168"/>
      <c r="X105" s="273"/>
      <c r="Y105" s="273"/>
      <c r="Z105" s="273"/>
      <c r="AA105" s="273"/>
      <c r="AB105" s="273"/>
      <c r="AC105" s="273"/>
      <c r="AD105" s="273"/>
      <c r="AE105" s="273"/>
      <c r="AF105" s="273"/>
      <c r="AG105" s="970"/>
      <c r="AH105" s="970"/>
      <c r="AI105" s="970"/>
      <c r="AJ105" s="970"/>
      <c r="AK105" s="970"/>
      <c r="AL105" s="970"/>
      <c r="AM105" s="970"/>
      <c r="AN105" s="970"/>
      <c r="AO105" s="970"/>
      <c r="AP105" s="970"/>
      <c r="AQ105" s="970"/>
    </row>
    <row r="106" spans="2:43">
      <c r="B106" s="1135" t="s">
        <v>1304</v>
      </c>
      <c r="O106" s="168"/>
      <c r="P106" s="168"/>
      <c r="Q106" s="168"/>
      <c r="R106" s="168"/>
      <c r="S106" s="168"/>
      <c r="T106" s="168"/>
      <c r="U106" s="168"/>
      <c r="V106" s="168"/>
      <c r="W106" s="168"/>
      <c r="X106" s="273"/>
      <c r="Y106" s="273"/>
      <c r="Z106" s="273"/>
      <c r="AA106" s="273"/>
      <c r="AB106" s="273"/>
      <c r="AC106" s="273"/>
      <c r="AD106" s="273"/>
      <c r="AE106" s="273"/>
      <c r="AF106" s="273"/>
      <c r="AG106" s="970">
        <v>12.535500651675299</v>
      </c>
      <c r="AH106" s="970">
        <v>15.05</v>
      </c>
      <c r="AI106" s="970">
        <v>16.37</v>
      </c>
      <c r="AJ106" s="970">
        <v>13.679098656000001</v>
      </c>
      <c r="AK106" s="970">
        <v>15.257837111999999</v>
      </c>
      <c r="AL106" s="970">
        <v>15.9615631886</v>
      </c>
      <c r="AM106" s="970">
        <v>17.735178787699997</v>
      </c>
      <c r="AN106" s="970">
        <v>19.890748431600002</v>
      </c>
      <c r="AO106" s="970">
        <v>20.267852886000004</v>
      </c>
      <c r="AP106" s="970">
        <v>22.244491312000001</v>
      </c>
      <c r="AQ106" s="970">
        <v>22.659940907999999</v>
      </c>
    </row>
    <row r="107" spans="2:43">
      <c r="B107" s="1135" t="s">
        <v>1305</v>
      </c>
      <c r="O107" s="168"/>
      <c r="P107" s="168"/>
      <c r="Q107" s="168"/>
      <c r="R107" s="168"/>
      <c r="S107" s="168"/>
      <c r="T107" s="168"/>
      <c r="U107" s="168"/>
      <c r="V107" s="168"/>
      <c r="W107" s="168"/>
      <c r="X107" s="273"/>
      <c r="Y107" s="273"/>
      <c r="Z107" s="273"/>
      <c r="AA107" s="273"/>
      <c r="AB107" s="273"/>
      <c r="AC107" s="273"/>
      <c r="AD107" s="273"/>
      <c r="AE107" s="273"/>
      <c r="AF107" s="273"/>
      <c r="AG107" s="970"/>
      <c r="AH107" s="970"/>
      <c r="AI107" s="970"/>
      <c r="AJ107" s="970"/>
      <c r="AK107" s="970"/>
      <c r="AL107" s="970"/>
      <c r="AM107" s="970"/>
      <c r="AN107" s="970"/>
      <c r="AO107" s="970"/>
      <c r="AP107" s="970"/>
      <c r="AQ107" s="970"/>
    </row>
    <row r="108" spans="2:43">
      <c r="B108" s="1135"/>
      <c r="O108" s="168"/>
      <c r="P108" s="168"/>
      <c r="Q108" s="168"/>
      <c r="R108" s="168"/>
      <c r="S108" s="168"/>
      <c r="T108" s="168"/>
      <c r="U108" s="168"/>
      <c r="V108" s="168"/>
      <c r="W108" s="168"/>
      <c r="X108" s="273"/>
      <c r="Y108" s="273"/>
      <c r="Z108" s="273"/>
      <c r="AA108" s="273"/>
      <c r="AB108" s="273"/>
      <c r="AC108" s="273"/>
      <c r="AD108" s="273"/>
      <c r="AE108" s="273"/>
      <c r="AF108" s="273"/>
      <c r="AG108" s="970"/>
      <c r="AH108" s="970"/>
      <c r="AI108" s="970"/>
      <c r="AJ108" s="970"/>
      <c r="AK108" s="970"/>
      <c r="AL108" s="970"/>
      <c r="AM108" s="970"/>
      <c r="AN108" s="970"/>
      <c r="AO108" s="970"/>
      <c r="AP108" s="970"/>
      <c r="AQ108" s="970"/>
    </row>
    <row r="109" spans="2:43">
      <c r="B109" s="1135" t="s">
        <v>1306</v>
      </c>
      <c r="O109" s="168"/>
      <c r="P109" s="168"/>
      <c r="Q109" s="168"/>
      <c r="R109" s="168"/>
      <c r="S109" s="168"/>
      <c r="T109" s="168"/>
      <c r="U109" s="168"/>
      <c r="V109" s="168"/>
      <c r="W109" s="168"/>
      <c r="X109" s="273"/>
      <c r="Y109" s="273"/>
      <c r="Z109" s="273"/>
      <c r="AA109" s="273"/>
      <c r="AB109" s="273"/>
      <c r="AC109" s="273"/>
      <c r="AD109" s="273"/>
      <c r="AE109" s="273"/>
      <c r="AF109" s="273"/>
      <c r="AG109" s="970"/>
      <c r="AH109" s="970"/>
      <c r="AI109" s="970"/>
      <c r="AJ109" s="970">
        <v>3.1613242295999999</v>
      </c>
      <c r="AK109" s="970">
        <v>3.1625821608</v>
      </c>
      <c r="AL109" s="970">
        <v>2.9171699411000001</v>
      </c>
      <c r="AM109" s="970">
        <v>2.7774181300000005</v>
      </c>
      <c r="AN109" s="970">
        <v>2.7609902718999999</v>
      </c>
      <c r="AO109" s="970">
        <v>2.5011275560000006</v>
      </c>
      <c r="AP109" s="970">
        <v>2.471064782</v>
      </c>
      <c r="AQ109" s="970">
        <v>2.364515532</v>
      </c>
    </row>
    <row r="110" spans="2:43">
      <c r="B110" s="1135" t="s">
        <v>1307</v>
      </c>
      <c r="O110" s="168"/>
      <c r="P110" s="168"/>
      <c r="Q110" s="168"/>
      <c r="R110" s="168"/>
      <c r="S110" s="168"/>
      <c r="T110" s="168"/>
      <c r="U110" s="168"/>
      <c r="V110" s="168"/>
      <c r="W110" s="168"/>
      <c r="X110" s="273"/>
      <c r="Y110" s="273"/>
      <c r="Z110" s="273"/>
      <c r="AA110" s="273"/>
      <c r="AB110" s="273"/>
      <c r="AC110" s="273"/>
      <c r="AD110" s="273"/>
      <c r="AE110" s="273"/>
      <c r="AF110" s="273"/>
      <c r="AG110" s="970">
        <v>13.5172822010119</v>
      </c>
      <c r="AH110" s="970">
        <v>22.55</v>
      </c>
      <c r="AI110" s="970">
        <v>24.324181804999998</v>
      </c>
      <c r="AJ110" s="970">
        <v>10.581447607199999</v>
      </c>
      <c r="AK110" s="970">
        <v>11.397185990399999</v>
      </c>
      <c r="AL110" s="970">
        <v>11.202564492200001</v>
      </c>
      <c r="AM110" s="970">
        <v>10.146710907400001</v>
      </c>
      <c r="AN110" s="970">
        <v>13.128224882602256</v>
      </c>
      <c r="AP110" s="970"/>
      <c r="AQ110" s="970"/>
    </row>
    <row r="111" spans="2:43">
      <c r="B111" s="1135" t="s">
        <v>1308</v>
      </c>
      <c r="F111" s="165">
        <v>8.6533453583999975</v>
      </c>
      <c r="G111" s="165">
        <v>10.1208657264</v>
      </c>
      <c r="H111" s="165">
        <v>10.893758814800002</v>
      </c>
      <c r="I111" s="165">
        <v>9.9962585073000003</v>
      </c>
      <c r="O111" s="168"/>
      <c r="P111" s="168"/>
      <c r="Q111" s="168"/>
      <c r="R111" s="168"/>
      <c r="S111" s="168"/>
      <c r="T111" s="168"/>
      <c r="U111" s="168"/>
      <c r="V111" s="168"/>
      <c r="W111" s="168"/>
      <c r="X111" s="273"/>
      <c r="Y111" s="273"/>
      <c r="Z111" s="273"/>
      <c r="AA111" s="273"/>
      <c r="AB111" s="273"/>
      <c r="AC111" s="273"/>
      <c r="AD111" s="273"/>
      <c r="AE111" s="273"/>
      <c r="AF111" s="273"/>
      <c r="AG111" s="970"/>
      <c r="AH111" s="970"/>
      <c r="AI111" s="970"/>
      <c r="AJ111" s="970">
        <v>8.6533453583999975</v>
      </c>
      <c r="AK111" s="970">
        <v>10.1208657264</v>
      </c>
      <c r="AL111" s="970">
        <v>10.893758814800002</v>
      </c>
      <c r="AM111" s="970">
        <v>9.9962585073000003</v>
      </c>
      <c r="AN111" s="970">
        <v>13.294673295100598</v>
      </c>
      <c r="AO111" s="970"/>
      <c r="AP111" s="970"/>
      <c r="AQ111" s="970"/>
    </row>
    <row r="112" spans="2:43" ht="14.45" customHeight="1">
      <c r="B112" s="1135" t="s">
        <v>1693</v>
      </c>
      <c r="O112" s="168"/>
      <c r="P112" s="168"/>
      <c r="Q112" s="168"/>
      <c r="R112" s="168"/>
      <c r="S112" s="168"/>
      <c r="T112" s="168"/>
      <c r="U112" s="168"/>
      <c r="V112" s="168"/>
      <c r="W112" s="168"/>
      <c r="X112" s="273"/>
      <c r="Y112" s="273"/>
      <c r="Z112" s="273"/>
      <c r="AA112" s="273"/>
      <c r="AB112" s="273"/>
      <c r="AC112" s="273"/>
      <c r="AD112" s="273"/>
      <c r="AE112" s="273"/>
      <c r="AF112" s="273"/>
      <c r="AG112" s="970"/>
      <c r="AH112" s="970"/>
      <c r="AI112" s="970"/>
      <c r="AJ112" s="970"/>
      <c r="AK112" s="970"/>
      <c r="AL112" s="970"/>
      <c r="AM112" s="970"/>
      <c r="AN112" s="970"/>
      <c r="AO112" s="970">
        <v>29.140768088000002</v>
      </c>
      <c r="AP112" s="970">
        <v>29.135900208000002</v>
      </c>
      <c r="AQ112" s="970">
        <v>24.342790280000003</v>
      </c>
    </row>
    <row r="113" spans="2:43">
      <c r="B113" s="1135" t="s">
        <v>1309</v>
      </c>
      <c r="O113" s="168"/>
      <c r="P113" s="168"/>
      <c r="Q113" s="168"/>
      <c r="R113" s="168"/>
      <c r="S113" s="168"/>
      <c r="T113" s="168"/>
      <c r="U113" s="168"/>
      <c r="V113" s="168"/>
      <c r="W113" s="168"/>
      <c r="X113" s="273"/>
      <c r="Y113" s="273"/>
      <c r="Z113" s="273"/>
      <c r="AA113" s="273"/>
      <c r="AB113" s="273"/>
      <c r="AC113" s="273"/>
      <c r="AD113" s="273"/>
      <c r="AE113" s="273"/>
      <c r="AF113" s="273"/>
      <c r="AG113" s="970"/>
      <c r="AH113" s="970">
        <v>0.460646</v>
      </c>
      <c r="AI113" s="970">
        <v>0.71669300000000002</v>
      </c>
      <c r="AJ113" s="970">
        <v>0.305004</v>
      </c>
      <c r="AK113" s="970">
        <v>0.23780100000000001</v>
      </c>
      <c r="AL113" s="970">
        <v>0.21033099999999999</v>
      </c>
      <c r="AM113" s="970">
        <v>0.185533</v>
      </c>
      <c r="AN113" s="970">
        <v>0.17599300000000001</v>
      </c>
      <c r="AO113" s="970">
        <v>0.138155</v>
      </c>
      <c r="AP113" s="968">
        <v>0.134987</v>
      </c>
      <c r="AQ113" s="968">
        <v>0.12245200000000001</v>
      </c>
    </row>
    <row r="114" spans="2:43">
      <c r="B114" s="1135" t="s">
        <v>1310</v>
      </c>
      <c r="O114" s="168"/>
      <c r="P114" s="168"/>
      <c r="Q114" s="168"/>
      <c r="R114" s="168"/>
      <c r="S114" s="168"/>
      <c r="T114" s="168"/>
      <c r="U114" s="168"/>
      <c r="V114" s="168"/>
      <c r="W114" s="168"/>
      <c r="X114" s="273"/>
      <c r="Y114" s="273"/>
      <c r="Z114" s="273"/>
      <c r="AA114" s="273"/>
      <c r="AB114" s="273"/>
      <c r="AC114" s="273"/>
      <c r="AD114" s="273"/>
      <c r="AE114" s="273"/>
      <c r="AF114" s="273"/>
      <c r="AG114" s="970"/>
      <c r="AH114" s="970"/>
      <c r="AI114" s="970"/>
      <c r="AJ114" s="970">
        <v>0.41736699999999999</v>
      </c>
      <c r="AK114" s="970">
        <v>0.37007200000000001</v>
      </c>
      <c r="AL114" s="970">
        <v>0.392397</v>
      </c>
      <c r="AM114" s="970">
        <v>0.41772900000000002</v>
      </c>
      <c r="AN114" s="970">
        <v>0.42638599999999999</v>
      </c>
      <c r="AO114" s="970">
        <v>0.39360499999999998</v>
      </c>
      <c r="AP114" s="968">
        <v>0.38682699999999998</v>
      </c>
      <c r="AQ114" s="968">
        <v>0.33853100000000003</v>
      </c>
    </row>
    <row r="115" spans="2:43">
      <c r="B115" s="1135" t="s">
        <v>1311</v>
      </c>
      <c r="O115" s="168"/>
      <c r="P115" s="168"/>
      <c r="Q115" s="168"/>
      <c r="R115" s="168"/>
      <c r="S115" s="168"/>
      <c r="T115" s="168"/>
      <c r="U115" s="168"/>
      <c r="V115" s="168"/>
      <c r="W115" s="168"/>
      <c r="X115" s="273"/>
      <c r="Y115" s="273"/>
      <c r="Z115" s="273"/>
      <c r="AA115" s="273"/>
      <c r="AB115" s="273"/>
      <c r="AC115" s="273"/>
      <c r="AD115" s="273"/>
      <c r="AE115" s="273"/>
      <c r="AF115" s="273"/>
      <c r="AG115" s="970"/>
      <c r="AH115" s="970">
        <v>0.37495699999999998</v>
      </c>
      <c r="AI115" s="970">
        <v>0.48249900000000001</v>
      </c>
      <c r="AJ115" s="970">
        <v>0.50856000000000001</v>
      </c>
      <c r="AK115" s="970">
        <v>0.51690999999999998</v>
      </c>
      <c r="AL115" s="970">
        <v>0.50985899999999995</v>
      </c>
      <c r="AM115" s="970">
        <v>0.60248000000000002</v>
      </c>
      <c r="AN115" s="970">
        <v>0.59941500000000003</v>
      </c>
      <c r="AO115" s="970">
        <v>0.5907</v>
      </c>
      <c r="AP115" s="968">
        <v>0.57899400000000001</v>
      </c>
      <c r="AQ115" s="968">
        <v>0.57031500000000002</v>
      </c>
    </row>
    <row r="116" spans="2:43">
      <c r="B116" s="1135"/>
      <c r="O116" s="168"/>
      <c r="P116" s="168"/>
      <c r="Q116" s="168"/>
      <c r="R116" s="168"/>
      <c r="S116" s="168"/>
      <c r="T116" s="168"/>
      <c r="U116" s="168"/>
      <c r="V116" s="168"/>
      <c r="W116" s="168"/>
      <c r="X116" s="273"/>
      <c r="Y116" s="273"/>
      <c r="Z116" s="273"/>
      <c r="AA116" s="273"/>
      <c r="AB116" s="273"/>
      <c r="AC116" s="273"/>
      <c r="AD116" s="273"/>
      <c r="AE116" s="273"/>
      <c r="AF116" s="273"/>
      <c r="AG116" s="970"/>
      <c r="AH116" s="970"/>
      <c r="AI116" s="970"/>
      <c r="AJ116" s="970"/>
      <c r="AK116" s="970"/>
      <c r="AL116" s="970"/>
      <c r="AM116" s="970"/>
      <c r="AN116" s="970"/>
      <c r="AO116" s="970"/>
      <c r="AP116" s="970"/>
      <c r="AQ116" s="970"/>
    </row>
    <row r="117" spans="2:43">
      <c r="B117" s="1134"/>
      <c r="O117" s="168"/>
      <c r="P117" s="168"/>
      <c r="Q117" s="168"/>
      <c r="R117" s="168"/>
      <c r="S117" s="168"/>
      <c r="T117" s="168"/>
      <c r="U117" s="168"/>
      <c r="V117" s="168"/>
      <c r="W117" s="168"/>
      <c r="X117" s="273"/>
      <c r="Y117" s="273"/>
      <c r="Z117" s="273"/>
      <c r="AA117" s="273"/>
      <c r="AB117" s="273"/>
      <c r="AC117" s="273"/>
      <c r="AD117" s="273"/>
      <c r="AE117" s="273"/>
      <c r="AF117" s="273"/>
      <c r="AG117" s="970"/>
      <c r="AH117" s="970"/>
      <c r="AI117" s="970"/>
      <c r="AJ117" s="970"/>
      <c r="AK117" s="970"/>
      <c r="AL117" s="970"/>
      <c r="AM117" s="970"/>
      <c r="AN117" s="970"/>
      <c r="AO117" s="970"/>
      <c r="AP117" s="970"/>
      <c r="AQ117" s="970"/>
    </row>
    <row r="118" spans="2:43">
      <c r="B118" s="1134"/>
      <c r="O118" s="168"/>
      <c r="P118" s="168"/>
      <c r="Q118" s="168"/>
      <c r="R118" s="168"/>
      <c r="S118" s="168"/>
      <c r="T118" s="168"/>
      <c r="U118" s="168"/>
      <c r="V118" s="168"/>
      <c r="W118" s="168"/>
      <c r="X118" s="273"/>
      <c r="Y118" s="273"/>
      <c r="Z118" s="273"/>
      <c r="AA118" s="273"/>
      <c r="AB118" s="273"/>
      <c r="AC118" s="273"/>
      <c r="AD118" s="273"/>
      <c r="AE118" s="273"/>
      <c r="AF118" s="273"/>
      <c r="AG118" s="970"/>
      <c r="AH118" s="970"/>
      <c r="AI118" s="970"/>
      <c r="AJ118" s="970"/>
      <c r="AK118" s="970"/>
      <c r="AL118" s="970"/>
      <c r="AM118" s="970"/>
      <c r="AN118" s="970"/>
      <c r="AO118" s="970"/>
      <c r="AP118" s="970"/>
      <c r="AQ118" s="970"/>
    </row>
    <row r="119" spans="2:43">
      <c r="B119" s="1134"/>
      <c r="O119" s="168"/>
      <c r="P119" s="168"/>
      <c r="Q119" s="168"/>
      <c r="R119" s="168"/>
      <c r="S119" s="168"/>
      <c r="T119" s="168"/>
      <c r="U119" s="168"/>
      <c r="V119" s="168"/>
      <c r="W119" s="168"/>
      <c r="X119" s="273"/>
      <c r="Y119" s="273"/>
      <c r="Z119" s="273"/>
      <c r="AA119" s="273"/>
      <c r="AB119" s="273"/>
      <c r="AC119" s="273"/>
      <c r="AD119" s="273"/>
      <c r="AE119" s="273"/>
      <c r="AF119" s="273"/>
      <c r="AG119" s="970"/>
      <c r="AH119" s="970"/>
      <c r="AI119" s="970"/>
      <c r="AJ119" s="970"/>
      <c r="AK119" s="970"/>
      <c r="AL119" s="970"/>
      <c r="AM119" s="970"/>
      <c r="AN119" s="970"/>
      <c r="AO119" s="970"/>
      <c r="AP119" s="970"/>
      <c r="AQ119" s="970"/>
    </row>
    <row r="120" spans="2:43">
      <c r="B120" s="217" t="s">
        <v>78</v>
      </c>
      <c r="O120" s="168"/>
      <c r="P120" s="168"/>
      <c r="Q120" s="168"/>
      <c r="R120" s="168">
        <v>0</v>
      </c>
      <c r="S120" s="168"/>
      <c r="T120" s="168">
        <v>0</v>
      </c>
      <c r="U120" s="168"/>
      <c r="V120" s="168">
        <v>100.9128</v>
      </c>
      <c r="W120" s="168"/>
      <c r="X120" s="273">
        <v>0</v>
      </c>
      <c r="Y120" s="273"/>
      <c r="Z120" s="273">
        <v>0</v>
      </c>
      <c r="AA120" s="273"/>
      <c r="AB120" s="273">
        <v>0</v>
      </c>
      <c r="AC120" s="273"/>
      <c r="AD120" s="273">
        <v>0</v>
      </c>
      <c r="AE120" s="273"/>
      <c r="AF120" s="273">
        <v>0</v>
      </c>
      <c r="AG120" s="949">
        <v>0.22765948970125399</v>
      </c>
      <c r="AH120" s="949">
        <v>0.21</v>
      </c>
      <c r="AI120" s="949">
        <v>0.24758399249999999</v>
      </c>
      <c r="AJ120" s="949">
        <v>0.29794688400000002</v>
      </c>
      <c r="AK120" s="949">
        <v>0.32669354880000001</v>
      </c>
      <c r="AL120" s="949">
        <v>0.39313043939999998</v>
      </c>
      <c r="AM120" s="949">
        <f t="shared" ref="AM120:AQ120" si="11">AM121</f>
        <v>0.38162698249999999</v>
      </c>
      <c r="AN120" s="949">
        <f t="shared" si="11"/>
        <v>0.5103148460000001</v>
      </c>
      <c r="AO120" s="949">
        <f t="shared" si="11"/>
        <v>0</v>
      </c>
      <c r="AP120" s="949">
        <f t="shared" si="11"/>
        <v>0</v>
      </c>
      <c r="AQ120" s="949">
        <f t="shared" si="11"/>
        <v>0</v>
      </c>
    </row>
    <row r="121" spans="2:43">
      <c r="B121" s="165" t="s">
        <v>1312</v>
      </c>
      <c r="O121" s="168"/>
      <c r="P121" s="168"/>
      <c r="Q121" s="168"/>
      <c r="R121" s="168"/>
      <c r="S121" s="168"/>
      <c r="T121" s="168"/>
      <c r="U121" s="168"/>
      <c r="V121" s="168">
        <v>100.9128</v>
      </c>
      <c r="W121" s="168"/>
      <c r="X121" s="166"/>
      <c r="Y121" s="166"/>
      <c r="Z121" s="166"/>
      <c r="AA121" s="166"/>
      <c r="AB121" s="166"/>
      <c r="AC121" s="166"/>
      <c r="AD121" s="166"/>
      <c r="AE121" s="166"/>
      <c r="AF121" s="166"/>
      <c r="AG121" s="970">
        <v>0.22765948970125399</v>
      </c>
      <c r="AH121" s="970">
        <v>0.21</v>
      </c>
      <c r="AI121" s="970">
        <v>0.24758399249999999</v>
      </c>
      <c r="AJ121" s="970">
        <v>0.29794688400000002</v>
      </c>
      <c r="AK121" s="970">
        <v>0.32669354880000001</v>
      </c>
      <c r="AL121" s="970">
        <v>0.39313043939999998</v>
      </c>
      <c r="AM121" s="970">
        <v>0.38162698249999999</v>
      </c>
      <c r="AN121" s="970">
        <v>0.5103148460000001</v>
      </c>
      <c r="AO121" s="970"/>
      <c r="AP121" s="970"/>
      <c r="AQ121" s="970"/>
    </row>
    <row r="122" spans="2:43">
      <c r="O122" s="168"/>
      <c r="P122" s="168"/>
      <c r="Q122" s="168"/>
      <c r="R122" s="168"/>
      <c r="S122" s="168"/>
      <c r="T122" s="168"/>
      <c r="U122" s="168"/>
      <c r="V122" s="168"/>
      <c r="W122" s="168"/>
      <c r="X122" s="166"/>
      <c r="Y122" s="166"/>
      <c r="Z122" s="166"/>
      <c r="AA122" s="166"/>
      <c r="AB122" s="166"/>
      <c r="AC122" s="166"/>
      <c r="AD122" s="166"/>
      <c r="AE122" s="166"/>
      <c r="AF122" s="166"/>
      <c r="AG122" s="970"/>
      <c r="AH122" s="970"/>
      <c r="AI122" s="970"/>
      <c r="AJ122" s="970"/>
      <c r="AK122" s="970"/>
      <c r="AL122" s="970"/>
      <c r="AM122" s="970"/>
      <c r="AN122" s="970"/>
      <c r="AO122" s="970"/>
      <c r="AP122" s="970"/>
      <c r="AQ122" s="970"/>
    </row>
    <row r="123" spans="2:43">
      <c r="O123" s="168"/>
      <c r="P123" s="168"/>
      <c r="Q123" s="168"/>
      <c r="R123" s="168"/>
      <c r="S123" s="168"/>
      <c r="T123" s="168"/>
      <c r="U123" s="168"/>
      <c r="V123" s="168"/>
      <c r="W123" s="168"/>
      <c r="X123" s="166"/>
      <c r="Y123" s="166"/>
      <c r="Z123" s="166"/>
      <c r="AA123" s="166"/>
      <c r="AB123" s="166"/>
      <c r="AC123" s="166"/>
      <c r="AD123" s="166"/>
      <c r="AE123" s="166"/>
      <c r="AF123" s="166"/>
      <c r="AG123" s="970"/>
      <c r="AH123" s="970"/>
      <c r="AI123" s="970"/>
      <c r="AJ123" s="970"/>
      <c r="AK123" s="970"/>
      <c r="AL123" s="970"/>
      <c r="AM123" s="970"/>
      <c r="AN123" s="970"/>
      <c r="AO123" s="970"/>
      <c r="AP123" s="970"/>
      <c r="AQ123" s="970"/>
    </row>
    <row r="124" spans="2:43">
      <c r="O124" s="168"/>
      <c r="P124" s="168"/>
      <c r="Q124" s="168"/>
      <c r="R124" s="168"/>
      <c r="S124" s="168"/>
      <c r="T124" s="168"/>
      <c r="U124" s="168"/>
      <c r="V124" s="168"/>
      <c r="W124" s="168"/>
      <c r="X124" s="166"/>
      <c r="Y124" s="166"/>
      <c r="Z124" s="166"/>
      <c r="AA124" s="166"/>
      <c r="AB124" s="166"/>
      <c r="AC124" s="166"/>
      <c r="AD124" s="166"/>
      <c r="AE124" s="166"/>
      <c r="AF124" s="166"/>
      <c r="AG124" s="970"/>
      <c r="AH124" s="970"/>
      <c r="AI124" s="970"/>
      <c r="AJ124" s="970"/>
      <c r="AK124" s="970"/>
      <c r="AL124" s="970"/>
      <c r="AM124" s="970"/>
      <c r="AN124" s="970"/>
      <c r="AO124" s="970"/>
      <c r="AP124" s="970"/>
      <c r="AQ124" s="970"/>
    </row>
    <row r="125" spans="2:43">
      <c r="O125" s="168"/>
      <c r="P125" s="168"/>
      <c r="Q125" s="168"/>
      <c r="R125" s="168"/>
      <c r="S125" s="168"/>
      <c r="T125" s="168"/>
      <c r="U125" s="168"/>
      <c r="V125" s="168"/>
      <c r="W125" s="168"/>
      <c r="X125" s="166"/>
      <c r="Y125" s="166"/>
      <c r="Z125" s="166"/>
      <c r="AA125" s="166"/>
      <c r="AB125" s="166"/>
      <c r="AC125" s="166"/>
      <c r="AD125" s="166"/>
      <c r="AE125" s="166"/>
      <c r="AF125" s="166"/>
      <c r="AG125" s="970"/>
      <c r="AH125" s="970"/>
      <c r="AI125" s="970"/>
      <c r="AJ125" s="970"/>
      <c r="AK125" s="970"/>
      <c r="AL125" s="970"/>
      <c r="AM125" s="970"/>
      <c r="AN125" s="970"/>
      <c r="AO125" s="970"/>
      <c r="AP125" s="970"/>
      <c r="AQ125" s="970"/>
    </row>
    <row r="126" spans="2:43">
      <c r="O126" s="168"/>
      <c r="P126" s="168"/>
      <c r="Q126" s="168"/>
      <c r="R126" s="168"/>
      <c r="S126" s="168"/>
      <c r="T126" s="168"/>
      <c r="U126" s="168"/>
      <c r="V126" s="168"/>
      <c r="W126" s="168"/>
      <c r="X126" s="166"/>
      <c r="Y126" s="166"/>
      <c r="Z126" s="166"/>
      <c r="AA126" s="166"/>
      <c r="AB126" s="166"/>
      <c r="AC126" s="166"/>
      <c r="AD126" s="166"/>
      <c r="AE126" s="166"/>
      <c r="AF126" s="166"/>
      <c r="AG126" s="970"/>
      <c r="AH126" s="970"/>
      <c r="AI126" s="970"/>
      <c r="AJ126" s="970"/>
      <c r="AK126" s="970"/>
      <c r="AL126" s="970"/>
      <c r="AM126" s="970"/>
      <c r="AN126" s="970"/>
      <c r="AO126" s="970"/>
      <c r="AP126" s="970"/>
      <c r="AQ126" s="970"/>
    </row>
    <row r="127" spans="2:43" ht="13.5">
      <c r="B127" s="925" t="s">
        <v>90</v>
      </c>
      <c r="O127" s="168"/>
      <c r="P127" s="168"/>
      <c r="Q127" s="168"/>
      <c r="R127" s="168"/>
      <c r="S127" s="168"/>
      <c r="T127" s="168"/>
      <c r="U127" s="168"/>
      <c r="V127" s="168"/>
      <c r="W127" s="168"/>
      <c r="X127" s="166"/>
      <c r="Y127" s="166"/>
      <c r="Z127" s="166"/>
      <c r="AA127" s="166"/>
      <c r="AB127" s="166"/>
      <c r="AC127" s="166"/>
      <c r="AD127" s="166"/>
      <c r="AE127" s="166"/>
      <c r="AF127" s="166"/>
      <c r="AG127" s="970"/>
      <c r="AH127" s="970"/>
      <c r="AI127" s="970"/>
      <c r="AJ127" s="970"/>
      <c r="AK127" s="970"/>
      <c r="AL127" s="970"/>
      <c r="AM127" s="970"/>
      <c r="AN127" s="970"/>
      <c r="AO127" s="970"/>
      <c r="AP127" s="970"/>
      <c r="AQ127" s="970"/>
    </row>
    <row r="128" spans="2:43">
      <c r="B128" s="206" t="s">
        <v>110</v>
      </c>
      <c r="O128" s="168"/>
      <c r="P128" s="168"/>
      <c r="Q128" s="168"/>
      <c r="R128" s="168"/>
      <c r="S128" s="168"/>
      <c r="T128" s="168"/>
      <c r="U128" s="168"/>
      <c r="V128" s="168"/>
      <c r="W128" s="168"/>
      <c r="X128" s="273">
        <v>0</v>
      </c>
      <c r="Y128" s="273"/>
      <c r="Z128" s="273">
        <v>0</v>
      </c>
      <c r="AA128" s="273"/>
      <c r="AB128" s="273">
        <v>0</v>
      </c>
      <c r="AC128" s="273"/>
      <c r="AD128" s="273">
        <v>0</v>
      </c>
      <c r="AE128" s="273"/>
      <c r="AF128" s="273">
        <v>0</v>
      </c>
      <c r="AG128" s="1746">
        <v>3.3864349093061499</v>
      </c>
      <c r="AH128" s="1746">
        <v>5.55</v>
      </c>
      <c r="AI128" s="1746">
        <v>6.0448353299999997</v>
      </c>
      <c r="AJ128" s="1746">
        <v>16.251838797540881</v>
      </c>
      <c r="AK128" s="1746">
        <v>20.704425016799998</v>
      </c>
      <c r="AL128" s="1746">
        <v>23.204967207099997</v>
      </c>
      <c r="AM128" s="1746">
        <f t="shared" ref="AM128:AQ128" si="12">SUM(AM130:AM131)</f>
        <v>22.229573190600004</v>
      </c>
      <c r="AN128" s="1746">
        <f t="shared" si="12"/>
        <v>32.60429776509816</v>
      </c>
      <c r="AO128" s="1746">
        <f t="shared" si="12"/>
        <v>24.419033600000006</v>
      </c>
      <c r="AP128" s="1746">
        <f t="shared" si="12"/>
        <v>26.544599294000001</v>
      </c>
      <c r="AQ128" s="1746">
        <f t="shared" si="12"/>
        <v>26.170230935999999</v>
      </c>
    </row>
    <row r="129" spans="2:43">
      <c r="O129" s="168"/>
      <c r="P129" s="168"/>
      <c r="Q129" s="168"/>
      <c r="R129" s="168"/>
      <c r="S129" s="168"/>
      <c r="T129" s="168"/>
      <c r="U129" s="168"/>
      <c r="V129" s="168"/>
      <c r="W129" s="168"/>
      <c r="X129" s="166"/>
      <c r="Y129" s="166"/>
      <c r="Z129" s="166"/>
      <c r="AA129" s="166"/>
      <c r="AB129" s="166"/>
      <c r="AC129" s="166"/>
      <c r="AD129" s="166"/>
      <c r="AE129" s="166"/>
      <c r="AF129" s="166"/>
      <c r="AG129" s="950"/>
      <c r="AH129" s="950"/>
      <c r="AI129" s="950"/>
      <c r="AJ129" s="950"/>
      <c r="AK129" s="950"/>
      <c r="AL129" s="950"/>
      <c r="AM129" s="950"/>
      <c r="AN129" s="950"/>
      <c r="AO129" s="950"/>
      <c r="AP129" s="950"/>
      <c r="AQ129" s="950"/>
    </row>
    <row r="130" spans="2:43">
      <c r="C130" s="165" t="s">
        <v>1313</v>
      </c>
      <c r="D130" s="552"/>
      <c r="E130" s="552"/>
      <c r="F130" s="552"/>
      <c r="G130" s="552"/>
      <c r="H130" s="552"/>
      <c r="I130" s="552"/>
      <c r="J130" s="552"/>
      <c r="K130" s="552"/>
      <c r="L130" s="552"/>
      <c r="M130" s="552"/>
      <c r="N130" s="552"/>
      <c r="O130" s="554"/>
      <c r="P130" s="554"/>
      <c r="Q130" s="554"/>
      <c r="R130" s="554"/>
      <c r="S130" s="554"/>
      <c r="T130" s="554"/>
      <c r="U130" s="554"/>
      <c r="V130" s="554"/>
      <c r="W130" s="554"/>
      <c r="X130" s="820"/>
      <c r="Y130" s="820"/>
      <c r="Z130" s="820"/>
      <c r="AA130" s="820"/>
      <c r="AB130" s="820"/>
      <c r="AC130" s="820"/>
      <c r="AD130" s="820"/>
      <c r="AE130" s="820"/>
      <c r="AF130" s="820"/>
      <c r="AG130" s="950">
        <v>3.3864349093061499</v>
      </c>
      <c r="AH130" s="950">
        <v>5.55</v>
      </c>
      <c r="AI130" s="950">
        <v>6.0448353299999997</v>
      </c>
      <c r="AJ130" s="950">
        <v>15.966131450399999</v>
      </c>
      <c r="AK130" s="950">
        <v>20.061952612799999</v>
      </c>
      <c r="AL130" s="950">
        <v>22.404607468599998</v>
      </c>
      <c r="AM130" s="950">
        <v>21.632847611400003</v>
      </c>
      <c r="AN130" s="950">
        <v>27.19996590129816</v>
      </c>
      <c r="AO130" s="950">
        <v>21.148573102000004</v>
      </c>
      <c r="AP130" s="950">
        <v>21.123263486000003</v>
      </c>
      <c r="AQ130" s="950">
        <v>18.793691507999998</v>
      </c>
    </row>
    <row r="131" spans="2:43">
      <c r="C131" s="165" t="s">
        <v>1314</v>
      </c>
      <c r="D131" s="552"/>
      <c r="E131" s="552"/>
      <c r="F131" s="552"/>
      <c r="G131" s="552"/>
      <c r="H131" s="552"/>
      <c r="I131" s="552"/>
      <c r="J131" s="552"/>
      <c r="K131" s="552"/>
      <c r="L131" s="552"/>
      <c r="M131" s="552"/>
      <c r="N131" s="552"/>
      <c r="O131" s="554"/>
      <c r="P131" s="554"/>
      <c r="Q131" s="554"/>
      <c r="R131" s="554"/>
      <c r="S131" s="554"/>
      <c r="T131" s="554"/>
      <c r="U131" s="554"/>
      <c r="V131" s="554"/>
      <c r="W131" s="554"/>
      <c r="X131" s="820"/>
      <c r="Y131" s="820"/>
      <c r="Z131" s="820"/>
      <c r="AA131" s="820"/>
      <c r="AB131" s="820"/>
      <c r="AC131" s="820"/>
      <c r="AD131" s="820"/>
      <c r="AE131" s="820"/>
      <c r="AF131" s="820"/>
      <c r="AG131" s="554"/>
      <c r="AH131" s="554"/>
      <c r="AI131" s="950"/>
      <c r="AJ131" s="950">
        <v>0.28570734714088131</v>
      </c>
      <c r="AK131" s="950">
        <v>0.64247240399999994</v>
      </c>
      <c r="AL131" s="950">
        <v>0.80035973850000008</v>
      </c>
      <c r="AM131" s="950">
        <v>0.59672557920000013</v>
      </c>
      <c r="AN131" s="950">
        <v>5.4043318638000004</v>
      </c>
      <c r="AO131" s="950">
        <v>3.2704604980000003</v>
      </c>
      <c r="AP131" s="950">
        <v>5.4213358080000003</v>
      </c>
      <c r="AQ131" s="950">
        <v>7.376539428000001</v>
      </c>
    </row>
    <row r="132" spans="2:43">
      <c r="D132" s="552"/>
      <c r="E132" s="552"/>
      <c r="F132" s="552"/>
      <c r="G132" s="552"/>
      <c r="H132" s="552"/>
      <c r="I132" s="552"/>
      <c r="J132" s="552"/>
      <c r="K132" s="552"/>
      <c r="L132" s="552"/>
      <c r="M132" s="552"/>
      <c r="N132" s="552"/>
      <c r="O132" s="554"/>
      <c r="P132" s="554"/>
      <c r="Q132" s="554"/>
      <c r="R132" s="554"/>
      <c r="S132" s="554"/>
      <c r="T132" s="554"/>
      <c r="U132" s="554"/>
      <c r="V132" s="554"/>
      <c r="W132" s="554"/>
      <c r="X132" s="820"/>
      <c r="Y132" s="820"/>
      <c r="Z132" s="820"/>
      <c r="AA132" s="820"/>
      <c r="AB132" s="820"/>
      <c r="AC132" s="820"/>
      <c r="AD132" s="820"/>
      <c r="AE132" s="820"/>
      <c r="AF132" s="820"/>
      <c r="AG132" s="820"/>
      <c r="AH132" s="820"/>
      <c r="AI132" s="75"/>
      <c r="AJ132" s="75"/>
    </row>
    <row r="133" spans="2:43">
      <c r="D133" s="552"/>
      <c r="E133" s="552"/>
      <c r="F133" s="552"/>
      <c r="G133" s="552"/>
      <c r="H133" s="552"/>
      <c r="I133" s="552"/>
      <c r="J133" s="552"/>
      <c r="K133" s="552"/>
      <c r="L133" s="552"/>
      <c r="M133" s="552"/>
      <c r="N133" s="552"/>
      <c r="O133" s="554"/>
      <c r="P133" s="554"/>
      <c r="Q133" s="554"/>
      <c r="R133" s="554"/>
      <c r="S133" s="554"/>
      <c r="T133" s="554"/>
      <c r="U133" s="554"/>
      <c r="V133" s="554"/>
      <c r="W133" s="554"/>
      <c r="X133" s="820"/>
      <c r="Y133" s="820"/>
      <c r="Z133" s="820"/>
      <c r="AA133" s="820"/>
      <c r="AB133" s="820"/>
      <c r="AC133" s="820"/>
      <c r="AD133" s="820"/>
      <c r="AE133" s="820"/>
      <c r="AF133" s="820"/>
      <c r="AG133" s="820"/>
      <c r="AH133" s="820"/>
      <c r="AI133" s="75"/>
      <c r="AJ133" s="75"/>
    </row>
    <row r="134" spans="2:43">
      <c r="B134" s="172"/>
      <c r="C134" s="172"/>
      <c r="D134" s="172"/>
      <c r="E134" s="172"/>
      <c r="F134" s="172"/>
      <c r="G134" s="172"/>
      <c r="H134" s="172"/>
      <c r="I134" s="172"/>
      <c r="J134" s="172"/>
      <c r="K134" s="172"/>
      <c r="L134" s="172"/>
      <c r="M134" s="172"/>
      <c r="N134" s="172"/>
      <c r="O134" s="173"/>
      <c r="P134" s="173"/>
      <c r="Q134" s="173"/>
      <c r="R134" s="173"/>
      <c r="S134" s="173"/>
      <c r="T134" s="173"/>
      <c r="U134" s="173"/>
      <c r="V134" s="173"/>
      <c r="W134" s="173"/>
      <c r="X134" s="256"/>
      <c r="Y134" s="256"/>
      <c r="Z134" s="256"/>
      <c r="AA134" s="256"/>
      <c r="AB134" s="256"/>
      <c r="AC134" s="256"/>
      <c r="AD134" s="256"/>
      <c r="AE134" s="256"/>
      <c r="AF134" s="256"/>
      <c r="AG134" s="256"/>
      <c r="AH134" s="256"/>
      <c r="AI134" s="256"/>
      <c r="AJ134" s="256"/>
      <c r="AK134" s="256"/>
      <c r="AL134" s="256"/>
      <c r="AM134" s="256"/>
      <c r="AN134" s="256"/>
      <c r="AO134" s="256"/>
      <c r="AP134" s="256"/>
      <c r="AQ134" s="256"/>
    </row>
    <row r="135" spans="2:43">
      <c r="O135" s="168"/>
      <c r="P135" s="168"/>
      <c r="Q135" s="168"/>
      <c r="R135" s="168"/>
      <c r="S135" s="168"/>
      <c r="T135" s="168"/>
      <c r="U135" s="168"/>
      <c r="V135" s="168"/>
      <c r="W135" s="168"/>
      <c r="X135" s="166"/>
      <c r="Y135" s="166"/>
      <c r="Z135" s="166"/>
      <c r="AA135" s="166"/>
      <c r="AB135" s="166"/>
      <c r="AC135" s="166"/>
      <c r="AD135" s="166"/>
      <c r="AE135" s="166"/>
      <c r="AF135" s="166"/>
      <c r="AG135" s="950"/>
      <c r="AN135" s="623"/>
    </row>
    <row r="136" spans="2:43">
      <c r="B136" s="165" t="s">
        <v>1641</v>
      </c>
      <c r="O136" s="168"/>
      <c r="P136" s="168"/>
      <c r="Q136" s="168"/>
      <c r="R136" s="168"/>
      <c r="S136" s="168"/>
      <c r="T136" s="168"/>
      <c r="U136" s="168"/>
      <c r="V136" s="168"/>
      <c r="W136" s="168"/>
      <c r="X136" s="166"/>
      <c r="Y136" s="166"/>
      <c r="Z136" s="166"/>
      <c r="AA136" s="166"/>
      <c r="AB136" s="166"/>
      <c r="AC136" s="166"/>
      <c r="AD136" s="166"/>
      <c r="AE136" s="166"/>
      <c r="AF136" s="166"/>
      <c r="AG136" s="950"/>
      <c r="AN136" s="623"/>
    </row>
    <row r="137" spans="2:43">
      <c r="O137" s="168"/>
      <c r="P137" s="168"/>
      <c r="Q137" s="168"/>
      <c r="R137" s="168"/>
      <c r="S137" s="168"/>
      <c r="T137" s="168"/>
      <c r="U137" s="168"/>
      <c r="V137" s="168"/>
      <c r="W137" s="168"/>
      <c r="X137" s="166"/>
      <c r="Y137" s="166"/>
      <c r="Z137" s="166"/>
      <c r="AA137" s="166"/>
      <c r="AB137" s="166"/>
      <c r="AC137" s="166"/>
      <c r="AD137" s="166"/>
      <c r="AE137" s="166"/>
      <c r="AF137" s="166"/>
      <c r="AG137" s="950"/>
      <c r="AN137" s="623"/>
    </row>
    <row r="138" spans="2:43">
      <c r="O138" s="168"/>
      <c r="P138" s="168"/>
      <c r="Q138" s="168"/>
      <c r="R138" s="168"/>
      <c r="S138" s="168"/>
      <c r="T138" s="168"/>
      <c r="U138" s="168"/>
      <c r="V138" s="168"/>
      <c r="W138" s="168"/>
      <c r="X138" s="166"/>
      <c r="Y138" s="166"/>
      <c r="Z138" s="166"/>
      <c r="AA138" s="166"/>
      <c r="AB138" s="166"/>
      <c r="AC138" s="166"/>
      <c r="AD138" s="166"/>
      <c r="AE138" s="166"/>
      <c r="AF138" s="166"/>
      <c r="AG138" s="950"/>
      <c r="AN138" s="623"/>
    </row>
    <row r="139" spans="2:43">
      <c r="B139" s="165" t="s">
        <v>663</v>
      </c>
      <c r="O139" s="168"/>
      <c r="P139" s="168"/>
      <c r="Q139" s="168"/>
      <c r="R139" s="168"/>
      <c r="S139" s="168"/>
      <c r="T139" s="168"/>
      <c r="U139" s="168"/>
      <c r="V139" s="168"/>
      <c r="W139" s="168"/>
      <c r="X139" s="166"/>
      <c r="Y139" s="166"/>
      <c r="Z139" s="166"/>
      <c r="AA139" s="166"/>
      <c r="AB139" s="166"/>
      <c r="AC139" s="166"/>
      <c r="AD139" s="166"/>
      <c r="AE139" s="166"/>
      <c r="AF139" s="166"/>
      <c r="AG139" s="950"/>
      <c r="AN139" s="623"/>
    </row>
    <row r="140" spans="2:43">
      <c r="O140" s="168"/>
      <c r="P140" s="168"/>
      <c r="Q140" s="168"/>
      <c r="R140" s="168"/>
      <c r="S140" s="168"/>
      <c r="T140" s="168"/>
      <c r="U140" s="168"/>
      <c r="V140" s="168"/>
      <c r="W140" s="168"/>
      <c r="X140" s="166"/>
      <c r="Y140" s="166"/>
      <c r="Z140" s="166"/>
      <c r="AA140" s="166"/>
      <c r="AB140" s="166"/>
      <c r="AC140" s="166"/>
      <c r="AD140" s="166"/>
      <c r="AE140" s="166"/>
      <c r="AF140" s="166"/>
      <c r="AG140" s="950"/>
    </row>
    <row r="141" spans="2:43">
      <c r="C141" s="1796" t="s">
        <v>410</v>
      </c>
      <c r="D141" s="1513"/>
      <c r="E141" s="1513"/>
      <c r="O141" s="168"/>
      <c r="P141" s="168"/>
      <c r="Q141" s="168"/>
      <c r="R141" s="168"/>
      <c r="S141" s="168"/>
      <c r="T141" s="168"/>
      <c r="U141" s="168"/>
      <c r="V141" s="168"/>
      <c r="W141" s="168"/>
      <c r="X141" s="166"/>
      <c r="Y141" s="166"/>
      <c r="Z141" s="166"/>
      <c r="AA141" s="166"/>
      <c r="AB141" s="166"/>
      <c r="AC141" s="166"/>
      <c r="AD141" s="166"/>
      <c r="AE141" s="166"/>
      <c r="AF141" s="166"/>
      <c r="AG141" s="950"/>
    </row>
    <row r="142" spans="2:43">
      <c r="C142" s="1513" t="s">
        <v>664</v>
      </c>
      <c r="D142" s="1513"/>
      <c r="E142" s="1513"/>
      <c r="O142" s="168"/>
      <c r="P142" s="168"/>
      <c r="Q142" s="168"/>
      <c r="R142" s="168"/>
      <c r="S142" s="168"/>
      <c r="T142" s="168"/>
      <c r="U142" s="168"/>
      <c r="V142" s="168"/>
      <c r="W142" s="168"/>
      <c r="X142" s="166"/>
      <c r="Y142" s="166"/>
      <c r="Z142" s="166"/>
      <c r="AA142" s="166"/>
      <c r="AB142" s="166"/>
      <c r="AC142" s="166"/>
      <c r="AD142" s="166"/>
      <c r="AE142" s="166"/>
      <c r="AF142" s="166"/>
      <c r="AG142" s="950"/>
    </row>
    <row r="143" spans="2:43" ht="21">
      <c r="C143" s="1797" t="s">
        <v>665</v>
      </c>
      <c r="D143" s="1513"/>
      <c r="E143" s="1513" t="s">
        <v>666</v>
      </c>
      <c r="O143" s="168"/>
      <c r="P143" s="168"/>
      <c r="Q143" s="168"/>
      <c r="R143" s="168"/>
      <c r="S143" s="168"/>
      <c r="T143" s="168"/>
      <c r="U143" s="168"/>
      <c r="V143" s="168"/>
      <c r="W143" s="168"/>
      <c r="X143" s="166"/>
      <c r="Y143" s="166"/>
      <c r="Z143" s="166"/>
      <c r="AA143" s="166"/>
      <c r="AB143" s="166"/>
      <c r="AC143" s="166"/>
      <c r="AD143" s="166"/>
      <c r="AE143" s="166"/>
      <c r="AF143" s="166"/>
      <c r="AG143" s="950" t="s">
        <v>666</v>
      </c>
      <c r="AH143" s="547" t="s">
        <v>667</v>
      </c>
    </row>
    <row r="144" spans="2:43">
      <c r="C144" s="1797"/>
      <c r="D144" s="1513"/>
      <c r="E144" s="1513" t="s">
        <v>668</v>
      </c>
      <c r="AG144" s="547" t="s">
        <v>668</v>
      </c>
      <c r="AH144" s="547" t="s">
        <v>667</v>
      </c>
    </row>
    <row r="145" spans="3:35" ht="31.5">
      <c r="C145" s="1797" t="s">
        <v>669</v>
      </c>
      <c r="D145" s="1513"/>
      <c r="E145" s="1513" t="s">
        <v>670</v>
      </c>
      <c r="AG145" s="547" t="s">
        <v>670</v>
      </c>
      <c r="AH145" s="547" t="s">
        <v>667</v>
      </c>
    </row>
    <row r="146" spans="3:35" ht="21">
      <c r="C146" s="1797" t="s">
        <v>671</v>
      </c>
      <c r="D146" s="1513"/>
      <c r="E146" s="1513" t="s">
        <v>670</v>
      </c>
      <c r="AG146" s="547" t="s">
        <v>670</v>
      </c>
      <c r="AH146" s="547" t="s">
        <v>667</v>
      </c>
    </row>
    <row r="147" spans="3:35" ht="21">
      <c r="C147" s="1797" t="s">
        <v>672</v>
      </c>
      <c r="D147" s="1513"/>
      <c r="E147" s="1513" t="s">
        <v>670</v>
      </c>
      <c r="AG147" s="547" t="s">
        <v>670</v>
      </c>
      <c r="AH147" s="547" t="s">
        <v>667</v>
      </c>
    </row>
    <row r="148" spans="3:35" ht="21">
      <c r="C148" s="1797" t="s">
        <v>673</v>
      </c>
      <c r="D148" s="1513"/>
      <c r="E148" s="1513" t="s">
        <v>674</v>
      </c>
      <c r="AG148" s="547" t="s">
        <v>674</v>
      </c>
    </row>
    <row r="149" spans="3:35">
      <c r="C149" s="1513"/>
      <c r="D149" s="1513"/>
      <c r="E149" s="1513" t="s">
        <v>675</v>
      </c>
      <c r="AG149" s="547" t="s">
        <v>675</v>
      </c>
      <c r="AH149" s="547" t="s">
        <v>667</v>
      </c>
    </row>
    <row r="150" spans="3:35">
      <c r="C150" s="1796" t="s">
        <v>413</v>
      </c>
      <c r="D150" s="1513"/>
      <c r="E150" s="1513"/>
      <c r="AH150" s="547" t="s">
        <v>667</v>
      </c>
    </row>
    <row r="151" spans="3:35">
      <c r="C151" s="1513" t="s">
        <v>676</v>
      </c>
      <c r="D151" s="1513"/>
      <c r="E151" s="1513"/>
    </row>
    <row r="152" spans="3:35" ht="42">
      <c r="C152" s="1797" t="s">
        <v>677</v>
      </c>
      <c r="D152" s="1513"/>
      <c r="E152" s="1513" t="s">
        <v>670</v>
      </c>
      <c r="AG152" s="547" t="s">
        <v>670</v>
      </c>
    </row>
    <row r="153" spans="3:35" ht="21">
      <c r="C153" s="1797" t="s">
        <v>678</v>
      </c>
      <c r="D153" s="1513"/>
      <c r="E153" s="1513" t="s">
        <v>670</v>
      </c>
      <c r="AG153" s="547" t="s">
        <v>670</v>
      </c>
    </row>
    <row r="154" spans="3:35">
      <c r="C154" s="1513"/>
      <c r="D154" s="1513"/>
      <c r="E154" s="1513"/>
      <c r="AH154" s="547" t="s">
        <v>667</v>
      </c>
      <c r="AI154" s="165"/>
    </row>
    <row r="155" spans="3:35">
      <c r="C155" s="1796" t="s">
        <v>14</v>
      </c>
      <c r="D155" s="1513"/>
      <c r="E155" s="1513"/>
      <c r="AH155" s="547" t="s">
        <v>667</v>
      </c>
      <c r="AI155" s="165"/>
    </row>
    <row r="156" spans="3:35">
      <c r="C156" s="1513" t="s">
        <v>679</v>
      </c>
      <c r="D156" s="1513"/>
      <c r="E156" s="1513"/>
      <c r="AI156" s="165"/>
    </row>
    <row r="157" spans="3:35" ht="21">
      <c r="C157" s="1797" t="s">
        <v>680</v>
      </c>
      <c r="D157" s="1513"/>
      <c r="E157" s="1513" t="s">
        <v>670</v>
      </c>
      <c r="AG157" s="547" t="s">
        <v>670</v>
      </c>
      <c r="AH157" s="547" t="s">
        <v>667</v>
      </c>
      <c r="AI157" s="165"/>
    </row>
    <row r="158" spans="3:35" ht="42">
      <c r="C158" s="1797" t="s">
        <v>681</v>
      </c>
      <c r="D158" s="1513"/>
      <c r="E158" s="1513" t="s">
        <v>670</v>
      </c>
      <c r="AG158" s="547" t="s">
        <v>670</v>
      </c>
      <c r="AH158" s="547" t="s">
        <v>667</v>
      </c>
      <c r="AI158" s="165"/>
    </row>
    <row r="159" spans="3:35">
      <c r="C159" s="1798"/>
      <c r="D159" s="1513"/>
      <c r="E159" s="1513"/>
      <c r="AI159" s="165"/>
    </row>
    <row r="160" spans="3:35">
      <c r="C160" s="1513" t="s">
        <v>682</v>
      </c>
      <c r="D160" s="1513"/>
      <c r="E160" s="1513"/>
      <c r="AH160" s="547" t="s">
        <v>667</v>
      </c>
      <c r="AI160" s="165"/>
    </row>
    <row r="161" spans="3:35" ht="31.5">
      <c r="C161" s="1797" t="s">
        <v>683</v>
      </c>
      <c r="D161" s="1513"/>
      <c r="E161" s="1513" t="s">
        <v>670</v>
      </c>
      <c r="AG161" s="547" t="s">
        <v>670</v>
      </c>
      <c r="AH161" s="547" t="s">
        <v>667</v>
      </c>
      <c r="AI161" s="165"/>
    </row>
    <row r="162" spans="3:35" ht="31.5">
      <c r="C162" s="1797" t="s">
        <v>684</v>
      </c>
      <c r="D162" s="1513"/>
      <c r="E162" s="1513" t="s">
        <v>670</v>
      </c>
      <c r="AG162" s="547" t="s">
        <v>670</v>
      </c>
      <c r="AI162" s="165"/>
    </row>
    <row r="163" spans="3:35">
      <c r="C163" s="1513" t="s">
        <v>685</v>
      </c>
      <c r="D163" s="1513"/>
      <c r="E163" s="1513"/>
      <c r="AH163" s="547" t="s">
        <v>686</v>
      </c>
      <c r="AI163" s="165"/>
    </row>
    <row r="164" spans="3:35" ht="21">
      <c r="C164" s="1797" t="s">
        <v>687</v>
      </c>
      <c r="D164" s="1513"/>
      <c r="E164" s="1513" t="s">
        <v>688</v>
      </c>
      <c r="AG164" s="547" t="s">
        <v>688</v>
      </c>
      <c r="AI164" s="165"/>
    </row>
    <row r="165" spans="3:35">
      <c r="C165" s="1513"/>
      <c r="D165" s="1513"/>
      <c r="E165" s="1513"/>
      <c r="AH165" s="547" t="s">
        <v>686</v>
      </c>
      <c r="AI165" s="165"/>
    </row>
    <row r="166" spans="3:35">
      <c r="C166" s="1513" t="s">
        <v>689</v>
      </c>
      <c r="D166" s="1513"/>
      <c r="E166" s="1513"/>
      <c r="AH166" s="547" t="s">
        <v>686</v>
      </c>
      <c r="AI166" s="165"/>
    </row>
    <row r="167" spans="3:35" ht="31.5">
      <c r="C167" s="1797" t="s">
        <v>690</v>
      </c>
      <c r="D167" s="1513"/>
      <c r="E167" s="1513" t="s">
        <v>691</v>
      </c>
      <c r="AG167" s="547" t="s">
        <v>691</v>
      </c>
      <c r="AI167" s="165"/>
    </row>
    <row r="168" spans="3:35">
      <c r="C168" s="1513"/>
      <c r="D168" s="1513"/>
      <c r="E168" s="1513"/>
      <c r="AI168" s="165"/>
    </row>
    <row r="169" spans="3:35">
      <c r="C169" s="1513" t="s">
        <v>692</v>
      </c>
      <c r="D169" s="1513"/>
      <c r="E169" s="1513"/>
      <c r="AI169" s="165"/>
    </row>
    <row r="170" spans="3:35" ht="21">
      <c r="C170" s="1797" t="s">
        <v>693</v>
      </c>
      <c r="D170" s="1513"/>
      <c r="E170" s="1513" t="s">
        <v>688</v>
      </c>
      <c r="AG170" s="547" t="s">
        <v>688</v>
      </c>
      <c r="AH170" s="165"/>
      <c r="AI170" s="165"/>
    </row>
    <row r="171" spans="3:35" ht="31.5">
      <c r="C171" s="1797" t="s">
        <v>694</v>
      </c>
      <c r="D171" s="1513"/>
      <c r="E171" s="1513" t="s">
        <v>688</v>
      </c>
      <c r="AG171" s="547" t="s">
        <v>688</v>
      </c>
      <c r="AH171" s="165"/>
      <c r="AI171" s="165"/>
    </row>
  </sheetData>
  <mergeCells count="5">
    <mergeCell ref="B87:AF87"/>
    <mergeCell ref="B48:Z48"/>
    <mergeCell ref="B54:Z54"/>
    <mergeCell ref="B55:Z55"/>
    <mergeCell ref="B15:AQ15"/>
  </mergeCells>
  <hyperlinks>
    <hyperlink ref="B41" r:id="rId1" display="http://vm.fi/" xr:uid="{00000000-0004-0000-1900-000000000000}"/>
  </hyperlinks>
  <pageMargins left="0.70866141732283472" right="0.70866141732283472" top="0.74803149606299213" bottom="0.74803149606299213" header="0.31496062992125984" footer="0.31496062992125984"/>
  <pageSetup paperSize="9" scale="40"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R119"/>
  <sheetViews>
    <sheetView topLeftCell="B15" zoomScale="80" zoomScaleNormal="80" workbookViewId="0">
      <selection activeCell="B15" sqref="A1:XFD1048576"/>
    </sheetView>
  </sheetViews>
  <sheetFormatPr defaultColWidth="8.88671875" defaultRowHeight="12.75" outlineLevelRow="1"/>
  <cols>
    <col min="1" max="1" width="0" style="158" hidden="1" customWidth="1"/>
    <col min="2" max="2" width="5" style="158" customWidth="1"/>
    <col min="3" max="3" width="56.33203125" style="158" customWidth="1"/>
    <col min="4" max="23" width="8.88671875" style="158" hidden="1" customWidth="1"/>
    <col min="24" max="24" width="7.5546875" style="1030" hidden="1" customWidth="1"/>
    <col min="25" max="25" width="5.21875" style="1030" hidden="1" customWidth="1"/>
    <col min="26" max="26" width="8.33203125" style="1030" hidden="1" customWidth="1"/>
    <col min="27" max="27" width="1.33203125" style="1030" hidden="1" customWidth="1"/>
    <col min="28" max="28" width="8" style="1030" hidden="1" customWidth="1"/>
    <col min="29" max="29" width="1.5546875" style="1030" hidden="1" customWidth="1"/>
    <col min="30" max="30" width="8.21875" style="1030" hidden="1" customWidth="1"/>
    <col min="31" max="31" width="1.5546875" style="1030" hidden="1" customWidth="1"/>
    <col min="32" max="32" width="7.109375" style="1030" hidden="1" customWidth="1"/>
    <col min="33" max="34" width="8.109375" style="1030" customWidth="1"/>
    <col min="35" max="43" width="8.6640625" style="158" customWidth="1"/>
    <col min="44" max="44" width="8.109375" style="158" customWidth="1"/>
    <col min="45" max="16384" width="8.88671875" style="158"/>
  </cols>
  <sheetData>
    <row r="1" spans="1:43" ht="21.75" hidden="1" customHeight="1" outlineLevel="1">
      <c r="B1" s="158" t="s">
        <v>736</v>
      </c>
    </row>
    <row r="2" spans="1:43" ht="21.75" hidden="1" customHeight="1" outlineLevel="1"/>
    <row r="3" spans="1:43" ht="21.75" hidden="1" customHeight="1" outlineLevel="1">
      <c r="X3" s="1030" t="s">
        <v>737</v>
      </c>
    </row>
    <row r="4" spans="1:43" ht="21.75" hidden="1" customHeight="1" outlineLevel="1">
      <c r="B4" s="158" t="s">
        <v>738</v>
      </c>
      <c r="P4" s="158">
        <v>1993</v>
      </c>
      <c r="R4" s="158">
        <v>1995</v>
      </c>
      <c r="T4" s="158">
        <v>1997</v>
      </c>
      <c r="V4" s="158">
        <v>1999</v>
      </c>
      <c r="X4" s="1030">
        <v>2001</v>
      </c>
      <c r="Y4" s="1030">
        <v>2002</v>
      </c>
      <c r="Z4" s="1030">
        <v>2003</v>
      </c>
      <c r="AB4" s="1030">
        <v>2005</v>
      </c>
      <c r="AD4" s="1030">
        <v>2007</v>
      </c>
      <c r="AF4" s="1030">
        <v>2009</v>
      </c>
      <c r="AG4" s="1030">
        <v>2010</v>
      </c>
      <c r="AH4" s="1030">
        <v>2011</v>
      </c>
      <c r="AI4" s="1030">
        <v>2012</v>
      </c>
      <c r="AJ4" s="1030">
        <v>2013</v>
      </c>
      <c r="AK4" s="1030">
        <v>2014</v>
      </c>
      <c r="AL4" s="1030">
        <v>2015</v>
      </c>
      <c r="AM4" s="1030">
        <v>2016</v>
      </c>
      <c r="AN4" s="1030">
        <v>2017</v>
      </c>
      <c r="AO4" s="1030">
        <v>2018</v>
      </c>
      <c r="AP4" s="1030">
        <v>2019</v>
      </c>
      <c r="AQ4" s="1030">
        <v>2020</v>
      </c>
    </row>
    <row r="5" spans="1:43" ht="21.75" hidden="1" customHeight="1" outlineLevel="1"/>
    <row r="6" spans="1:43" ht="21.75" hidden="1" customHeight="1" outlineLevel="1">
      <c r="A6" s="158" t="s">
        <v>2</v>
      </c>
      <c r="B6" s="158" t="s">
        <v>3</v>
      </c>
      <c r="X6" s="1045">
        <f>X94</f>
        <v>66590</v>
      </c>
      <c r="Y6" s="1045"/>
      <c r="Z6" s="1045">
        <f>Z94</f>
        <v>50320</v>
      </c>
      <c r="AA6" s="1045"/>
      <c r="AB6" s="1045">
        <f>AB94</f>
        <v>77533.2</v>
      </c>
      <c r="AC6" s="1045"/>
      <c r="AD6" s="1045">
        <f>AD94</f>
        <v>99893.2</v>
      </c>
      <c r="AE6" s="1045"/>
      <c r="AF6" s="1045">
        <f t="shared" ref="AF6:AL6" si="0">AF94</f>
        <v>11382.5</v>
      </c>
      <c r="AG6" s="1045">
        <f t="shared" si="0"/>
        <v>12292.7</v>
      </c>
      <c r="AH6" s="1045">
        <f t="shared" si="0"/>
        <v>12326</v>
      </c>
      <c r="AI6" s="1045">
        <f t="shared" si="0"/>
        <v>14579</v>
      </c>
      <c r="AJ6" s="1045">
        <f t="shared" si="0"/>
        <v>15696</v>
      </c>
      <c r="AK6" s="1045">
        <f t="shared" si="0"/>
        <v>18032</v>
      </c>
      <c r="AL6" s="1045">
        <f t="shared" si="0"/>
        <v>18868</v>
      </c>
      <c r="AM6" s="1045">
        <f>AM94</f>
        <v>20009</v>
      </c>
      <c r="AN6" s="1045">
        <f>AN94</f>
        <v>24077</v>
      </c>
      <c r="AO6" s="1045">
        <f>AO94</f>
        <v>26846</v>
      </c>
      <c r="AP6" s="1045">
        <f t="shared" ref="AP6:AQ6" si="1">AP94</f>
        <v>30511</v>
      </c>
      <c r="AQ6" s="1045">
        <f t="shared" si="1"/>
        <v>32158</v>
      </c>
    </row>
    <row r="7" spans="1:43" ht="21.75" hidden="1" customHeight="1" outlineLevel="1">
      <c r="A7" s="158" t="s">
        <v>4</v>
      </c>
      <c r="B7" s="158" t="s">
        <v>5</v>
      </c>
      <c r="X7" s="1799">
        <f>X105</f>
        <v>12167</v>
      </c>
      <c r="Y7" s="1799"/>
      <c r="Z7" s="1799">
        <f>Z105</f>
        <v>15250</v>
      </c>
      <c r="AA7" s="1799"/>
      <c r="AB7" s="1799">
        <f>AB105</f>
        <v>10694.2</v>
      </c>
      <c r="AC7" s="1799"/>
      <c r="AD7" s="1799">
        <f>AD105</f>
        <v>17935.099999999999</v>
      </c>
      <c r="AE7" s="1799"/>
      <c r="AF7" s="1799">
        <f t="shared" ref="AF7:AL7" si="2">AF105</f>
        <v>9098.5</v>
      </c>
      <c r="AG7" s="1799">
        <f t="shared" si="2"/>
        <v>10143.199999999999</v>
      </c>
      <c r="AH7" s="1799">
        <f t="shared" si="2"/>
        <v>10196</v>
      </c>
      <c r="AI7" s="1799">
        <f t="shared" si="2"/>
        <v>11780</v>
      </c>
      <c r="AJ7" s="1799">
        <f t="shared" si="2"/>
        <v>11966</v>
      </c>
      <c r="AK7" s="1799">
        <f t="shared" si="2"/>
        <v>13330</v>
      </c>
      <c r="AL7" s="1799">
        <f t="shared" si="2"/>
        <v>14398</v>
      </c>
      <c r="AM7" s="1799">
        <f>AM105</f>
        <v>15443</v>
      </c>
      <c r="AN7" s="1799">
        <f>AN105</f>
        <v>18614</v>
      </c>
      <c r="AO7" s="1799">
        <f>AO105</f>
        <v>20754</v>
      </c>
      <c r="AP7" s="1799">
        <f t="shared" ref="AP7:AQ7" si="3">AP105</f>
        <v>27425</v>
      </c>
      <c r="AQ7" s="1799">
        <f t="shared" si="3"/>
        <v>27404</v>
      </c>
    </row>
    <row r="8" spans="1:43" ht="21.75" hidden="1" customHeight="1" outlineLevel="1">
      <c r="A8" s="158" t="s">
        <v>6</v>
      </c>
      <c r="X8" s="1045">
        <f>X6+X7</f>
        <v>78757</v>
      </c>
      <c r="Y8" s="1045"/>
      <c r="Z8" s="1045">
        <f>Z6+Z7</f>
        <v>65570</v>
      </c>
      <c r="AA8" s="1045"/>
      <c r="AB8" s="1045">
        <f>AB6+AB7</f>
        <v>88227.4</v>
      </c>
      <c r="AC8" s="1045"/>
      <c r="AD8" s="1045">
        <f>AD6+AD7</f>
        <v>117828.29999999999</v>
      </c>
      <c r="AE8" s="1045"/>
      <c r="AF8" s="1045">
        <f t="shared" ref="AF8:AL8" si="4">AF6+AF7</f>
        <v>20481</v>
      </c>
      <c r="AG8" s="1045">
        <f t="shared" si="4"/>
        <v>22435.9</v>
      </c>
      <c r="AH8" s="1045">
        <f t="shared" si="4"/>
        <v>22522</v>
      </c>
      <c r="AI8" s="1045">
        <f t="shared" si="4"/>
        <v>26359</v>
      </c>
      <c r="AJ8" s="1045">
        <f t="shared" si="4"/>
        <v>27662</v>
      </c>
      <c r="AK8" s="1045">
        <f t="shared" si="4"/>
        <v>31362</v>
      </c>
      <c r="AL8" s="1045">
        <f t="shared" si="4"/>
        <v>33266</v>
      </c>
      <c r="AM8" s="1045">
        <f>AM6+AM7</f>
        <v>35452</v>
      </c>
      <c r="AN8" s="1045">
        <f>AN6+AN7</f>
        <v>42691</v>
      </c>
      <c r="AO8" s="1045">
        <f>AO6+AO7</f>
        <v>47600</v>
      </c>
      <c r="AP8" s="1045">
        <f t="shared" ref="AP8:AQ8" si="5">AP6+AP7</f>
        <v>57936</v>
      </c>
      <c r="AQ8" s="1045">
        <f t="shared" si="5"/>
        <v>59562</v>
      </c>
    </row>
    <row r="9" spans="1:43" ht="21.75" hidden="1" customHeight="1" outlineLevel="1">
      <c r="X9" s="1045"/>
      <c r="Y9" s="1045"/>
      <c r="Z9" s="1045"/>
      <c r="AA9" s="1045"/>
      <c r="AB9" s="1045"/>
      <c r="AC9" s="1045"/>
      <c r="AD9" s="1045"/>
      <c r="AE9" s="1045"/>
      <c r="AF9" s="1045"/>
      <c r="AG9" s="1045"/>
      <c r="AH9" s="1045"/>
      <c r="AI9" s="1045"/>
      <c r="AJ9" s="1045"/>
      <c r="AK9" s="1045"/>
      <c r="AL9" s="1045"/>
      <c r="AM9" s="1045"/>
      <c r="AN9" s="1045"/>
      <c r="AO9" s="1045"/>
      <c r="AP9" s="1045"/>
      <c r="AQ9" s="1045"/>
    </row>
    <row r="10" spans="1:43" ht="19.5" hidden="1" customHeight="1" outlineLevel="1">
      <c r="B10" s="158" t="s">
        <v>110</v>
      </c>
      <c r="X10" s="1045">
        <f>Y10</f>
        <v>0</v>
      </c>
      <c r="Y10" s="1045"/>
      <c r="Z10" s="1045">
        <f>Z111</f>
        <v>6926.7</v>
      </c>
      <c r="AA10" s="1045"/>
      <c r="AB10" s="1045">
        <f>AB111</f>
        <v>9164.2000000000007</v>
      </c>
      <c r="AC10" s="1045"/>
      <c r="AD10" s="1045">
        <f>AD111</f>
        <v>21638</v>
      </c>
      <c r="AE10" s="1045"/>
      <c r="AF10" s="1045">
        <f t="shared" ref="AF10:AL10" si="6">AF111</f>
        <v>29373.1</v>
      </c>
      <c r="AG10" s="1045">
        <f t="shared" si="6"/>
        <v>35953.5</v>
      </c>
      <c r="AH10" s="1045">
        <f t="shared" si="6"/>
        <v>38563</v>
      </c>
      <c r="AI10" s="1045">
        <f t="shared" si="6"/>
        <v>36663</v>
      </c>
      <c r="AJ10" s="1045">
        <f t="shared" si="6"/>
        <v>34807</v>
      </c>
      <c r="AK10" s="1045">
        <f t="shared" si="6"/>
        <v>42804</v>
      </c>
      <c r="AL10" s="1045">
        <f t="shared" si="6"/>
        <v>45524</v>
      </c>
      <c r="AM10" s="1045">
        <f>AM111</f>
        <v>40605</v>
      </c>
      <c r="AN10" s="1045">
        <f>AN111</f>
        <v>46202</v>
      </c>
      <c r="AO10" s="1045">
        <f>AO111</f>
        <v>56502</v>
      </c>
      <c r="AP10" s="1045">
        <f t="shared" ref="AP10:AQ10" si="7">AP111</f>
        <v>62219</v>
      </c>
      <c r="AQ10" s="1045">
        <f t="shared" si="7"/>
        <v>69235</v>
      </c>
    </row>
    <row r="11" spans="1:43" ht="21.75" hidden="1" customHeight="1" outlineLevel="1">
      <c r="X11" s="1045"/>
      <c r="Y11" s="1045"/>
      <c r="Z11" s="1045"/>
      <c r="AA11" s="1045"/>
      <c r="AB11" s="1045"/>
      <c r="AC11" s="1045"/>
      <c r="AD11" s="1045"/>
      <c r="AE11" s="1045"/>
      <c r="AF11" s="1045"/>
      <c r="AG11" s="1045"/>
      <c r="AH11" s="1045"/>
      <c r="AI11" s="1045"/>
      <c r="AJ11" s="1045"/>
      <c r="AK11" s="1045"/>
      <c r="AL11" s="1045"/>
    </row>
    <row r="12" spans="1:43" ht="15.75" hidden="1" customHeight="1" outlineLevel="1">
      <c r="B12" s="158" t="s">
        <v>8</v>
      </c>
      <c r="X12" s="1045">
        <f>X96</f>
        <v>0</v>
      </c>
      <c r="Y12" s="1045"/>
      <c r="Z12" s="1045">
        <f>Z96</f>
        <v>0</v>
      </c>
      <c r="AA12" s="1045"/>
      <c r="AB12" s="1045">
        <f>AB96</f>
        <v>0</v>
      </c>
      <c r="AC12" s="1045"/>
      <c r="AD12" s="1045">
        <f>AD96</f>
        <v>0</v>
      </c>
      <c r="AE12" s="1045"/>
      <c r="AF12" s="1045">
        <f t="shared" ref="AF12:AO12" si="8">AF96</f>
        <v>0</v>
      </c>
      <c r="AG12" s="1045">
        <f t="shared" si="8"/>
        <v>0</v>
      </c>
      <c r="AH12" s="1045">
        <f t="shared" si="8"/>
        <v>0</v>
      </c>
      <c r="AI12" s="1045">
        <f t="shared" si="8"/>
        <v>0</v>
      </c>
      <c r="AJ12" s="1045">
        <f t="shared" si="8"/>
        <v>0</v>
      </c>
      <c r="AK12" s="1045">
        <f t="shared" si="8"/>
        <v>0</v>
      </c>
      <c r="AL12" s="1045">
        <f t="shared" si="8"/>
        <v>0</v>
      </c>
      <c r="AM12" s="1045">
        <f t="shared" si="8"/>
        <v>0</v>
      </c>
      <c r="AN12" s="1045">
        <f t="shared" si="8"/>
        <v>0</v>
      </c>
      <c r="AO12" s="1045">
        <f t="shared" si="8"/>
        <v>0</v>
      </c>
      <c r="AP12" s="1045">
        <f t="shared" ref="AP12:AQ12" si="9">AP96</f>
        <v>0</v>
      </c>
      <c r="AQ12" s="1045">
        <f t="shared" si="9"/>
        <v>0</v>
      </c>
    </row>
    <row r="13" spans="1:43" ht="21.75" hidden="1" customHeight="1" outlineLevel="1">
      <c r="X13" s="1800"/>
      <c r="Z13" s="1800"/>
      <c r="AD13" s="1800"/>
      <c r="AF13" s="1800"/>
    </row>
    <row r="14" spans="1:43" ht="21.75" hidden="1" customHeight="1" outlineLevel="1">
      <c r="X14" s="1800"/>
      <c r="Z14" s="1800"/>
      <c r="AD14" s="1800"/>
      <c r="AF14" s="1800"/>
    </row>
    <row r="15" spans="1:43" ht="35.25" customHeight="1" collapsed="1">
      <c r="B15" s="1917" t="s">
        <v>9</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row>
    <row r="16" spans="1:43" ht="17.25" customHeight="1">
      <c r="B16" s="286" t="s">
        <v>736</v>
      </c>
      <c r="O16" s="283"/>
      <c r="P16" s="283"/>
      <c r="Q16" s="283"/>
      <c r="R16" s="283"/>
      <c r="S16" s="283"/>
      <c r="T16" s="283"/>
      <c r="U16" s="283"/>
      <c r="V16" s="283"/>
      <c r="W16" s="283"/>
      <c r="X16" s="1801"/>
      <c r="Y16" s="1045"/>
      <c r="Z16" s="1045"/>
      <c r="AA16" s="1045"/>
      <c r="AB16" s="1045"/>
      <c r="AC16" s="1045"/>
      <c r="AD16" s="1045"/>
      <c r="AE16" s="1045"/>
      <c r="AF16" s="1045"/>
    </row>
    <row r="17" spans="2:43" ht="9" customHeight="1">
      <c r="C17" s="287"/>
      <c r="D17" s="287"/>
      <c r="E17" s="287"/>
      <c r="F17" s="287"/>
      <c r="G17" s="287"/>
      <c r="H17" s="287"/>
      <c r="I17" s="287"/>
      <c r="J17" s="287"/>
      <c r="K17" s="287"/>
      <c r="L17" s="287"/>
      <c r="M17" s="287"/>
      <c r="N17" s="287"/>
      <c r="O17" s="287"/>
      <c r="P17" s="287"/>
      <c r="Q17" s="287"/>
      <c r="R17" s="287"/>
      <c r="S17" s="287"/>
      <c r="T17" s="287"/>
      <c r="U17" s="287"/>
      <c r="V17" s="287"/>
      <c r="W17" s="287"/>
      <c r="X17" s="1802"/>
      <c r="Y17" s="1802"/>
      <c r="Z17" s="1802"/>
      <c r="AA17" s="1802"/>
      <c r="AB17" s="1802"/>
      <c r="AC17" s="1802"/>
      <c r="AD17" s="1802"/>
      <c r="AE17" s="1802"/>
      <c r="AF17" s="1802"/>
    </row>
    <row r="18" spans="2:43" ht="15.75">
      <c r="B18" s="286" t="s">
        <v>739</v>
      </c>
      <c r="C18" s="287"/>
      <c r="D18" s="287"/>
      <c r="E18" s="287"/>
      <c r="F18" s="287"/>
      <c r="G18" s="287"/>
      <c r="H18" s="287"/>
      <c r="I18" s="287"/>
      <c r="J18" s="287"/>
      <c r="K18" s="287"/>
      <c r="L18" s="287"/>
      <c r="M18" s="287"/>
      <c r="N18" s="287"/>
      <c r="O18" s="287"/>
      <c r="P18" s="287"/>
      <c r="Q18" s="287"/>
      <c r="R18" s="287"/>
      <c r="S18" s="287"/>
      <c r="T18" s="287"/>
      <c r="U18" s="287"/>
      <c r="V18" s="287"/>
      <c r="W18" s="287"/>
      <c r="X18" s="1802"/>
      <c r="Y18" s="1802"/>
      <c r="Z18" s="1802"/>
      <c r="AA18" s="1802"/>
      <c r="AB18" s="1802"/>
      <c r="AC18" s="1802"/>
      <c r="AD18" s="1802"/>
      <c r="AE18" s="1802"/>
      <c r="AF18" s="1802"/>
    </row>
    <row r="19" spans="2:43" ht="7.5" customHeight="1">
      <c r="B19" s="287"/>
      <c r="C19" s="287"/>
      <c r="D19" s="287"/>
      <c r="E19" s="287"/>
      <c r="F19" s="287"/>
      <c r="G19" s="287"/>
      <c r="H19" s="287"/>
      <c r="I19" s="287"/>
      <c r="J19" s="287"/>
      <c r="K19" s="287"/>
      <c r="L19" s="287"/>
      <c r="M19" s="287"/>
      <c r="N19" s="287"/>
      <c r="O19" s="287"/>
      <c r="P19" s="287"/>
      <c r="Q19" s="287"/>
      <c r="R19" s="287"/>
      <c r="S19" s="287"/>
      <c r="T19" s="287"/>
      <c r="U19" s="287"/>
      <c r="V19" s="287"/>
      <c r="W19" s="287"/>
      <c r="X19" s="1802"/>
      <c r="Y19" s="1802"/>
      <c r="Z19" s="1802"/>
      <c r="AA19" s="1802"/>
      <c r="AB19" s="1802"/>
      <c r="AC19" s="1802"/>
      <c r="AD19" s="1802"/>
      <c r="AE19" s="1802"/>
      <c r="AF19" s="1802"/>
    </row>
    <row r="20" spans="2:43" ht="12" customHeight="1">
      <c r="B20" s="1926" t="s">
        <v>740</v>
      </c>
      <c r="C20" s="1926"/>
      <c r="D20" s="1926"/>
      <c r="E20" s="1926"/>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row>
    <row r="21" spans="2:43" ht="21" customHeight="1">
      <c r="B21" s="226"/>
      <c r="C21" s="897"/>
      <c r="D21" s="287"/>
      <c r="E21" s="287"/>
      <c r="F21" s="287"/>
      <c r="G21" s="287"/>
      <c r="H21" s="287"/>
      <c r="I21" s="287"/>
      <c r="J21" s="287"/>
      <c r="K21" s="287"/>
      <c r="L21" s="287"/>
      <c r="M21" s="287"/>
      <c r="N21" s="287"/>
      <c r="O21" s="287"/>
      <c r="P21" s="287"/>
      <c r="Q21" s="287"/>
      <c r="R21" s="287"/>
      <c r="S21" s="287"/>
      <c r="T21" s="287"/>
      <c r="U21" s="287"/>
      <c r="V21" s="287"/>
      <c r="W21" s="287"/>
      <c r="X21" s="1802"/>
      <c r="Y21" s="1802"/>
      <c r="Z21" s="1802"/>
      <c r="AA21" s="1802"/>
      <c r="AB21" s="1803"/>
      <c r="AC21" s="1802"/>
      <c r="AD21" s="1802"/>
      <c r="AE21" s="1802"/>
      <c r="AF21" s="1802"/>
      <c r="AG21" s="1804">
        <v>2010</v>
      </c>
      <c r="AH21" s="1804">
        <v>2011</v>
      </c>
      <c r="AI21" s="1804">
        <v>2012</v>
      </c>
      <c r="AJ21" s="1804">
        <v>2013</v>
      </c>
      <c r="AK21" s="1804">
        <v>2014</v>
      </c>
      <c r="AL21" s="1804">
        <v>2015</v>
      </c>
      <c r="AM21" s="1804">
        <v>2016</v>
      </c>
      <c r="AN21" s="1804">
        <v>2017</v>
      </c>
      <c r="AO21" s="1804">
        <v>2018</v>
      </c>
      <c r="AP21" s="1804">
        <v>2019</v>
      </c>
      <c r="AQ21" s="1804">
        <v>2020</v>
      </c>
    </row>
    <row r="22" spans="2:43" ht="21.75" customHeight="1">
      <c r="B22" s="1805">
        <v>1</v>
      </c>
      <c r="C22" s="1806" t="s">
        <v>741</v>
      </c>
      <c r="E22" s="287"/>
      <c r="F22" s="287"/>
      <c r="G22" s="287"/>
      <c r="H22" s="287"/>
      <c r="I22" s="287"/>
      <c r="J22" s="287"/>
      <c r="K22" s="287"/>
      <c r="L22" s="287"/>
      <c r="M22" s="287"/>
      <c r="N22" s="287"/>
      <c r="O22" s="287"/>
      <c r="P22" s="287"/>
      <c r="Q22" s="287"/>
      <c r="R22" s="287"/>
      <c r="S22" s="287"/>
      <c r="T22" s="287"/>
      <c r="U22" s="287"/>
      <c r="V22" s="287"/>
      <c r="W22" s="287"/>
      <c r="X22" s="1804">
        <v>2001</v>
      </c>
      <c r="Y22" s="1804"/>
      <c r="Z22" s="1804">
        <v>2003</v>
      </c>
      <c r="AA22" s="1804"/>
      <c r="AB22" s="1804">
        <v>2005</v>
      </c>
      <c r="AC22" s="1804"/>
      <c r="AD22" s="1804">
        <v>2007</v>
      </c>
      <c r="AE22" s="1804"/>
      <c r="AF22" s="1804">
        <v>2009</v>
      </c>
      <c r="AG22" s="1807"/>
      <c r="AH22" s="1808"/>
      <c r="AI22" s="559"/>
      <c r="AJ22" s="559"/>
      <c r="AK22" s="559"/>
      <c r="AL22" s="559"/>
      <c r="AM22" s="559"/>
      <c r="AN22" s="559"/>
      <c r="AO22" s="559"/>
      <c r="AP22" s="559"/>
      <c r="AQ22" s="559"/>
    </row>
    <row r="23" spans="2:43">
      <c r="B23" s="1809" t="s">
        <v>289</v>
      </c>
      <c r="C23" s="1810" t="s">
        <v>12</v>
      </c>
      <c r="E23" s="287"/>
      <c r="F23" s="287"/>
      <c r="G23" s="287"/>
      <c r="H23" s="287"/>
      <c r="I23" s="287"/>
      <c r="J23" s="287"/>
      <c r="K23" s="287"/>
      <c r="L23" s="287"/>
      <c r="M23" s="287"/>
      <c r="N23" s="287"/>
      <c r="O23" s="287"/>
      <c r="P23" s="287"/>
      <c r="Q23" s="287"/>
      <c r="R23" s="287"/>
      <c r="S23" s="287"/>
      <c r="T23" s="287"/>
      <c r="U23" s="287"/>
      <c r="V23" s="287"/>
      <c r="W23" s="287"/>
      <c r="X23" s="1802"/>
      <c r="Y23" s="1802"/>
      <c r="Z23" s="1802"/>
      <c r="AA23" s="1802"/>
      <c r="AB23" s="1802"/>
      <c r="AC23" s="1802"/>
      <c r="AD23" s="1802"/>
      <c r="AE23" s="1802"/>
      <c r="AF23" s="1802"/>
      <c r="AG23" s="1811"/>
      <c r="AH23" s="1811"/>
      <c r="AI23" s="305"/>
    </row>
    <row r="24" spans="2:43">
      <c r="B24" s="1809" t="s">
        <v>291</v>
      </c>
      <c r="C24" s="1810" t="s">
        <v>506</v>
      </c>
      <c r="E24" s="287"/>
      <c r="F24" s="287"/>
      <c r="G24" s="287"/>
      <c r="H24" s="287"/>
      <c r="I24" s="287"/>
      <c r="J24" s="287"/>
      <c r="K24" s="287"/>
      <c r="L24" s="287"/>
      <c r="M24" s="287"/>
      <c r="N24" s="287"/>
      <c r="O24" s="287"/>
      <c r="P24" s="287"/>
      <c r="Q24" s="287"/>
      <c r="R24" s="287"/>
      <c r="S24" s="287"/>
      <c r="T24" s="287"/>
      <c r="U24" s="287"/>
      <c r="V24" s="287"/>
      <c r="W24" s="287"/>
      <c r="X24" s="1802"/>
      <c r="Y24" s="1802"/>
      <c r="Z24" s="1802"/>
      <c r="AA24" s="1802"/>
      <c r="AB24" s="1802"/>
      <c r="AC24" s="1802"/>
      <c r="AD24" s="1802"/>
      <c r="AE24" s="1802"/>
      <c r="AF24" s="1802"/>
      <c r="AG24" s="1812"/>
      <c r="AH24" s="1813"/>
    </row>
    <row r="25" spans="2:43" ht="15.75">
      <c r="B25" s="1809" t="s">
        <v>742</v>
      </c>
      <c r="C25" s="1810" t="s">
        <v>412</v>
      </c>
      <c r="E25" s="287"/>
      <c r="F25" s="287"/>
      <c r="G25" s="287"/>
      <c r="H25" s="287"/>
      <c r="I25" s="287"/>
      <c r="J25" s="287"/>
      <c r="K25" s="287"/>
      <c r="L25" s="287"/>
      <c r="M25" s="287"/>
      <c r="N25" s="287"/>
      <c r="O25" s="287"/>
      <c r="P25" s="287"/>
      <c r="Q25" s="287"/>
      <c r="R25" s="287"/>
      <c r="S25" s="287"/>
      <c r="T25" s="287"/>
      <c r="U25" s="287"/>
      <c r="V25" s="287"/>
      <c r="W25" s="287"/>
      <c r="X25" s="1802"/>
      <c r="Y25" s="1802"/>
      <c r="Z25" s="1802"/>
      <c r="AA25" s="1802"/>
      <c r="AB25" s="1802"/>
      <c r="AC25" s="1802"/>
      <c r="AD25" s="1802"/>
      <c r="AE25" s="1802"/>
      <c r="AF25" s="1802"/>
      <c r="AG25" s="1812"/>
      <c r="AH25" s="1813"/>
      <c r="AI25" s="1814">
        <v>2.8</v>
      </c>
      <c r="AJ25" s="1814">
        <v>2.6</v>
      </c>
      <c r="AK25" s="1814">
        <v>2.7</v>
      </c>
      <c r="AL25" s="1814">
        <v>2.4</v>
      </c>
      <c r="AM25" s="158">
        <v>2.9</v>
      </c>
      <c r="AN25" s="158">
        <v>2.7</v>
      </c>
      <c r="AO25" s="158">
        <v>1.7</v>
      </c>
      <c r="AP25" s="158">
        <v>1.8</v>
      </c>
      <c r="AQ25" s="276" t="s">
        <v>1811</v>
      </c>
    </row>
    <row r="26" spans="2:43" ht="18.75" customHeight="1">
      <c r="B26" s="1805">
        <v>2</v>
      </c>
      <c r="C26" s="1806" t="s">
        <v>413</v>
      </c>
      <c r="E26" s="287"/>
      <c r="F26" s="287"/>
      <c r="G26" s="287"/>
      <c r="H26" s="287"/>
      <c r="I26" s="287"/>
      <c r="J26" s="287"/>
      <c r="K26" s="287"/>
      <c r="L26" s="287"/>
      <c r="M26" s="287"/>
      <c r="N26" s="287"/>
      <c r="O26" s="287"/>
      <c r="P26" s="287"/>
      <c r="Q26" s="287"/>
      <c r="R26" s="287"/>
      <c r="S26" s="287"/>
      <c r="T26" s="287"/>
      <c r="U26" s="287"/>
      <c r="V26" s="287"/>
      <c r="W26" s="287"/>
      <c r="X26" s="1802"/>
      <c r="Y26" s="1802"/>
      <c r="Z26" s="1802"/>
      <c r="AA26" s="1802"/>
      <c r="AB26" s="1802"/>
      <c r="AC26" s="1802"/>
      <c r="AD26" s="1802"/>
      <c r="AE26" s="1802"/>
      <c r="AF26" s="1802"/>
      <c r="AG26" s="1815"/>
      <c r="AH26" s="1813"/>
      <c r="AI26" s="1815"/>
      <c r="AJ26" s="1813"/>
      <c r="AK26" s="1813"/>
    </row>
    <row r="27" spans="2:43">
      <c r="B27" s="1809" t="s">
        <v>414</v>
      </c>
      <c r="C27" s="1810" t="s">
        <v>12</v>
      </c>
      <c r="E27" s="287"/>
      <c r="F27" s="287"/>
      <c r="G27" s="287"/>
      <c r="H27" s="287"/>
      <c r="I27" s="287"/>
      <c r="J27" s="287"/>
      <c r="K27" s="287"/>
      <c r="L27" s="287"/>
      <c r="M27" s="287"/>
      <c r="N27" s="287"/>
      <c r="O27" s="287"/>
      <c r="P27" s="287"/>
      <c r="Q27" s="287"/>
      <c r="R27" s="287"/>
      <c r="S27" s="287"/>
      <c r="T27" s="287"/>
      <c r="U27" s="287"/>
      <c r="V27" s="287"/>
      <c r="W27" s="287"/>
      <c r="X27" s="1802"/>
      <c r="Y27" s="1802"/>
      <c r="Z27" s="1802"/>
      <c r="AA27" s="1802"/>
      <c r="AB27" s="1802"/>
      <c r="AC27" s="1802"/>
      <c r="AD27" s="1802"/>
      <c r="AE27" s="1802"/>
      <c r="AF27" s="1802"/>
      <c r="AG27" s="1812"/>
      <c r="AH27" s="1816"/>
      <c r="AI27" s="1812"/>
      <c r="AJ27" s="1816"/>
      <c r="AK27" s="1816"/>
      <c r="AL27" s="1816"/>
      <c r="AM27" s="1816"/>
      <c r="AN27" s="1816"/>
      <c r="AO27" s="1816"/>
      <c r="AP27" s="1816"/>
      <c r="AQ27" s="1816"/>
    </row>
    <row r="28" spans="2:43">
      <c r="B28" s="1809" t="s">
        <v>507</v>
      </c>
      <c r="C28" s="1810" t="s">
        <v>412</v>
      </c>
      <c r="E28" s="287"/>
      <c r="F28" s="287"/>
      <c r="G28" s="287"/>
      <c r="H28" s="287"/>
      <c r="I28" s="287"/>
      <c r="J28" s="287"/>
      <c r="K28" s="287"/>
      <c r="L28" s="287"/>
      <c r="M28" s="287"/>
      <c r="N28" s="287"/>
      <c r="O28" s="287"/>
      <c r="P28" s="287"/>
      <c r="Q28" s="287"/>
      <c r="R28" s="287"/>
      <c r="S28" s="287"/>
      <c r="T28" s="287"/>
      <c r="U28" s="287"/>
      <c r="V28" s="287"/>
      <c r="W28" s="287"/>
      <c r="X28" s="1802"/>
      <c r="Y28" s="1802"/>
      <c r="Z28" s="1802"/>
      <c r="AA28" s="1802"/>
      <c r="AB28" s="1802"/>
      <c r="AC28" s="1802"/>
      <c r="AD28" s="1802"/>
      <c r="AE28" s="1802"/>
      <c r="AF28" s="1802"/>
      <c r="AG28" s="1812"/>
      <c r="AH28" s="1813"/>
      <c r="AI28" s="1812"/>
      <c r="AJ28" s="1813"/>
      <c r="AK28" s="1813"/>
      <c r="AL28" s="1813"/>
      <c r="AM28" s="1813"/>
      <c r="AN28" s="1813"/>
      <c r="AO28" s="1813"/>
      <c r="AP28" s="1813"/>
      <c r="AQ28" s="1813"/>
    </row>
    <row r="29" spans="2:43" ht="18.75" customHeight="1">
      <c r="B29" s="1805">
        <v>3</v>
      </c>
      <c r="C29" s="1806" t="s">
        <v>14</v>
      </c>
      <c r="E29" s="287"/>
      <c r="F29" s="287"/>
      <c r="G29" s="287"/>
      <c r="H29" s="287"/>
      <c r="I29" s="287"/>
      <c r="J29" s="287"/>
      <c r="K29" s="287"/>
      <c r="L29" s="287"/>
      <c r="M29" s="287"/>
      <c r="N29" s="287"/>
      <c r="O29" s="287"/>
      <c r="P29" s="287"/>
      <c r="Q29" s="287"/>
      <c r="R29" s="287"/>
      <c r="S29" s="287"/>
      <c r="T29" s="287"/>
      <c r="U29" s="287"/>
      <c r="V29" s="287"/>
      <c r="W29" s="287"/>
      <c r="X29" s="1802"/>
      <c r="Y29" s="1802"/>
      <c r="Z29" s="1802"/>
      <c r="AA29" s="1802"/>
      <c r="AB29" s="1802"/>
      <c r="AC29" s="1802"/>
      <c r="AD29" s="1802"/>
      <c r="AE29" s="1802"/>
      <c r="AF29" s="1802"/>
      <c r="AG29" s="1815"/>
      <c r="AH29" s="1817"/>
      <c r="AI29" s="1815"/>
      <c r="AJ29" s="1817"/>
      <c r="AK29" s="1817"/>
      <c r="AL29" s="1817"/>
      <c r="AM29" s="1817"/>
      <c r="AN29" s="1817"/>
      <c r="AO29" s="1817"/>
      <c r="AP29" s="1817"/>
      <c r="AQ29" s="1817"/>
    </row>
    <row r="30" spans="2:43" ht="18.75" customHeight="1">
      <c r="B30" s="1809" t="s">
        <v>415</v>
      </c>
      <c r="C30" s="1810" t="s">
        <v>743</v>
      </c>
      <c r="E30" s="287"/>
      <c r="F30" s="287"/>
      <c r="G30" s="287"/>
      <c r="H30" s="287"/>
      <c r="I30" s="287"/>
      <c r="J30" s="287"/>
      <c r="K30" s="287"/>
      <c r="L30" s="287"/>
      <c r="M30" s="287"/>
      <c r="N30" s="287"/>
      <c r="O30" s="287"/>
      <c r="P30" s="287"/>
      <c r="Q30" s="287"/>
      <c r="R30" s="287"/>
      <c r="S30" s="287"/>
      <c r="T30" s="287"/>
      <c r="U30" s="287"/>
      <c r="V30" s="287"/>
      <c r="W30" s="287"/>
      <c r="X30" s="1802"/>
      <c r="Y30" s="1802"/>
      <c r="Z30" s="1802"/>
      <c r="AA30" s="1802"/>
      <c r="AB30" s="1802"/>
      <c r="AC30" s="1802"/>
      <c r="AD30" s="1802"/>
      <c r="AE30" s="1802"/>
      <c r="AF30" s="1802"/>
      <c r="AG30" s="1814">
        <v>3.1</v>
      </c>
      <c r="AH30" s="1814">
        <v>3</v>
      </c>
      <c r="AI30" s="1814">
        <v>3.4</v>
      </c>
      <c r="AJ30" s="1814">
        <v>3.9</v>
      </c>
      <c r="AK30" s="1814">
        <v>4.5</v>
      </c>
      <c r="AL30" s="1814">
        <v>4.4000000000000004</v>
      </c>
      <c r="AM30" s="1814">
        <v>4.5</v>
      </c>
      <c r="AN30" s="1814">
        <v>4.5</v>
      </c>
      <c r="AO30" s="1818">
        <v>2.9</v>
      </c>
      <c r="AP30" s="1818">
        <v>2.9</v>
      </c>
      <c r="AQ30" s="1819" t="s">
        <v>1811</v>
      </c>
    </row>
    <row r="31" spans="2:43" ht="18.75" customHeight="1">
      <c r="B31" s="1809" t="s">
        <v>416</v>
      </c>
      <c r="C31" s="1810" t="s">
        <v>16</v>
      </c>
      <c r="E31" s="287"/>
      <c r="F31" s="287"/>
      <c r="G31" s="287"/>
      <c r="H31" s="287"/>
      <c r="I31" s="287"/>
      <c r="J31" s="287"/>
      <c r="K31" s="287"/>
      <c r="L31" s="287"/>
      <c r="M31" s="287"/>
      <c r="N31" s="287"/>
      <c r="O31" s="287"/>
      <c r="P31" s="287"/>
      <c r="Q31" s="287"/>
      <c r="R31" s="287"/>
      <c r="S31" s="287"/>
      <c r="T31" s="287"/>
      <c r="U31" s="287"/>
      <c r="V31" s="287"/>
      <c r="W31" s="287"/>
      <c r="X31" s="1802"/>
      <c r="Y31" s="1802"/>
      <c r="Z31" s="1802"/>
      <c r="AA31" s="1802"/>
      <c r="AB31" s="1802"/>
      <c r="AC31" s="1802"/>
      <c r="AD31" s="1802"/>
      <c r="AE31" s="1802"/>
      <c r="AF31" s="1802"/>
      <c r="AG31" s="1812"/>
      <c r="AH31" s="1813"/>
    </row>
    <row r="32" spans="2:43" ht="18.75" customHeight="1">
      <c r="B32" s="1809" t="s">
        <v>417</v>
      </c>
      <c r="C32" s="1810" t="s">
        <v>418</v>
      </c>
      <c r="E32" s="287"/>
      <c r="F32" s="287"/>
      <c r="G32" s="287"/>
      <c r="H32" s="287"/>
      <c r="I32" s="287"/>
      <c r="J32" s="287"/>
      <c r="K32" s="287"/>
      <c r="L32" s="287"/>
      <c r="M32" s="287"/>
      <c r="N32" s="287"/>
      <c r="O32" s="287"/>
      <c r="P32" s="287"/>
      <c r="Q32" s="287"/>
      <c r="R32" s="287"/>
      <c r="S32" s="287"/>
      <c r="T32" s="287"/>
      <c r="U32" s="287"/>
      <c r="V32" s="287"/>
      <c r="W32" s="287"/>
      <c r="X32" s="1802"/>
      <c r="Y32" s="1802"/>
      <c r="Z32" s="1802"/>
      <c r="AA32" s="1802"/>
      <c r="AB32" s="1802"/>
      <c r="AC32" s="1802"/>
      <c r="AD32" s="1802"/>
      <c r="AE32" s="1802"/>
      <c r="AF32" s="1802"/>
      <c r="AG32" s="1813"/>
      <c r="AH32" s="1813"/>
    </row>
    <row r="33" spans="2:43" ht="16.5" customHeight="1">
      <c r="B33" s="1805">
        <v>4</v>
      </c>
      <c r="C33" s="1806" t="s">
        <v>419</v>
      </c>
      <c r="E33" s="287"/>
      <c r="F33" s="287"/>
      <c r="G33" s="287"/>
      <c r="H33" s="287"/>
      <c r="I33" s="287"/>
      <c r="J33" s="287"/>
      <c r="K33" s="287"/>
      <c r="L33" s="287"/>
      <c r="M33" s="287"/>
      <c r="N33" s="287"/>
      <c r="O33" s="287"/>
      <c r="P33" s="287"/>
      <c r="Q33" s="287"/>
      <c r="R33" s="287"/>
      <c r="S33" s="287"/>
      <c r="T33" s="287"/>
      <c r="U33" s="287"/>
      <c r="V33" s="287"/>
      <c r="W33" s="287"/>
      <c r="X33" s="1802"/>
      <c r="Y33" s="1802"/>
      <c r="Z33" s="1802"/>
      <c r="AA33" s="1802"/>
      <c r="AB33" s="1802"/>
      <c r="AC33" s="1802"/>
      <c r="AD33" s="1802"/>
      <c r="AE33" s="1802"/>
      <c r="AF33" s="1802"/>
      <c r="AG33" s="1817"/>
      <c r="AH33" s="1817"/>
      <c r="AI33" s="226"/>
      <c r="AJ33" s="226"/>
      <c r="AK33" s="226"/>
      <c r="AL33" s="226"/>
      <c r="AM33" s="226"/>
      <c r="AN33" s="226"/>
      <c r="AO33" s="226"/>
      <c r="AP33" s="226"/>
      <c r="AQ33" s="226"/>
    </row>
    <row r="34" spans="2:43">
      <c r="B34" s="1809" t="s">
        <v>296</v>
      </c>
      <c r="C34" s="1810"/>
      <c r="E34" s="287"/>
      <c r="F34" s="287"/>
      <c r="G34" s="287"/>
      <c r="H34" s="287"/>
      <c r="I34" s="287"/>
      <c r="J34" s="287"/>
      <c r="K34" s="287"/>
      <c r="L34" s="287"/>
      <c r="M34" s="287"/>
      <c r="N34" s="287"/>
      <c r="O34" s="287"/>
      <c r="P34" s="287"/>
      <c r="Q34" s="287"/>
      <c r="R34" s="287"/>
      <c r="S34" s="287"/>
      <c r="T34" s="287"/>
      <c r="U34" s="287"/>
      <c r="V34" s="287"/>
      <c r="W34" s="287"/>
      <c r="X34" s="1802"/>
      <c r="Y34" s="1802"/>
      <c r="Z34" s="1802"/>
      <c r="AA34" s="1802"/>
      <c r="AB34" s="1802"/>
      <c r="AC34" s="1802"/>
      <c r="AD34" s="1802"/>
      <c r="AE34" s="1802"/>
      <c r="AF34" s="1802"/>
      <c r="AG34" s="1816"/>
      <c r="AH34" s="1816"/>
      <c r="AI34" s="1816"/>
      <c r="AJ34" s="1816"/>
      <c r="AK34" s="1816"/>
    </row>
    <row r="35" spans="2:43">
      <c r="B35" s="1809" t="s">
        <v>298</v>
      </c>
      <c r="C35" s="1810" t="s">
        <v>421</v>
      </c>
      <c r="E35" s="287"/>
      <c r="F35" s="287"/>
      <c r="G35" s="287"/>
      <c r="H35" s="287"/>
      <c r="I35" s="287"/>
      <c r="J35" s="287"/>
      <c r="K35" s="287"/>
      <c r="L35" s="287"/>
      <c r="M35" s="287"/>
      <c r="N35" s="287"/>
      <c r="O35" s="287"/>
      <c r="P35" s="287"/>
      <c r="Q35" s="287"/>
      <c r="R35" s="287"/>
      <c r="S35" s="287"/>
      <c r="T35" s="287"/>
      <c r="U35" s="287"/>
      <c r="V35" s="287"/>
      <c r="W35" s="287"/>
      <c r="X35" s="1802"/>
      <c r="Y35" s="1802"/>
      <c r="Z35" s="1802"/>
      <c r="AA35" s="1802"/>
      <c r="AB35" s="1802"/>
      <c r="AC35" s="1802"/>
      <c r="AD35" s="1802"/>
      <c r="AE35" s="1802"/>
      <c r="AF35" s="1802"/>
      <c r="AG35" s="1812"/>
      <c r="AH35" s="1813"/>
      <c r="AI35" s="1812"/>
      <c r="AJ35" s="1813"/>
      <c r="AK35" s="1812"/>
      <c r="AL35" s="1812"/>
      <c r="AM35" s="1812"/>
      <c r="AN35" s="1812"/>
      <c r="AO35" s="1812"/>
      <c r="AP35" s="1812"/>
      <c r="AQ35" s="1812"/>
    </row>
    <row r="36" spans="2:43">
      <c r="B36" s="1809" t="s">
        <v>301</v>
      </c>
      <c r="C36" s="1810" t="s">
        <v>508</v>
      </c>
      <c r="E36" s="287"/>
      <c r="F36" s="287"/>
      <c r="G36" s="287"/>
      <c r="H36" s="287"/>
      <c r="I36" s="287"/>
      <c r="J36" s="287"/>
      <c r="K36" s="287"/>
      <c r="L36" s="287"/>
      <c r="M36" s="287"/>
      <c r="N36" s="287"/>
      <c r="O36" s="287"/>
      <c r="P36" s="287"/>
      <c r="Q36" s="287"/>
      <c r="R36" s="287"/>
      <c r="S36" s="287"/>
      <c r="T36" s="287"/>
      <c r="U36" s="287"/>
      <c r="V36" s="287"/>
      <c r="W36" s="287"/>
      <c r="X36" s="1802"/>
      <c r="Y36" s="1802"/>
      <c r="Z36" s="1802"/>
      <c r="AA36" s="1802"/>
      <c r="AB36" s="1802"/>
      <c r="AC36" s="1802"/>
      <c r="AD36" s="1802"/>
      <c r="AE36" s="1802"/>
      <c r="AF36" s="1802"/>
      <c r="AG36" s="1812"/>
      <c r="AH36" s="1813"/>
      <c r="AI36" s="1812"/>
      <c r="AJ36" s="1813"/>
      <c r="AK36" s="1812"/>
      <c r="AL36" s="1812"/>
      <c r="AM36" s="1812"/>
      <c r="AN36" s="1812"/>
      <c r="AO36" s="1812"/>
      <c r="AP36" s="1812"/>
      <c r="AQ36" s="1812"/>
    </row>
    <row r="37" spans="2:43" ht="18.75" customHeight="1">
      <c r="B37" s="1805">
        <v>5</v>
      </c>
      <c r="C37" s="1806" t="s">
        <v>422</v>
      </c>
      <c r="E37" s="287"/>
      <c r="F37" s="287"/>
      <c r="G37" s="287"/>
      <c r="H37" s="287"/>
      <c r="I37" s="287"/>
      <c r="J37" s="287"/>
      <c r="K37" s="287"/>
      <c r="L37" s="287"/>
      <c r="M37" s="287"/>
      <c r="N37" s="287"/>
      <c r="O37" s="287"/>
      <c r="P37" s="287"/>
      <c r="Q37" s="287"/>
      <c r="R37" s="287"/>
      <c r="S37" s="287"/>
      <c r="T37" s="287"/>
      <c r="U37" s="287"/>
      <c r="V37" s="287"/>
      <c r="W37" s="287"/>
      <c r="X37" s="1802"/>
      <c r="Y37" s="1802"/>
      <c r="Z37" s="1802"/>
      <c r="AA37" s="1802"/>
      <c r="AB37" s="1802"/>
      <c r="AC37" s="1802"/>
      <c r="AD37" s="1802"/>
      <c r="AE37" s="1802"/>
      <c r="AF37" s="1802"/>
      <c r="AG37" s="1815"/>
      <c r="AH37" s="1815"/>
      <c r="AI37" s="1815"/>
      <c r="AJ37" s="1815"/>
      <c r="AK37" s="1815"/>
      <c r="AL37" s="1815"/>
      <c r="AM37" s="1815"/>
      <c r="AN37" s="1815"/>
      <c r="AO37" s="1815"/>
      <c r="AP37" s="1815"/>
      <c r="AQ37" s="1815"/>
    </row>
    <row r="38" spans="2:43" ht="18.75" customHeight="1">
      <c r="B38" s="1809" t="s">
        <v>423</v>
      </c>
      <c r="C38" s="1810" t="s">
        <v>424</v>
      </c>
      <c r="E38" s="287"/>
      <c r="F38" s="287"/>
      <c r="G38" s="287"/>
      <c r="H38" s="287"/>
      <c r="I38" s="287"/>
      <c r="J38" s="287"/>
      <c r="K38" s="287"/>
      <c r="L38" s="287"/>
      <c r="M38" s="287"/>
      <c r="N38" s="287"/>
      <c r="O38" s="287"/>
      <c r="P38" s="287"/>
      <c r="Q38" s="287"/>
      <c r="R38" s="287"/>
      <c r="S38" s="287"/>
      <c r="T38" s="287"/>
      <c r="U38" s="287"/>
      <c r="V38" s="287"/>
      <c r="W38" s="287"/>
      <c r="X38" s="1802"/>
      <c r="Y38" s="1802"/>
      <c r="Z38" s="1802"/>
      <c r="AA38" s="1802"/>
      <c r="AB38" s="1802"/>
      <c r="AC38" s="1802"/>
      <c r="AD38" s="1802"/>
      <c r="AE38" s="1802"/>
      <c r="AF38" s="1802"/>
      <c r="AG38" s="1813"/>
      <c r="AH38" s="1813"/>
      <c r="AI38" s="1813"/>
      <c r="AJ38" s="1813"/>
      <c r="AK38" s="1813"/>
      <c r="AL38" s="1813"/>
      <c r="AM38" s="1813"/>
      <c r="AN38" s="1813"/>
      <c r="AO38" s="1813"/>
      <c r="AP38" s="1813"/>
      <c r="AQ38" s="1813"/>
    </row>
    <row r="39" spans="2:43" ht="18.75" customHeight="1">
      <c r="B39" s="1805">
        <v>6</v>
      </c>
      <c r="C39" s="1806" t="s">
        <v>425</v>
      </c>
      <c r="E39" s="287"/>
      <c r="F39" s="287"/>
      <c r="G39" s="287"/>
      <c r="H39" s="287"/>
      <c r="I39" s="287"/>
      <c r="J39" s="287"/>
      <c r="K39" s="287"/>
      <c r="L39" s="287"/>
      <c r="M39" s="287"/>
      <c r="N39" s="287"/>
      <c r="O39" s="287"/>
      <c r="P39" s="287"/>
      <c r="Q39" s="287"/>
      <c r="R39" s="287"/>
      <c r="S39" s="287"/>
      <c r="T39" s="287"/>
      <c r="U39" s="287"/>
      <c r="V39" s="287"/>
      <c r="W39" s="287"/>
      <c r="X39" s="1802"/>
      <c r="Y39" s="1802"/>
      <c r="Z39" s="1802"/>
      <c r="AA39" s="1802"/>
      <c r="AB39" s="1802"/>
      <c r="AC39" s="1802"/>
      <c r="AD39" s="1802"/>
      <c r="AE39" s="1802"/>
      <c r="AF39" s="1802"/>
      <c r="AG39" s="1815"/>
      <c r="AH39" s="1815"/>
      <c r="AI39" s="1815"/>
      <c r="AJ39" s="1815"/>
      <c r="AK39" s="1815"/>
      <c r="AL39" s="1815"/>
      <c r="AM39" s="1815"/>
      <c r="AN39" s="1815"/>
      <c r="AO39" s="1815"/>
      <c r="AP39" s="1815"/>
      <c r="AQ39" s="1815"/>
    </row>
    <row r="40" spans="2:43" ht="18.75" customHeight="1">
      <c r="B40" s="1809"/>
      <c r="C40" s="1810" t="s">
        <v>744</v>
      </c>
      <c r="E40" s="287"/>
      <c r="F40" s="287"/>
      <c r="G40" s="287"/>
      <c r="H40" s="287"/>
      <c r="I40" s="287"/>
      <c r="J40" s="287"/>
      <c r="K40" s="287"/>
      <c r="L40" s="287"/>
      <c r="M40" s="287"/>
      <c r="N40" s="287"/>
      <c r="O40" s="287"/>
      <c r="P40" s="287"/>
      <c r="Q40" s="287"/>
      <c r="R40" s="287"/>
      <c r="S40" s="287"/>
      <c r="T40" s="287"/>
      <c r="U40" s="287"/>
      <c r="V40" s="287"/>
      <c r="W40" s="287"/>
      <c r="X40" s="1802"/>
      <c r="Y40" s="1802"/>
      <c r="Z40" s="1802"/>
      <c r="AA40" s="1802"/>
      <c r="AB40" s="1802"/>
      <c r="AC40" s="1802"/>
      <c r="AD40" s="1802"/>
      <c r="AE40" s="1802"/>
      <c r="AF40" s="1802"/>
      <c r="AG40" s="1813"/>
      <c r="AH40" s="1813"/>
      <c r="AI40" s="1813"/>
      <c r="AJ40" s="1813"/>
      <c r="AK40" s="1813"/>
      <c r="AL40" s="1813"/>
      <c r="AM40" s="1813"/>
      <c r="AN40" s="1813"/>
      <c r="AO40" s="1813"/>
      <c r="AP40" s="1813"/>
      <c r="AQ40" s="1813"/>
    </row>
    <row r="41" spans="2:43" ht="18.75" customHeight="1">
      <c r="B41" s="1805">
        <v>7</v>
      </c>
      <c r="C41" s="1806" t="s">
        <v>432</v>
      </c>
      <c r="E41" s="287"/>
      <c r="F41" s="287"/>
      <c r="G41" s="287"/>
      <c r="H41" s="287"/>
      <c r="I41" s="287"/>
      <c r="J41" s="287"/>
      <c r="K41" s="287"/>
      <c r="L41" s="287"/>
      <c r="M41" s="287"/>
      <c r="N41" s="287"/>
      <c r="O41" s="287"/>
      <c r="P41" s="287"/>
      <c r="Q41" s="287"/>
      <c r="R41" s="287"/>
      <c r="S41" s="287"/>
      <c r="T41" s="287"/>
      <c r="U41" s="287"/>
      <c r="V41" s="287"/>
      <c r="W41" s="287"/>
      <c r="X41" s="1802"/>
      <c r="Y41" s="1802"/>
      <c r="Z41" s="1802"/>
      <c r="AA41" s="1802"/>
      <c r="AB41" s="1802"/>
      <c r="AC41" s="1802"/>
      <c r="AD41" s="1802"/>
      <c r="AE41" s="1802"/>
      <c r="AF41" s="1802"/>
      <c r="AG41" s="1815"/>
      <c r="AH41" s="1817"/>
      <c r="AI41" s="1815"/>
      <c r="AJ41" s="1817"/>
      <c r="AK41" s="1815"/>
      <c r="AL41" s="1815"/>
      <c r="AM41" s="1815"/>
      <c r="AN41" s="1815"/>
      <c r="AO41" s="1815"/>
      <c r="AP41" s="1815"/>
      <c r="AQ41" s="1815"/>
    </row>
    <row r="42" spans="2:43" ht="18.75" customHeight="1">
      <c r="B42" s="1809" t="s">
        <v>509</v>
      </c>
      <c r="C42" s="1810" t="s">
        <v>745</v>
      </c>
      <c r="E42" s="287"/>
      <c r="F42" s="287"/>
      <c r="G42" s="287"/>
      <c r="H42" s="287"/>
      <c r="I42" s="287"/>
      <c r="J42" s="287"/>
      <c r="K42" s="287"/>
      <c r="L42" s="287"/>
      <c r="M42" s="287"/>
      <c r="N42" s="287"/>
      <c r="O42" s="287"/>
      <c r="P42" s="287"/>
      <c r="Q42" s="287"/>
      <c r="R42" s="287"/>
      <c r="S42" s="287"/>
      <c r="T42" s="287"/>
      <c r="U42" s="287"/>
      <c r="V42" s="287"/>
      <c r="W42" s="287"/>
      <c r="X42" s="1802"/>
      <c r="Y42" s="1802"/>
      <c r="Z42" s="1802"/>
      <c r="AA42" s="1802"/>
      <c r="AB42" s="1802"/>
      <c r="AC42" s="1802"/>
      <c r="AD42" s="1802"/>
      <c r="AE42" s="1802"/>
      <c r="AF42" s="1802"/>
      <c r="AG42" s="158"/>
      <c r="AH42" s="158"/>
      <c r="AI42" s="1814">
        <v>15.7</v>
      </c>
      <c r="AJ42" s="1814">
        <v>16.8</v>
      </c>
      <c r="AK42" s="1814">
        <v>17.399999999999999</v>
      </c>
      <c r="AL42" s="1814">
        <v>17.5</v>
      </c>
      <c r="AM42" s="1814">
        <v>17.7</v>
      </c>
      <c r="AN42" s="1814">
        <v>17.5</v>
      </c>
      <c r="AO42" s="1818">
        <v>17.3</v>
      </c>
      <c r="AP42" s="1818">
        <v>17.8</v>
      </c>
      <c r="AQ42" s="1819" t="s">
        <v>1811</v>
      </c>
    </row>
    <row r="43" spans="2:43" ht="18.75" customHeight="1">
      <c r="B43" s="1805">
        <v>8</v>
      </c>
      <c r="C43" s="1806" t="s">
        <v>511</v>
      </c>
      <c r="E43" s="287"/>
      <c r="F43" s="287"/>
      <c r="G43" s="287"/>
      <c r="H43" s="287"/>
      <c r="I43" s="287"/>
      <c r="J43" s="287"/>
      <c r="K43" s="287"/>
      <c r="L43" s="287"/>
      <c r="M43" s="287"/>
      <c r="N43" s="287"/>
      <c r="O43" s="287"/>
      <c r="P43" s="287"/>
      <c r="Q43" s="287"/>
      <c r="R43" s="287"/>
      <c r="S43" s="287"/>
      <c r="T43" s="287"/>
      <c r="U43" s="287"/>
      <c r="V43" s="287"/>
      <c r="W43" s="287"/>
      <c r="X43" s="1802"/>
      <c r="Y43" s="1802"/>
      <c r="Z43" s="1802"/>
      <c r="AA43" s="1802"/>
      <c r="AB43" s="1802"/>
      <c r="AC43" s="1802"/>
      <c r="AD43" s="1802"/>
      <c r="AE43" s="1802"/>
      <c r="AF43" s="1802"/>
      <c r="AG43" s="1815"/>
      <c r="AH43" s="1820"/>
      <c r="AI43" s="1815"/>
      <c r="AJ43" s="1820"/>
      <c r="AK43" s="1815"/>
      <c r="AL43" s="1815"/>
      <c r="AM43" s="1815"/>
      <c r="AN43" s="1815"/>
      <c r="AO43" s="1821"/>
      <c r="AP43" s="1821"/>
      <c r="AQ43" s="1821"/>
    </row>
    <row r="44" spans="2:43" ht="18.75" customHeight="1">
      <c r="B44" s="1809" t="s">
        <v>512</v>
      </c>
      <c r="C44" s="1810" t="s">
        <v>513</v>
      </c>
      <c r="E44" s="287"/>
      <c r="F44" s="287"/>
      <c r="G44" s="287"/>
      <c r="H44" s="287"/>
      <c r="I44" s="287"/>
      <c r="J44" s="287"/>
      <c r="K44" s="287"/>
      <c r="L44" s="287"/>
      <c r="M44" s="287"/>
      <c r="N44" s="287"/>
      <c r="O44" s="287"/>
      <c r="P44" s="287"/>
      <c r="Q44" s="287"/>
      <c r="R44" s="287"/>
      <c r="S44" s="287"/>
      <c r="T44" s="287"/>
      <c r="U44" s="287"/>
      <c r="V44" s="287"/>
      <c r="W44" s="287"/>
      <c r="X44" s="1802"/>
      <c r="Y44" s="1802"/>
      <c r="Z44" s="1802"/>
      <c r="AA44" s="1802"/>
      <c r="AB44" s="1802"/>
      <c r="AC44" s="1802"/>
      <c r="AD44" s="1802"/>
      <c r="AE44" s="1802"/>
      <c r="AF44" s="1802"/>
      <c r="AG44" s="1815"/>
      <c r="AH44" s="1815"/>
      <c r="AI44" s="1815"/>
      <c r="AJ44" s="1815"/>
      <c r="AK44" s="1815"/>
      <c r="AL44" s="1815"/>
      <c r="AM44" s="1815"/>
      <c r="AN44" s="1815"/>
      <c r="AO44" s="1821"/>
      <c r="AP44" s="1821"/>
      <c r="AQ44" s="1821"/>
    </row>
    <row r="45" spans="2:43" ht="18.75" customHeight="1">
      <c r="B45" s="1822">
        <v>9</v>
      </c>
      <c r="C45" s="1823" t="s">
        <v>746</v>
      </c>
      <c r="D45" s="226"/>
      <c r="E45" s="897"/>
      <c r="F45" s="897"/>
      <c r="G45" s="897"/>
      <c r="H45" s="897"/>
      <c r="I45" s="897"/>
      <c r="J45" s="897"/>
      <c r="K45" s="897"/>
      <c r="L45" s="897"/>
      <c r="M45" s="897"/>
      <c r="N45" s="897"/>
      <c r="O45" s="897"/>
      <c r="P45" s="897"/>
      <c r="Q45" s="897"/>
      <c r="R45" s="897"/>
      <c r="S45" s="897"/>
      <c r="T45" s="897"/>
      <c r="U45" s="897"/>
      <c r="V45" s="897"/>
      <c r="W45" s="897"/>
      <c r="X45" s="1824"/>
      <c r="Y45" s="1824"/>
      <c r="Z45" s="1824"/>
      <c r="AA45" s="1824"/>
      <c r="AB45" s="1824"/>
      <c r="AC45" s="1824"/>
      <c r="AD45" s="1824"/>
      <c r="AE45" s="1824"/>
      <c r="AF45" s="1824"/>
      <c r="AG45" s="1825">
        <v>9.8000000000000007</v>
      </c>
      <c r="AH45" s="1825">
        <v>11</v>
      </c>
      <c r="AI45" s="1825">
        <v>10.7</v>
      </c>
      <c r="AJ45" s="1825">
        <v>11.4</v>
      </c>
      <c r="AK45" s="1825">
        <v>11.8</v>
      </c>
      <c r="AL45" s="1825">
        <v>11.8</v>
      </c>
      <c r="AM45" s="1825">
        <v>11.1</v>
      </c>
      <c r="AN45" s="1825">
        <v>11.6</v>
      </c>
      <c r="AO45" s="1825">
        <v>13.17</v>
      </c>
      <c r="AP45" s="1825">
        <v>12.948489891688601</v>
      </c>
      <c r="AQ45" s="1826" t="s">
        <v>1811</v>
      </c>
    </row>
    <row r="46" spans="2:43" ht="6.75" customHeight="1">
      <c r="B46" s="287"/>
      <c r="C46" s="287"/>
      <c r="D46" s="287"/>
      <c r="E46" s="287"/>
      <c r="F46" s="287"/>
      <c r="G46" s="287"/>
      <c r="H46" s="287"/>
      <c r="I46" s="287"/>
      <c r="J46" s="287"/>
      <c r="K46" s="287"/>
      <c r="L46" s="287"/>
      <c r="M46" s="287"/>
      <c r="N46" s="287"/>
      <c r="O46" s="287"/>
      <c r="P46" s="287"/>
      <c r="Q46" s="287"/>
      <c r="R46" s="287"/>
      <c r="S46" s="287"/>
      <c r="T46" s="287"/>
      <c r="U46" s="287"/>
      <c r="V46" s="287"/>
      <c r="W46" s="287"/>
      <c r="X46" s="1802"/>
      <c r="Y46" s="1802"/>
      <c r="Z46" s="1802"/>
      <c r="AA46" s="1802"/>
      <c r="AB46" s="1802"/>
      <c r="AC46" s="1802"/>
      <c r="AD46" s="1802"/>
      <c r="AE46" s="1802"/>
      <c r="AF46" s="1802"/>
      <c r="AG46" s="158"/>
      <c r="AH46" s="158"/>
    </row>
    <row r="47" spans="2:43" ht="15" customHeight="1">
      <c r="B47" s="1472" t="s">
        <v>1812</v>
      </c>
      <c r="C47" s="1472"/>
      <c r="D47" s="1472"/>
      <c r="E47" s="1472"/>
      <c r="F47" s="1472"/>
      <c r="G47" s="1472"/>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c r="AG47" s="1472"/>
      <c r="AH47" s="1472"/>
      <c r="AI47" s="1472"/>
      <c r="AJ47" s="1472"/>
      <c r="AK47" s="1472"/>
    </row>
    <row r="48" spans="2:43" ht="69" customHeight="1">
      <c r="B48" s="2030" t="s">
        <v>1813</v>
      </c>
      <c r="C48" s="2030"/>
      <c r="D48" s="2030"/>
      <c r="E48" s="2030"/>
      <c r="F48" s="2030"/>
      <c r="G48" s="2030"/>
      <c r="H48" s="2030"/>
      <c r="I48" s="2030"/>
      <c r="J48" s="2030"/>
      <c r="K48" s="2030"/>
      <c r="L48" s="2030"/>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1925"/>
      <c r="AO48" s="1925"/>
      <c r="AP48" s="1925"/>
      <c r="AQ48" s="1925"/>
    </row>
    <row r="49" spans="2:43" ht="17.45" customHeight="1">
      <c r="B49" s="2025" t="s">
        <v>747</v>
      </c>
      <c r="C49" s="2025"/>
      <c r="D49" s="2025"/>
      <c r="E49" s="2025"/>
      <c r="F49" s="2025"/>
      <c r="G49" s="2025"/>
      <c r="H49" s="2025"/>
      <c r="I49" s="2025"/>
      <c r="J49" s="2025"/>
      <c r="K49" s="2025"/>
      <c r="L49" s="2025"/>
      <c r="M49" s="2025"/>
      <c r="N49" s="2025"/>
      <c r="O49" s="2025"/>
      <c r="P49" s="2025"/>
      <c r="Q49" s="2025"/>
      <c r="R49" s="2025"/>
      <c r="S49" s="2025"/>
      <c r="T49" s="2025"/>
      <c r="U49" s="2025"/>
      <c r="V49" s="2025"/>
      <c r="W49" s="2025"/>
      <c r="X49" s="2025"/>
      <c r="Y49" s="2025"/>
      <c r="Z49" s="2025"/>
      <c r="AA49" s="2025"/>
      <c r="AB49" s="2025"/>
      <c r="AC49" s="2025"/>
      <c r="AD49" s="2025"/>
      <c r="AE49" s="2025"/>
      <c r="AF49" s="2025"/>
      <c r="AG49" s="2025"/>
      <c r="AH49" s="2025"/>
      <c r="AI49" s="2025"/>
      <c r="AJ49" s="2025"/>
      <c r="AK49" s="2025"/>
    </row>
    <row r="50" spans="2:43" ht="17.45" customHeight="1">
      <c r="B50" s="1827"/>
      <c r="C50" s="1827"/>
      <c r="D50" s="1827"/>
      <c r="E50" s="1827"/>
      <c r="F50" s="1827"/>
      <c r="G50" s="1827"/>
      <c r="H50" s="1827"/>
      <c r="I50" s="1827"/>
      <c r="J50" s="1827"/>
      <c r="K50" s="1827"/>
      <c r="L50" s="1827"/>
      <c r="M50" s="1827"/>
      <c r="N50" s="1827"/>
      <c r="O50" s="1827"/>
      <c r="P50" s="1827"/>
      <c r="Q50" s="1827"/>
      <c r="R50" s="1827"/>
      <c r="S50" s="1827"/>
      <c r="T50" s="1827"/>
      <c r="U50" s="1827"/>
      <c r="V50" s="1827"/>
      <c r="W50" s="1827"/>
      <c r="X50" s="1827"/>
      <c r="Y50" s="1827"/>
      <c r="Z50" s="1827"/>
      <c r="AA50" s="1827"/>
      <c r="AB50" s="1827"/>
      <c r="AC50" s="1827"/>
      <c r="AD50" s="1827"/>
      <c r="AE50" s="1827"/>
      <c r="AF50" s="1827"/>
      <c r="AG50" s="1827"/>
      <c r="AH50" s="1827"/>
      <c r="AI50" s="1827"/>
      <c r="AJ50" s="1827"/>
      <c r="AK50" s="1827"/>
    </row>
    <row r="51" spans="2:43" ht="18.600000000000001" customHeight="1">
      <c r="B51" s="2026" t="s">
        <v>748</v>
      </c>
      <c r="C51" s="2026"/>
      <c r="D51" s="2026"/>
      <c r="E51" s="2026"/>
      <c r="F51" s="2026"/>
      <c r="G51" s="2026"/>
      <c r="H51" s="2026"/>
      <c r="I51" s="2026"/>
      <c r="J51" s="2026"/>
      <c r="K51" s="2026"/>
      <c r="L51" s="2026"/>
      <c r="M51" s="2026"/>
      <c r="N51" s="2026"/>
      <c r="O51" s="2026"/>
      <c r="P51" s="2026"/>
      <c r="Q51" s="2026"/>
      <c r="R51" s="2026"/>
      <c r="S51" s="2026"/>
      <c r="T51" s="2026"/>
      <c r="U51" s="2026"/>
      <c r="V51" s="2026"/>
      <c r="W51" s="2026"/>
      <c r="X51" s="2026"/>
      <c r="Y51" s="2026"/>
      <c r="Z51" s="2026"/>
      <c r="AA51" s="2026"/>
      <c r="AB51" s="2026"/>
      <c r="AC51" s="2026"/>
      <c r="AD51" s="2026"/>
      <c r="AE51" s="2026"/>
      <c r="AF51" s="2026"/>
      <c r="AG51" s="2026"/>
      <c r="AH51" s="2026"/>
      <c r="AI51" s="2026"/>
      <c r="AJ51" s="2026"/>
      <c r="AK51" s="2026"/>
    </row>
    <row r="52" spans="2:43" ht="11.25" customHeight="1">
      <c r="B52" s="1827"/>
      <c r="C52" s="1827"/>
      <c r="D52" s="1827"/>
      <c r="E52" s="1827"/>
      <c r="F52" s="1827"/>
      <c r="G52" s="1827"/>
      <c r="H52" s="1827"/>
      <c r="I52" s="1827"/>
      <c r="J52" s="1827"/>
      <c r="K52" s="1827"/>
      <c r="L52" s="1827"/>
      <c r="M52" s="1827"/>
      <c r="N52" s="1827"/>
      <c r="O52" s="1827"/>
      <c r="P52" s="1827"/>
      <c r="Q52" s="1827"/>
      <c r="R52" s="1827"/>
      <c r="S52" s="1827"/>
      <c r="T52" s="1827"/>
      <c r="U52" s="1827"/>
      <c r="V52" s="1827"/>
      <c r="W52" s="1827"/>
      <c r="X52" s="1827"/>
      <c r="Y52" s="1827"/>
      <c r="Z52" s="1827"/>
      <c r="AA52" s="1827"/>
      <c r="AB52" s="1827"/>
      <c r="AC52" s="1827"/>
      <c r="AD52" s="1827"/>
      <c r="AE52" s="1827"/>
      <c r="AF52" s="1827"/>
      <c r="AG52" s="1827"/>
      <c r="AH52" s="1827"/>
      <c r="AI52" s="1827"/>
      <c r="AJ52" s="1827"/>
      <c r="AK52" s="1827"/>
    </row>
    <row r="53" spans="2:43" ht="11.25" customHeight="1">
      <c r="B53" s="1827"/>
      <c r="C53" s="1827"/>
      <c r="D53" s="1827"/>
      <c r="E53" s="1827"/>
      <c r="F53" s="1827"/>
      <c r="G53" s="1827"/>
      <c r="H53" s="1827"/>
      <c r="I53" s="1827"/>
      <c r="J53" s="1827"/>
      <c r="K53" s="1827"/>
      <c r="L53" s="1827"/>
      <c r="M53" s="1827"/>
      <c r="N53" s="1827"/>
      <c r="O53" s="1827"/>
      <c r="P53" s="1827"/>
      <c r="Q53" s="1827"/>
      <c r="R53" s="1827"/>
      <c r="S53" s="1827"/>
      <c r="T53" s="1827"/>
      <c r="U53" s="1827"/>
      <c r="V53" s="1827"/>
      <c r="W53" s="1827"/>
      <c r="X53" s="1827"/>
      <c r="Y53" s="1827"/>
      <c r="Z53" s="1827"/>
      <c r="AA53" s="1827"/>
      <c r="AB53" s="1827"/>
      <c r="AC53" s="1827"/>
      <c r="AD53" s="1827"/>
      <c r="AE53" s="1827"/>
      <c r="AF53" s="1827"/>
      <c r="AG53" s="1827"/>
      <c r="AH53" s="1827"/>
      <c r="AI53" s="1827"/>
      <c r="AJ53" s="1827"/>
      <c r="AK53" s="1827"/>
    </row>
    <row r="54" spans="2:43" ht="11.25" customHeight="1">
      <c r="B54" s="1827"/>
      <c r="C54" s="1827"/>
      <c r="D54" s="1827"/>
      <c r="E54" s="1827"/>
      <c r="F54" s="1827"/>
      <c r="G54" s="1827"/>
      <c r="H54" s="1827"/>
      <c r="I54" s="1827"/>
      <c r="J54" s="1827"/>
      <c r="K54" s="1827"/>
      <c r="L54" s="1827"/>
      <c r="M54" s="1827"/>
      <c r="N54" s="1827"/>
      <c r="O54" s="1827"/>
      <c r="P54" s="1827"/>
      <c r="Q54" s="1827"/>
      <c r="R54" s="1827"/>
      <c r="S54" s="1827"/>
      <c r="T54" s="1827"/>
      <c r="U54" s="1827"/>
      <c r="V54" s="1827"/>
      <c r="W54" s="1827"/>
      <c r="X54" s="1827"/>
      <c r="Y54" s="1827"/>
      <c r="Z54" s="1827"/>
      <c r="AA54" s="1827"/>
      <c r="AB54" s="1827"/>
      <c r="AC54" s="1827"/>
      <c r="AD54" s="1827"/>
      <c r="AE54" s="1827"/>
      <c r="AF54" s="1827"/>
      <c r="AG54" s="1827"/>
      <c r="AH54" s="1827"/>
      <c r="AI54" s="1827"/>
      <c r="AJ54" s="1827"/>
      <c r="AK54" s="1827"/>
    </row>
    <row r="55" spans="2:43" ht="11.25" customHeight="1"/>
    <row r="56" spans="2:43" ht="11.25" customHeight="1">
      <c r="B56" s="2027"/>
      <c r="C56" s="2027"/>
      <c r="D56" s="2027"/>
      <c r="E56" s="2027"/>
      <c r="F56" s="2027"/>
      <c r="G56" s="2027"/>
      <c r="H56" s="2027"/>
      <c r="I56" s="2027"/>
      <c r="J56" s="2027"/>
      <c r="K56" s="2027"/>
      <c r="L56" s="2027"/>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row>
    <row r="57" spans="2:43" ht="11.25" customHeight="1">
      <c r="B57" s="287"/>
      <c r="C57" s="287"/>
      <c r="D57" s="287"/>
      <c r="E57" s="287"/>
      <c r="F57" s="287"/>
      <c r="G57" s="287"/>
      <c r="H57" s="287"/>
      <c r="I57" s="287"/>
      <c r="J57" s="287"/>
      <c r="K57" s="287"/>
      <c r="L57" s="287"/>
      <c r="M57" s="287"/>
      <c r="N57" s="287"/>
      <c r="O57" s="287"/>
      <c r="P57" s="287"/>
      <c r="Q57" s="287"/>
      <c r="R57" s="287"/>
      <c r="S57" s="287"/>
      <c r="T57" s="287"/>
      <c r="U57" s="287"/>
      <c r="V57" s="287"/>
      <c r="W57" s="287"/>
      <c r="X57" s="1802"/>
      <c r="Y57" s="1802"/>
      <c r="Z57" s="1802"/>
      <c r="AA57" s="1802"/>
      <c r="AB57" s="1802"/>
      <c r="AC57" s="1802"/>
      <c r="AD57" s="1802"/>
      <c r="AE57" s="1802"/>
      <c r="AF57" s="1802"/>
    </row>
    <row r="58" spans="2:43" ht="11.25" customHeight="1">
      <c r="B58" s="287"/>
      <c r="C58" s="287"/>
      <c r="D58" s="287"/>
      <c r="E58" s="287"/>
      <c r="F58" s="287"/>
      <c r="G58" s="287"/>
      <c r="H58" s="287"/>
      <c r="I58" s="287"/>
      <c r="J58" s="287"/>
      <c r="K58" s="287"/>
      <c r="L58" s="287"/>
      <c r="M58" s="287"/>
      <c r="N58" s="287"/>
      <c r="O58" s="287"/>
      <c r="P58" s="287"/>
      <c r="Q58" s="287"/>
      <c r="R58" s="287"/>
      <c r="S58" s="287"/>
      <c r="T58" s="287"/>
      <c r="U58" s="287"/>
      <c r="V58" s="287"/>
      <c r="W58" s="287"/>
      <c r="X58" s="1802"/>
      <c r="Y58" s="1802"/>
      <c r="Z58" s="1802"/>
      <c r="AA58" s="1802"/>
      <c r="AB58" s="1802"/>
      <c r="AC58" s="1802"/>
      <c r="AD58" s="1802"/>
      <c r="AE58" s="1802"/>
      <c r="AF58" s="1802"/>
    </row>
    <row r="59" spans="2:43" ht="11.25" customHeight="1">
      <c r="B59" s="287"/>
      <c r="C59" s="287"/>
      <c r="D59" s="287"/>
      <c r="E59" s="287"/>
      <c r="F59" s="287"/>
      <c r="G59" s="287"/>
      <c r="H59" s="287"/>
      <c r="I59" s="287"/>
      <c r="J59" s="287"/>
      <c r="K59" s="287"/>
      <c r="L59" s="287"/>
      <c r="M59" s="287"/>
      <c r="N59" s="287"/>
      <c r="O59" s="287"/>
      <c r="P59" s="287"/>
      <c r="Q59" s="287"/>
      <c r="R59" s="287"/>
      <c r="S59" s="287"/>
      <c r="T59" s="287"/>
      <c r="U59" s="287"/>
      <c r="V59" s="287"/>
      <c r="W59" s="287"/>
      <c r="X59" s="1802"/>
      <c r="Y59" s="1802"/>
      <c r="Z59" s="1802"/>
      <c r="AA59" s="1802"/>
      <c r="AB59" s="1802"/>
      <c r="AC59" s="1802"/>
      <c r="AD59" s="1802"/>
      <c r="AE59" s="1802"/>
      <c r="AF59" s="1802"/>
    </row>
    <row r="60" spans="2:43" ht="11.25" customHeight="1" outlineLevel="1">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1802"/>
      <c r="Y60" s="1802"/>
      <c r="Z60" s="1802"/>
      <c r="AA60" s="1802"/>
      <c r="AB60" s="1802"/>
      <c r="AC60" s="1802"/>
      <c r="AD60" s="1802"/>
      <c r="AE60" s="1802"/>
      <c r="AF60" s="1802"/>
    </row>
    <row r="61" spans="2:43" ht="11.25" customHeight="1" outlineLevel="1">
      <c r="B61" s="190" t="s">
        <v>749</v>
      </c>
      <c r="C61" s="191"/>
      <c r="D61" s="191"/>
      <c r="E61" s="191"/>
      <c r="F61" s="191"/>
      <c r="G61" s="191"/>
      <c r="H61" s="191"/>
      <c r="I61" s="191"/>
      <c r="J61" s="191"/>
      <c r="K61" s="191"/>
      <c r="L61" s="191"/>
      <c r="M61" s="191"/>
      <c r="N61" s="191"/>
      <c r="O61" s="191"/>
      <c r="P61" s="191"/>
      <c r="Q61" s="191"/>
      <c r="R61" s="191"/>
      <c r="S61" s="191"/>
      <c r="T61" s="191"/>
      <c r="U61" s="191"/>
      <c r="V61" s="191"/>
      <c r="W61" s="191"/>
      <c r="X61" s="1007"/>
      <c r="Y61" s="1007"/>
      <c r="Z61" s="1007"/>
      <c r="AA61" s="1007"/>
      <c r="AB61" s="1007"/>
      <c r="AC61" s="1007"/>
      <c r="AD61" s="1007"/>
      <c r="AE61" s="1007"/>
      <c r="AF61" s="1007"/>
    </row>
    <row r="62" spans="2:43" ht="11.25" customHeight="1"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011"/>
      <c r="Y62" s="1006"/>
      <c r="Z62" s="1006"/>
      <c r="AA62" s="1006"/>
      <c r="AB62" s="1006"/>
      <c r="AC62" s="1006"/>
      <c r="AD62" s="1006"/>
      <c r="AE62" s="1006"/>
      <c r="AF62" s="1006"/>
    </row>
    <row r="63" spans="2:43" ht="11.25" customHeight="1" outlineLevel="1">
      <c r="B63" s="165" t="s">
        <v>1817</v>
      </c>
      <c r="E63" s="167"/>
      <c r="F63" s="167"/>
      <c r="G63" s="167"/>
      <c r="H63" s="167"/>
      <c r="I63" s="167"/>
      <c r="J63" s="167"/>
      <c r="K63" s="167"/>
      <c r="L63" s="167"/>
      <c r="M63" s="167"/>
      <c r="N63" s="167"/>
      <c r="O63" s="197"/>
      <c r="P63" s="198"/>
      <c r="Q63" s="199"/>
      <c r="R63" s="198"/>
      <c r="S63" s="198"/>
      <c r="T63" s="198"/>
      <c r="U63" s="198"/>
      <c r="V63" s="198"/>
      <c r="W63" s="198"/>
      <c r="X63" s="1804">
        <v>2001</v>
      </c>
      <c r="Y63" s="1828"/>
      <c r="Z63" s="1829">
        <v>2003</v>
      </c>
      <c r="AA63" s="1828"/>
      <c r="AB63" s="1829">
        <v>2005</v>
      </c>
      <c r="AC63" s="1828"/>
      <c r="AD63" s="1829">
        <v>2007</v>
      </c>
      <c r="AE63" s="1828"/>
      <c r="AF63" s="1829">
        <v>2009</v>
      </c>
      <c r="AG63" s="1829">
        <v>2010</v>
      </c>
      <c r="AH63" s="1829">
        <v>2011</v>
      </c>
      <c r="AI63" s="1829">
        <v>2012</v>
      </c>
      <c r="AJ63" s="1829">
        <v>2013</v>
      </c>
      <c r="AK63" s="1829">
        <v>2014</v>
      </c>
      <c r="AL63" s="1829">
        <v>2015</v>
      </c>
      <c r="AM63" s="1829">
        <v>2016</v>
      </c>
      <c r="AN63" s="1829">
        <v>2017</v>
      </c>
      <c r="AO63" s="1829">
        <v>2018</v>
      </c>
      <c r="AP63" s="1829">
        <v>2019</v>
      </c>
      <c r="AQ63" s="1829">
        <v>2020</v>
      </c>
    </row>
    <row r="64" spans="2:43" ht="11.25" customHeight="1" outlineLevel="1">
      <c r="B64" s="165" t="s">
        <v>1818</v>
      </c>
      <c r="E64" s="167"/>
      <c r="F64" s="167"/>
      <c r="G64" s="167"/>
      <c r="H64" s="167"/>
      <c r="I64" s="167"/>
      <c r="J64" s="167"/>
      <c r="K64" s="167"/>
      <c r="L64" s="167"/>
      <c r="M64" s="167"/>
      <c r="N64" s="167"/>
      <c r="O64" s="197"/>
      <c r="P64" s="198"/>
      <c r="Q64" s="199"/>
      <c r="R64" s="198"/>
      <c r="S64" s="198"/>
      <c r="T64" s="198"/>
      <c r="U64" s="198"/>
      <c r="V64" s="198"/>
      <c r="W64" s="198"/>
      <c r="Y64" s="1830"/>
      <c r="AA64" s="1830"/>
      <c r="AB64" s="1830"/>
      <c r="AC64" s="1830"/>
      <c r="AE64" s="1830"/>
    </row>
    <row r="65" spans="2:43" ht="11.25" customHeight="1" outlineLevel="1">
      <c r="B65" s="292" t="s">
        <v>28</v>
      </c>
      <c r="C65" s="158" t="s">
        <v>29</v>
      </c>
      <c r="E65" s="167"/>
      <c r="F65" s="167"/>
      <c r="G65" s="167"/>
      <c r="H65" s="167"/>
      <c r="I65" s="167"/>
      <c r="J65" s="167"/>
      <c r="K65" s="167"/>
      <c r="L65" s="167"/>
      <c r="M65" s="167"/>
      <c r="N65" s="167"/>
      <c r="O65" s="197"/>
      <c r="P65" s="198"/>
      <c r="Q65" s="199"/>
      <c r="R65" s="198"/>
      <c r="S65" s="198"/>
      <c r="T65" s="198"/>
      <c r="U65" s="198"/>
      <c r="V65" s="198"/>
      <c r="W65" s="198"/>
      <c r="X65" s="1045">
        <v>4870799.6260000002</v>
      </c>
      <c r="Z65" s="1045">
        <v>5526039.2000000002</v>
      </c>
      <c r="AB65" s="1045">
        <v>6562652.7340000002</v>
      </c>
      <c r="AD65" s="1045">
        <v>7726773.7259999998</v>
      </c>
      <c r="AF65" s="1045">
        <v>8006570.3449999997</v>
      </c>
      <c r="AG65" s="1045">
        <v>8734843.8389999997</v>
      </c>
      <c r="AH65" s="1045">
        <v>9504275.3629999999</v>
      </c>
      <c r="AI65" s="1045">
        <v>10237972.5</v>
      </c>
      <c r="AJ65" s="1045">
        <v>10819250.938999999</v>
      </c>
      <c r="AK65" s="1045">
        <v>11515260.543</v>
      </c>
      <c r="AL65" s="1045">
        <v>12148383.341</v>
      </c>
      <c r="AM65" s="1045">
        <v>13189005.444</v>
      </c>
      <c r="AN65" s="1045">
        <v>14305262.471000001</v>
      </c>
      <c r="AO65" s="1045">
        <v>15238385.107999999</v>
      </c>
      <c r="AP65" s="1045">
        <v>15866221.011</v>
      </c>
      <c r="AQ65" s="1045">
        <v>14740176.716</v>
      </c>
    </row>
    <row r="66" spans="2:43" ht="11.25" customHeight="1" outlineLevel="1">
      <c r="B66" s="276"/>
      <c r="E66" s="167"/>
      <c r="F66" s="167"/>
      <c r="G66" s="167"/>
      <c r="H66" s="167"/>
      <c r="I66" s="167"/>
      <c r="J66" s="167"/>
      <c r="K66" s="167"/>
      <c r="L66" s="167"/>
      <c r="M66" s="167"/>
      <c r="N66" s="167"/>
      <c r="O66" s="197"/>
      <c r="P66" s="198"/>
      <c r="Q66" s="199"/>
      <c r="R66" s="198"/>
      <c r="S66" s="198"/>
      <c r="T66" s="198"/>
      <c r="U66" s="198"/>
      <c r="V66" s="198"/>
      <c r="W66" s="198"/>
      <c r="X66" s="1045"/>
      <c r="Z66" s="1045"/>
      <c r="AB66" s="1045"/>
      <c r="AD66" s="1045"/>
      <c r="AF66" s="1045"/>
      <c r="AG66" s="1045"/>
      <c r="AH66" s="1045"/>
      <c r="AI66" s="1045"/>
      <c r="AJ66" s="1045"/>
      <c r="AK66" s="1045"/>
      <c r="AL66" s="1045"/>
      <c r="AM66" s="1045"/>
      <c r="AN66" s="1045"/>
      <c r="AO66" s="1045"/>
      <c r="AP66" s="1045"/>
      <c r="AQ66" s="1045"/>
    </row>
    <row r="67" spans="2:43" ht="11.25" customHeight="1" outlineLevel="1">
      <c r="B67" s="292" t="s">
        <v>30</v>
      </c>
      <c r="C67" s="158" t="s">
        <v>31</v>
      </c>
      <c r="E67" s="167"/>
      <c r="F67" s="167"/>
      <c r="G67" s="167"/>
      <c r="H67" s="167"/>
      <c r="I67" s="167"/>
      <c r="J67" s="167"/>
      <c r="K67" s="167"/>
      <c r="L67" s="167"/>
      <c r="M67" s="167"/>
      <c r="N67" s="167"/>
      <c r="O67" s="197"/>
      <c r="P67" s="198"/>
      <c r="Q67" s="199"/>
      <c r="R67" s="198"/>
      <c r="S67" s="198"/>
      <c r="T67" s="198"/>
      <c r="U67" s="198"/>
      <c r="V67" s="198"/>
      <c r="W67" s="198"/>
      <c r="X67" s="1045">
        <v>4955109.0344241392</v>
      </c>
      <c r="Z67" s="1045">
        <v>5713036.631000001</v>
      </c>
      <c r="AB67" s="1045">
        <v>6794250.7280000001</v>
      </c>
      <c r="AD67" s="1045">
        <v>8006655.5499999989</v>
      </c>
      <c r="AF67" s="1045">
        <v>8353198.926</v>
      </c>
      <c r="AG67" s="1045">
        <v>9109371.9969999995</v>
      </c>
      <c r="AH67" s="1045">
        <v>9932752.0420000013</v>
      </c>
      <c r="AI67" s="1045">
        <v>10708296.981999999</v>
      </c>
      <c r="AJ67" s="1045">
        <v>11316808.445999999</v>
      </c>
      <c r="AK67" s="1045">
        <v>12066713.754999999</v>
      </c>
      <c r="AL67" s="1045">
        <v>12749234.5</v>
      </c>
      <c r="AM67" s="1045">
        <v>13858563.797</v>
      </c>
      <c r="AN67" s="1045">
        <v>15021003.362000002</v>
      </c>
      <c r="AO67" s="1045">
        <v>16028748.189999999</v>
      </c>
      <c r="AP67" s="1045">
        <v>16649210.646</v>
      </c>
      <c r="AQ67" s="1045">
        <v>15546801.503000002</v>
      </c>
    </row>
    <row r="68" spans="2:43" ht="11.25" customHeight="1" outlineLevel="1">
      <c r="B68" s="276"/>
      <c r="E68" s="167"/>
      <c r="F68" s="167"/>
      <c r="G68" s="167"/>
      <c r="H68" s="167"/>
      <c r="I68" s="167"/>
      <c r="J68" s="167"/>
      <c r="K68" s="167"/>
      <c r="L68" s="167"/>
      <c r="M68" s="167"/>
      <c r="N68" s="167"/>
      <c r="O68" s="197"/>
      <c r="P68" s="198"/>
      <c r="Q68" s="199"/>
      <c r="R68" s="198"/>
      <c r="S68" s="198"/>
      <c r="T68" s="198"/>
      <c r="U68" s="198"/>
      <c r="V68" s="198"/>
      <c r="W68" s="198"/>
      <c r="AI68" s="1030"/>
      <c r="AJ68" s="1030"/>
      <c r="AK68" s="1030"/>
      <c r="AL68" s="1030"/>
      <c r="AM68" s="1030"/>
      <c r="AN68" s="1030"/>
      <c r="AO68" s="1030"/>
      <c r="AP68" s="1030"/>
      <c r="AQ68" s="1030"/>
    </row>
    <row r="69" spans="2:43" ht="11.25" customHeight="1" outlineLevel="1">
      <c r="B69" s="292" t="s">
        <v>32</v>
      </c>
      <c r="C69" s="158" t="s">
        <v>33</v>
      </c>
      <c r="E69" s="167"/>
      <c r="F69" s="167"/>
      <c r="G69" s="167"/>
      <c r="H69" s="167"/>
      <c r="I69" s="167"/>
      <c r="J69" s="167"/>
      <c r="K69" s="167"/>
      <c r="L69" s="167"/>
      <c r="M69" s="167"/>
      <c r="N69" s="167"/>
      <c r="O69" s="197"/>
      <c r="P69" s="198"/>
      <c r="Q69" s="199"/>
      <c r="R69" s="198"/>
      <c r="S69" s="198"/>
      <c r="T69" s="198"/>
      <c r="U69" s="198"/>
      <c r="V69" s="198"/>
      <c r="W69" s="198"/>
      <c r="X69" s="1045">
        <v>323706.28899999999</v>
      </c>
      <c r="Z69" s="1045">
        <v>376888.4</v>
      </c>
      <c r="AB69" s="1045">
        <v>373717.7</v>
      </c>
      <c r="AD69" s="1045">
        <v>456020.9</v>
      </c>
      <c r="AF69" s="1045">
        <v>494434.93699999998</v>
      </c>
      <c r="AG69" s="1045">
        <f t="shared" ref="AG69:AQ69" si="10">SUM(AG71:AG72)</f>
        <v>590607</v>
      </c>
      <c r="AH69" s="1045">
        <f t="shared" si="10"/>
        <v>631765.19999999995</v>
      </c>
      <c r="AI69" s="1045">
        <f t="shared" si="10"/>
        <v>678477</v>
      </c>
      <c r="AJ69" s="1045">
        <f t="shared" si="10"/>
        <v>660905.30000000005</v>
      </c>
      <c r="AK69" s="1045">
        <f t="shared" si="10"/>
        <v>827838.7</v>
      </c>
      <c r="AL69" s="1045">
        <f t="shared" si="10"/>
        <v>1068750.3</v>
      </c>
      <c r="AM69" s="1045">
        <f t="shared" si="10"/>
        <v>1212148.1000000001</v>
      </c>
      <c r="AN69" s="1045">
        <f t="shared" si="10"/>
        <v>1194585.2</v>
      </c>
      <c r="AO69" s="1045">
        <f t="shared" si="10"/>
        <v>1280815.2999999998</v>
      </c>
      <c r="AP69" s="1045">
        <f t="shared" si="10"/>
        <v>1404319.747</v>
      </c>
      <c r="AQ69" s="1045">
        <f t="shared" si="10"/>
        <v>1456564.1240000001</v>
      </c>
    </row>
    <row r="70" spans="2:43" ht="11.25" customHeight="1" outlineLevel="1">
      <c r="B70" s="276"/>
      <c r="E70" s="167"/>
      <c r="F70" s="167"/>
      <c r="G70" s="167"/>
      <c r="H70" s="167"/>
      <c r="I70" s="167"/>
      <c r="J70" s="167"/>
      <c r="K70" s="167"/>
      <c r="L70" s="167"/>
      <c r="M70" s="167"/>
      <c r="N70" s="167"/>
      <c r="O70" s="197"/>
      <c r="P70" s="198"/>
      <c r="Q70" s="199"/>
      <c r="R70" s="198"/>
      <c r="S70" s="198"/>
      <c r="T70" s="198"/>
      <c r="U70" s="198"/>
      <c r="V70" s="198"/>
      <c r="W70" s="198"/>
      <c r="AI70" s="1030"/>
      <c r="AJ70" s="1030"/>
      <c r="AK70" s="1030"/>
      <c r="AL70" s="1030"/>
      <c r="AM70" s="1030"/>
      <c r="AN70" s="1030"/>
      <c r="AO70" s="1030"/>
      <c r="AP70" s="1030"/>
      <c r="AQ70" s="1030"/>
    </row>
    <row r="71" spans="2:43" ht="11.25" customHeight="1" outlineLevel="1">
      <c r="B71" s="276"/>
      <c r="C71" s="158" t="s">
        <v>34</v>
      </c>
      <c r="E71" s="167"/>
      <c r="F71" s="167"/>
      <c r="G71" s="167"/>
      <c r="H71" s="167"/>
      <c r="I71" s="167"/>
      <c r="J71" s="167"/>
      <c r="K71" s="167"/>
      <c r="L71" s="167"/>
      <c r="M71" s="167"/>
      <c r="N71" s="167"/>
      <c r="O71" s="197"/>
      <c r="P71" s="198"/>
      <c r="Q71" s="199"/>
      <c r="R71" s="198"/>
      <c r="S71" s="198"/>
      <c r="T71" s="198"/>
      <c r="U71" s="198"/>
      <c r="V71" s="198"/>
      <c r="W71" s="198"/>
      <c r="X71" s="1045">
        <v>208408.06399999998</v>
      </c>
      <c r="Z71" s="1045">
        <v>254433.4</v>
      </c>
      <c r="AB71" s="1045">
        <v>318432</v>
      </c>
      <c r="AD71" s="1045">
        <v>409012.5</v>
      </c>
      <c r="AF71" s="1045">
        <v>407795.1</v>
      </c>
      <c r="AG71" s="1045">
        <v>504509.3</v>
      </c>
      <c r="AH71" s="1045">
        <v>537142.5</v>
      </c>
      <c r="AI71" s="1045">
        <v>579987.5</v>
      </c>
      <c r="AJ71" s="1045">
        <v>556793.9</v>
      </c>
      <c r="AK71" s="1045">
        <v>667085.1</v>
      </c>
      <c r="AL71" s="1045">
        <v>707212.80000000005</v>
      </c>
      <c r="AM71" s="1045">
        <v>791700.2</v>
      </c>
      <c r="AN71" s="1045">
        <v>816048.1</v>
      </c>
      <c r="AO71" s="1045">
        <v>922238.29999999993</v>
      </c>
      <c r="AP71" s="1045">
        <v>933326.76600000006</v>
      </c>
      <c r="AQ71" s="1045">
        <v>987524.51900000009</v>
      </c>
    </row>
    <row r="72" spans="2:43" ht="11.25" customHeight="1" outlineLevel="1">
      <c r="B72" s="276"/>
      <c r="C72" s="158" t="s">
        <v>35</v>
      </c>
      <c r="E72" s="167"/>
      <c r="F72" s="167"/>
      <c r="G72" s="167"/>
      <c r="H72" s="167"/>
      <c r="I72" s="167"/>
      <c r="J72" s="167"/>
      <c r="K72" s="167"/>
      <c r="L72" s="167"/>
      <c r="M72" s="167"/>
      <c r="N72" s="167"/>
      <c r="O72" s="197"/>
      <c r="P72" s="198"/>
      <c r="Q72" s="199"/>
      <c r="R72" s="198"/>
      <c r="S72" s="198"/>
      <c r="T72" s="198"/>
      <c r="U72" s="198"/>
      <c r="V72" s="198"/>
      <c r="W72" s="198"/>
      <c r="X72" s="1045">
        <v>115298.22500000001</v>
      </c>
      <c r="Z72" s="1045">
        <v>122455</v>
      </c>
      <c r="AB72" s="1045">
        <v>55285.7</v>
      </c>
      <c r="AD72" s="1045">
        <v>47008.4</v>
      </c>
      <c r="AF72" s="1045">
        <v>86639.837</v>
      </c>
      <c r="AG72" s="1045">
        <v>86097.7</v>
      </c>
      <c r="AH72" s="1045">
        <v>94622.7</v>
      </c>
      <c r="AI72" s="1045">
        <v>98489.5</v>
      </c>
      <c r="AJ72" s="1045">
        <v>104111.40000000001</v>
      </c>
      <c r="AK72" s="1045">
        <v>160753.60000000001</v>
      </c>
      <c r="AL72" s="1045">
        <v>361537.5</v>
      </c>
      <c r="AM72" s="1045">
        <v>420447.9</v>
      </c>
      <c r="AN72" s="1045">
        <v>378537.10000000003</v>
      </c>
      <c r="AO72" s="1045">
        <v>358577</v>
      </c>
      <c r="AP72" s="1045">
        <v>470992.98099999997</v>
      </c>
      <c r="AQ72" s="1045">
        <v>469039.60499999998</v>
      </c>
    </row>
    <row r="73" spans="2:43" ht="11.25" customHeight="1" outlineLevel="1">
      <c r="B73" s="276"/>
      <c r="E73" s="167"/>
      <c r="F73" s="167"/>
      <c r="G73" s="167"/>
      <c r="H73" s="167"/>
      <c r="I73" s="167"/>
      <c r="J73" s="167"/>
      <c r="K73" s="167"/>
      <c r="L73" s="167"/>
      <c r="M73" s="167"/>
      <c r="N73" s="167"/>
      <c r="O73" s="197"/>
      <c r="P73" s="198"/>
      <c r="Q73" s="199"/>
      <c r="R73" s="198"/>
      <c r="S73" s="198"/>
      <c r="T73" s="198"/>
      <c r="U73" s="198"/>
      <c r="V73" s="198"/>
      <c r="W73" s="198"/>
      <c r="X73" s="1045"/>
      <c r="Z73" s="1045"/>
      <c r="AB73" s="1045"/>
      <c r="AD73" s="1045"/>
      <c r="AF73" s="1045"/>
      <c r="AG73" s="1045"/>
      <c r="AH73" s="1045"/>
      <c r="AI73" s="1045"/>
      <c r="AJ73" s="1045"/>
      <c r="AK73" s="1045"/>
      <c r="AL73" s="1045"/>
      <c r="AM73" s="1045"/>
      <c r="AN73" s="1045"/>
      <c r="AO73" s="1045"/>
      <c r="AP73" s="1045"/>
      <c r="AQ73" s="1045"/>
    </row>
    <row r="74" spans="2:43" ht="11.25" customHeight="1" outlineLevel="1">
      <c r="B74" s="292" t="s">
        <v>36</v>
      </c>
      <c r="C74" s="158" t="s">
        <v>37</v>
      </c>
      <c r="E74" s="167"/>
      <c r="F74" s="167"/>
      <c r="G74" s="167"/>
      <c r="H74" s="167"/>
      <c r="I74" s="167"/>
      <c r="J74" s="167"/>
      <c r="K74" s="167"/>
      <c r="L74" s="167"/>
      <c r="M74" s="167"/>
      <c r="N74" s="167"/>
      <c r="O74" s="197"/>
      <c r="P74" s="198"/>
      <c r="Q74" s="199"/>
      <c r="R74" s="198"/>
      <c r="S74" s="198"/>
      <c r="T74" s="198"/>
      <c r="U74" s="198"/>
      <c r="V74" s="198"/>
      <c r="W74" s="198"/>
      <c r="X74" s="1045">
        <v>354521.435</v>
      </c>
      <c r="Z74" s="1045">
        <v>405575.25800000003</v>
      </c>
      <c r="AB74" s="1045">
        <v>403158.09100000001</v>
      </c>
      <c r="AD74" s="1045">
        <v>491927.76300000004</v>
      </c>
      <c r="AF74" s="1045">
        <v>546409.76300000004</v>
      </c>
      <c r="AG74" s="1045">
        <v>630122.87100000004</v>
      </c>
      <c r="AH74" s="1045">
        <v>658961.554</v>
      </c>
      <c r="AI74" s="1045">
        <v>720051.60800000001</v>
      </c>
      <c r="AJ74" s="1045">
        <v>696149.59600000002</v>
      </c>
      <c r="AK74" s="1045">
        <v>859302.24300000002</v>
      </c>
      <c r="AL74" s="1045">
        <v>1120610.1259999999</v>
      </c>
      <c r="AM74" s="1045">
        <v>1274738.2439999999</v>
      </c>
      <c r="AN74" s="1045">
        <v>1262769.9649999999</v>
      </c>
      <c r="AO74" s="1045">
        <v>1364207.895</v>
      </c>
      <c r="AP74" s="1045">
        <v>1486758.4959999998</v>
      </c>
      <c r="AQ74" s="1045">
        <v>1527715.486</v>
      </c>
    </row>
    <row r="75" spans="2:43" ht="11.25" customHeight="1" outlineLevel="1">
      <c r="B75" s="276"/>
      <c r="E75" s="167"/>
      <c r="F75" s="167"/>
      <c r="G75" s="167"/>
      <c r="H75" s="167"/>
      <c r="I75" s="167"/>
      <c r="J75" s="167"/>
      <c r="K75" s="167"/>
      <c r="L75" s="167"/>
      <c r="M75" s="167"/>
      <c r="N75" s="167"/>
      <c r="O75" s="197"/>
      <c r="P75" s="198"/>
      <c r="Q75" s="199"/>
      <c r="R75" s="198"/>
      <c r="S75" s="198"/>
      <c r="T75" s="198"/>
      <c r="U75" s="198"/>
      <c r="V75" s="198"/>
      <c r="W75" s="198"/>
      <c r="X75" s="1045"/>
      <c r="Z75" s="1045"/>
      <c r="AB75" s="1045"/>
      <c r="AD75" s="1045"/>
      <c r="AF75" s="1045"/>
      <c r="AG75" s="1045"/>
      <c r="AH75" s="1045"/>
      <c r="AI75" s="1045"/>
      <c r="AJ75" s="1045"/>
      <c r="AK75" s="1045"/>
      <c r="AL75" s="1045"/>
      <c r="AM75" s="1045"/>
      <c r="AN75" s="1045"/>
      <c r="AO75" s="1045"/>
      <c r="AP75" s="1045"/>
      <c r="AQ75" s="1045"/>
    </row>
    <row r="76" spans="2:43" ht="11.25" customHeight="1" outlineLevel="1">
      <c r="B76" s="292" t="s">
        <v>38</v>
      </c>
      <c r="C76" s="158" t="s">
        <v>39</v>
      </c>
      <c r="E76" s="167"/>
      <c r="F76" s="167"/>
      <c r="G76" s="167"/>
      <c r="H76" s="167"/>
      <c r="I76" s="167"/>
      <c r="J76" s="167"/>
      <c r="K76" s="167"/>
      <c r="L76" s="167"/>
      <c r="M76" s="167"/>
      <c r="N76" s="167"/>
      <c r="O76" s="197"/>
      <c r="P76" s="198"/>
      <c r="Q76" s="199"/>
      <c r="R76" s="198"/>
      <c r="S76" s="198"/>
      <c r="T76" s="198"/>
      <c r="U76" s="198"/>
      <c r="V76" s="198"/>
      <c r="W76" s="198"/>
      <c r="X76" s="1045">
        <v>366040.85800000001</v>
      </c>
      <c r="Z76" s="1045">
        <v>418990.23799999995</v>
      </c>
      <c r="AB76" s="1045">
        <v>418945.158</v>
      </c>
      <c r="AD76" s="1045">
        <v>513140.06500000006</v>
      </c>
      <c r="AF76" s="1045">
        <v>568126.875</v>
      </c>
      <c r="AG76" s="1045">
        <v>651915.42800000007</v>
      </c>
      <c r="AH76" s="1045">
        <v>681598.84899999993</v>
      </c>
      <c r="AI76" s="1045">
        <v>737127.86300000001</v>
      </c>
      <c r="AJ76" s="1045">
        <v>715810.96100000001</v>
      </c>
      <c r="AK76" s="1045">
        <v>880153.0340000001</v>
      </c>
      <c r="AL76" s="1045">
        <v>1141169.9309999999</v>
      </c>
      <c r="AM76" s="1045">
        <v>1295652.7860000001</v>
      </c>
      <c r="AN76" s="1045">
        <v>1283048.6189999999</v>
      </c>
      <c r="AO76" s="1045">
        <v>1381658.59</v>
      </c>
      <c r="AP76" s="1045">
        <v>1504252.4579999999</v>
      </c>
      <c r="AQ76" s="1045">
        <v>1544242.9779999999</v>
      </c>
    </row>
    <row r="77" spans="2:43" ht="11.25" customHeight="1" outlineLevel="1">
      <c r="B77" s="292"/>
      <c r="E77" s="167"/>
      <c r="F77" s="167"/>
      <c r="G77" s="167"/>
      <c r="H77" s="167"/>
      <c r="I77" s="167"/>
      <c r="J77" s="167"/>
      <c r="K77" s="167"/>
      <c r="L77" s="167"/>
      <c r="M77" s="167"/>
      <c r="N77" s="167"/>
      <c r="O77" s="197"/>
      <c r="P77" s="198"/>
      <c r="Q77" s="199"/>
      <c r="R77" s="198"/>
      <c r="S77" s="198"/>
      <c r="T77" s="198"/>
      <c r="U77" s="198"/>
      <c r="V77" s="198"/>
      <c r="W77" s="198"/>
      <c r="X77" s="1045"/>
      <c r="Z77" s="1045"/>
      <c r="AB77" s="1045"/>
      <c r="AD77" s="1045"/>
      <c r="AF77" s="1045"/>
      <c r="AG77" s="1045"/>
      <c r="AH77" s="1045"/>
      <c r="AI77" s="1045"/>
      <c r="AJ77" s="1045"/>
      <c r="AK77" s="1045"/>
      <c r="AL77" s="1045"/>
      <c r="AM77" s="1045"/>
      <c r="AN77" s="1045"/>
      <c r="AO77" s="1045"/>
      <c r="AP77" s="1045"/>
      <c r="AQ77" s="1045"/>
    </row>
    <row r="78" spans="2:43" ht="11.25" customHeight="1" outlineLevel="1">
      <c r="B78" s="158" t="s">
        <v>40</v>
      </c>
      <c r="E78" s="167"/>
      <c r="F78" s="167"/>
      <c r="G78" s="167"/>
      <c r="H78" s="167"/>
      <c r="I78" s="167"/>
      <c r="J78" s="167"/>
      <c r="K78" s="167"/>
      <c r="L78" s="167"/>
      <c r="M78" s="167"/>
      <c r="N78" s="167"/>
      <c r="O78" s="197"/>
      <c r="P78" s="198"/>
      <c r="Q78" s="199"/>
      <c r="R78" s="198"/>
      <c r="S78" s="198"/>
      <c r="T78" s="198"/>
      <c r="U78" s="198"/>
      <c r="V78" s="198"/>
      <c r="W78" s="198"/>
      <c r="X78" s="1045"/>
      <c r="Z78" s="1045"/>
      <c r="AB78" s="1045"/>
      <c r="AD78" s="1045"/>
      <c r="AF78" s="1045"/>
      <c r="AG78" s="1045"/>
      <c r="AH78" s="1045"/>
      <c r="AI78" s="1045"/>
      <c r="AJ78" s="1045"/>
      <c r="AK78" s="1045"/>
      <c r="AL78" s="1045"/>
      <c r="AM78" s="1045"/>
      <c r="AN78" s="1045"/>
      <c r="AO78" s="1045"/>
      <c r="AP78" s="1045"/>
      <c r="AQ78" s="1045"/>
    </row>
    <row r="79" spans="2:43" ht="11.25" customHeight="1" outlineLevel="1">
      <c r="B79" s="276"/>
      <c r="E79" s="167"/>
      <c r="F79" s="167"/>
      <c r="G79" s="167"/>
      <c r="H79" s="167"/>
      <c r="I79" s="167"/>
      <c r="J79" s="167"/>
      <c r="K79" s="167"/>
      <c r="L79" s="167"/>
      <c r="M79" s="167"/>
      <c r="N79" s="167"/>
      <c r="O79" s="197"/>
      <c r="P79" s="198"/>
      <c r="Q79" s="199"/>
      <c r="R79" s="198"/>
      <c r="S79" s="198"/>
      <c r="T79" s="198"/>
      <c r="U79" s="198"/>
      <c r="V79" s="198"/>
      <c r="W79" s="198"/>
      <c r="X79" s="1045"/>
      <c r="Z79" s="1045"/>
      <c r="AB79" s="1045"/>
      <c r="AD79" s="1045"/>
      <c r="AF79" s="1045"/>
      <c r="AG79" s="1045"/>
      <c r="AH79" s="1045"/>
      <c r="AI79" s="1045"/>
      <c r="AJ79" s="1045"/>
      <c r="AK79" s="1045"/>
      <c r="AL79" s="1045"/>
      <c r="AM79" s="1045"/>
      <c r="AN79" s="1045"/>
      <c r="AO79" s="1045"/>
      <c r="AP79" s="1045"/>
      <c r="AQ79" s="1045"/>
    </row>
    <row r="80" spans="2:43" ht="11.25" customHeight="1" outlineLevel="1">
      <c r="B80" s="293" t="s">
        <v>41</v>
      </c>
      <c r="C80" s="294" t="s">
        <v>42</v>
      </c>
      <c r="D80" s="294"/>
      <c r="E80" s="167"/>
      <c r="F80" s="167"/>
      <c r="G80" s="167"/>
      <c r="H80" s="167"/>
      <c r="I80" s="167"/>
      <c r="J80" s="167"/>
      <c r="K80" s="167"/>
      <c r="L80" s="167"/>
      <c r="M80" s="167"/>
      <c r="N80" s="167"/>
      <c r="O80" s="197"/>
      <c r="P80" s="198"/>
      <c r="Q80" s="199"/>
      <c r="R80" s="198"/>
      <c r="S80" s="198"/>
      <c r="T80" s="198"/>
      <c r="U80" s="198"/>
      <c r="V80" s="198"/>
      <c r="W80" s="198"/>
      <c r="X80" s="1831">
        <v>6.5327783253839075E-2</v>
      </c>
      <c r="Y80" s="1802"/>
      <c r="Z80" s="1831">
        <v>6.596989033029009E-2</v>
      </c>
      <c r="AA80" s="1802"/>
      <c r="AB80" s="1831">
        <v>5.5004990978601988E-2</v>
      </c>
      <c r="AC80" s="1802"/>
      <c r="AD80" s="1831">
        <v>5.6955228953242544E-2</v>
      </c>
      <c r="AE80" s="1802"/>
      <c r="AF80" s="1831">
        <v>5.9191088513531227E-2</v>
      </c>
      <c r="AG80" s="1831">
        <f t="shared" ref="AG80:AQ80" si="11">AG69/AG67</f>
        <v>6.4835095129994177E-2</v>
      </c>
      <c r="AH80" s="1831">
        <f t="shared" si="11"/>
        <v>6.3604245563427086E-2</v>
      </c>
      <c r="AI80" s="1831">
        <f t="shared" si="11"/>
        <v>6.3359934930874523E-2</v>
      </c>
      <c r="AJ80" s="1831">
        <f t="shared" si="11"/>
        <v>5.8400325776796325E-2</v>
      </c>
      <c r="AK80" s="1831">
        <f t="shared" si="11"/>
        <v>6.8605149405899707E-2</v>
      </c>
      <c r="AL80" s="1831">
        <f t="shared" si="11"/>
        <v>8.382858594372862E-2</v>
      </c>
      <c r="AM80" s="1831">
        <f t="shared" si="11"/>
        <v>8.7465636248858405E-2</v>
      </c>
      <c r="AN80" s="1831">
        <f t="shared" si="11"/>
        <v>7.9527656789029871E-2</v>
      </c>
      <c r="AO80" s="1831">
        <f t="shared" si="11"/>
        <v>7.9907381713006986E-2</v>
      </c>
      <c r="AP80" s="1831">
        <f t="shared" si="11"/>
        <v>8.4347527150627419E-2</v>
      </c>
      <c r="AQ80" s="1831">
        <f t="shared" si="11"/>
        <v>9.3688989578913251E-2</v>
      </c>
    </row>
    <row r="81" spans="2:44" ht="11.25" customHeight="1" outlineLevel="1">
      <c r="B81" s="276"/>
      <c r="E81" s="167"/>
      <c r="F81" s="167"/>
      <c r="G81" s="167"/>
      <c r="H81" s="167"/>
      <c r="I81" s="167"/>
      <c r="J81" s="167"/>
      <c r="K81" s="167"/>
      <c r="L81" s="167"/>
      <c r="M81" s="167"/>
      <c r="N81" s="167"/>
      <c r="O81" s="197"/>
      <c r="P81" s="198"/>
      <c r="Q81" s="199"/>
      <c r="R81" s="198"/>
      <c r="S81" s="198"/>
      <c r="T81" s="198"/>
      <c r="U81" s="198"/>
      <c r="V81" s="198"/>
      <c r="W81" s="198"/>
      <c r="X81" s="1045"/>
      <c r="Z81" s="1045"/>
      <c r="AB81" s="1045"/>
      <c r="AD81" s="1045"/>
      <c r="AF81" s="1045"/>
      <c r="AG81" s="1045"/>
      <c r="AH81" s="1045"/>
      <c r="AI81" s="1045"/>
      <c r="AJ81" s="1045"/>
      <c r="AK81" s="1045"/>
      <c r="AL81" s="1045"/>
      <c r="AM81" s="1045"/>
      <c r="AN81" s="1045"/>
      <c r="AO81" s="1045"/>
      <c r="AP81" s="1045"/>
      <c r="AQ81" s="1045"/>
    </row>
    <row r="82" spans="2:44" ht="11.25" customHeight="1" outlineLevel="1">
      <c r="B82" s="292" t="s">
        <v>43</v>
      </c>
      <c r="C82" s="158" t="s">
        <v>44</v>
      </c>
      <c r="E82" s="167"/>
      <c r="F82" s="167"/>
      <c r="G82" s="167"/>
      <c r="H82" s="167"/>
      <c r="I82" s="167"/>
      <c r="J82" s="167"/>
      <c r="K82" s="167"/>
      <c r="L82" s="167"/>
      <c r="M82" s="167"/>
      <c r="N82" s="167"/>
      <c r="O82" s="197"/>
      <c r="P82" s="198"/>
      <c r="Q82" s="199"/>
      <c r="R82" s="198"/>
      <c r="S82" s="198"/>
      <c r="T82" s="198"/>
      <c r="U82" s="198"/>
      <c r="V82" s="198"/>
      <c r="W82" s="198"/>
      <c r="X82" s="1832">
        <v>7.3871403324738266E-2</v>
      </c>
      <c r="Z82" s="1832">
        <v>7.3339322861415049E-2</v>
      </c>
      <c r="AB82" s="1832">
        <v>6.1661715878908022E-2</v>
      </c>
      <c r="AD82" s="1832">
        <v>6.4089189524332679E-2</v>
      </c>
      <c r="AF82" s="1832">
        <v>6.8013090557637698E-2</v>
      </c>
      <c r="AG82" s="1832">
        <f t="shared" ref="AG82:AQ82" si="12">AG76/AG67</f>
        <v>7.1565353595692022E-2</v>
      </c>
      <c r="AH82" s="1832">
        <f t="shared" si="12"/>
        <v>6.8621349462656786E-2</v>
      </c>
      <c r="AI82" s="1832">
        <f t="shared" si="12"/>
        <v>6.8837076916998793E-2</v>
      </c>
      <c r="AJ82" s="1832">
        <f t="shared" si="12"/>
        <v>6.3252017069618971E-2</v>
      </c>
      <c r="AK82" s="1832">
        <f t="shared" si="12"/>
        <v>7.2940574531760755E-2</v>
      </c>
      <c r="AL82" s="1832">
        <f t="shared" si="12"/>
        <v>8.9508898044035501E-2</v>
      </c>
      <c r="AM82" s="1832">
        <f t="shared" si="12"/>
        <v>9.3491129743218659E-2</v>
      </c>
      <c r="AN82" s="1832">
        <f t="shared" si="12"/>
        <v>8.5416971694836627E-2</v>
      </c>
      <c r="AO82" s="1832">
        <f t="shared" si="12"/>
        <v>8.6198783187696956E-2</v>
      </c>
      <c r="AP82" s="1832">
        <f t="shared" si="12"/>
        <v>9.0349776333774653E-2</v>
      </c>
      <c r="AQ82" s="1832">
        <f t="shared" si="12"/>
        <v>9.9328661120553552E-2</v>
      </c>
    </row>
    <row r="83" spans="2:44" ht="11.25" customHeight="1" outlineLevel="1">
      <c r="B83" s="276"/>
      <c r="E83" s="167"/>
      <c r="F83" s="167"/>
      <c r="G83" s="167"/>
      <c r="H83" s="167"/>
      <c r="I83" s="167"/>
      <c r="J83" s="167"/>
      <c r="K83" s="167"/>
      <c r="L83" s="167"/>
      <c r="M83" s="167"/>
      <c r="N83" s="167"/>
      <c r="O83" s="197"/>
      <c r="P83" s="198"/>
      <c r="Q83" s="199"/>
      <c r="R83" s="198"/>
      <c r="S83" s="198"/>
      <c r="T83" s="198"/>
      <c r="U83" s="198"/>
      <c r="V83" s="198"/>
      <c r="W83" s="198"/>
      <c r="X83" s="1045"/>
      <c r="Z83" s="1045"/>
      <c r="AB83" s="1045"/>
      <c r="AD83" s="1045"/>
      <c r="AF83" s="1045"/>
      <c r="AG83" s="1045"/>
      <c r="AH83" s="1045"/>
      <c r="AI83" s="1045"/>
      <c r="AJ83" s="1045"/>
      <c r="AK83" s="1045"/>
      <c r="AL83" s="1045"/>
      <c r="AM83" s="1045"/>
      <c r="AN83" s="1045"/>
      <c r="AO83" s="1045"/>
      <c r="AP83" s="1045"/>
      <c r="AQ83" s="1045"/>
    </row>
    <row r="84" spans="2:44" ht="11.25" customHeight="1" outlineLevel="1">
      <c r="B84" s="292" t="s">
        <v>45</v>
      </c>
      <c r="C84" s="158" t="s">
        <v>46</v>
      </c>
      <c r="E84" s="167"/>
      <c r="F84" s="167"/>
      <c r="G84" s="167"/>
      <c r="H84" s="167"/>
      <c r="I84" s="167"/>
      <c r="J84" s="167"/>
      <c r="K84" s="167"/>
      <c r="L84" s="167"/>
      <c r="M84" s="167"/>
      <c r="N84" s="167"/>
      <c r="O84" s="197"/>
      <c r="P84" s="198"/>
      <c r="Q84" s="199"/>
      <c r="R84" s="198"/>
      <c r="S84" s="198"/>
      <c r="T84" s="198"/>
      <c r="U84" s="198"/>
      <c r="V84" s="198"/>
      <c r="W84" s="198"/>
      <c r="X84" s="1832">
        <v>7.5150054632939237E-2</v>
      </c>
      <c r="Z84" s="1832">
        <v>7.5821075970651811E-2</v>
      </c>
      <c r="AB84" s="1832">
        <v>6.3837776426827461E-2</v>
      </c>
      <c r="AD84" s="1832">
        <v>6.6410649929261309E-2</v>
      </c>
      <c r="AF84" s="1832">
        <v>7.095758240040792E-2</v>
      </c>
      <c r="AG84" s="1832">
        <f t="shared" ref="AG84:AQ84" si="13">AG76/AG65</f>
        <v>7.463389615384744E-2</v>
      </c>
      <c r="AH84" s="1832">
        <f t="shared" si="13"/>
        <v>7.1714972785137721E-2</v>
      </c>
      <c r="AI84" s="1832">
        <f t="shared" si="13"/>
        <v>7.1999398611394982E-2</v>
      </c>
      <c r="AJ84" s="1832">
        <f t="shared" si="13"/>
        <v>6.6160861323562289E-2</v>
      </c>
      <c r="AK84" s="1832">
        <f t="shared" si="13"/>
        <v>7.6433618736923448E-2</v>
      </c>
      <c r="AL84" s="1832">
        <f t="shared" si="13"/>
        <v>9.3935950074000865E-2</v>
      </c>
      <c r="AM84" s="1832">
        <f t="shared" si="13"/>
        <v>9.8237338023802551E-2</v>
      </c>
      <c r="AN84" s="1832">
        <f t="shared" si="13"/>
        <v>8.9690673037354562E-2</v>
      </c>
      <c r="AO84" s="1832">
        <f t="shared" si="13"/>
        <v>9.0669620186632716E-2</v>
      </c>
      <c r="AP84" s="1832">
        <f t="shared" si="13"/>
        <v>9.4808490122323799E-2</v>
      </c>
      <c r="AQ84" s="1832">
        <f t="shared" si="13"/>
        <v>0.10476421061653708</v>
      </c>
    </row>
    <row r="85" spans="2:44" ht="11.25" customHeight="1" outlineLevel="1">
      <c r="B85" s="226"/>
      <c r="C85" s="226"/>
      <c r="D85" s="226"/>
      <c r="E85" s="562"/>
      <c r="F85" s="562"/>
      <c r="G85" s="562"/>
      <c r="H85" s="562"/>
      <c r="I85" s="562"/>
      <c r="J85" s="562"/>
      <c r="K85" s="562"/>
      <c r="L85" s="562"/>
      <c r="M85" s="562"/>
      <c r="N85" s="562"/>
      <c r="O85" s="561"/>
      <c r="P85" s="194"/>
      <c r="Q85" s="194"/>
      <c r="R85" s="194"/>
      <c r="S85" s="194"/>
      <c r="T85" s="194"/>
      <c r="U85" s="194"/>
      <c r="V85" s="194"/>
      <c r="W85" s="194"/>
      <c r="X85" s="1804"/>
      <c r="Y85" s="1804"/>
      <c r="Z85" s="1804"/>
      <c r="AA85" s="1804"/>
      <c r="AB85" s="1804"/>
      <c r="AC85" s="1804"/>
      <c r="AD85" s="1804"/>
      <c r="AE85" s="1804"/>
      <c r="AF85" s="1804"/>
      <c r="AG85" s="1804"/>
      <c r="AH85" s="1804"/>
      <c r="AI85" s="1804"/>
      <c r="AJ85" s="1804"/>
      <c r="AK85" s="1804"/>
      <c r="AL85" s="1804"/>
      <c r="AM85" s="1804"/>
      <c r="AN85" s="1804"/>
      <c r="AO85" s="1804"/>
      <c r="AP85" s="1804"/>
      <c r="AQ85" s="1804"/>
    </row>
    <row r="86" spans="2:44" ht="11.25" customHeight="1" outlineLevel="1">
      <c r="E86" s="167"/>
      <c r="F86" s="167"/>
      <c r="G86" s="167"/>
      <c r="H86" s="167"/>
      <c r="I86" s="167"/>
      <c r="J86" s="167"/>
      <c r="K86" s="167"/>
      <c r="L86" s="167"/>
      <c r="M86" s="167"/>
      <c r="N86" s="167"/>
      <c r="O86" s="197"/>
      <c r="P86" s="198"/>
      <c r="Q86" s="199"/>
      <c r="R86" s="198"/>
      <c r="S86" s="198"/>
      <c r="T86" s="198"/>
      <c r="U86" s="198"/>
      <c r="V86" s="198"/>
      <c r="W86" s="198"/>
      <c r="AI86" s="1030"/>
      <c r="AJ86" s="1030"/>
      <c r="AP86" s="545"/>
    </row>
    <row r="87" spans="2:44" ht="11.25" customHeight="1" outlineLevel="1">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row>
    <row r="88" spans="2:44" ht="11.25" customHeight="1">
      <c r="X88" s="1800"/>
      <c r="Z88" s="1800"/>
      <c r="AD88" s="1800"/>
      <c r="AF88" s="1800"/>
    </row>
    <row r="89" spans="2:44" ht="12" customHeight="1">
      <c r="X89" s="1800"/>
      <c r="Z89" s="1800"/>
      <c r="AD89" s="1800"/>
      <c r="AF89" s="1800"/>
    </row>
    <row r="90" spans="2:44" ht="21.75" customHeight="1">
      <c r="B90" s="286" t="s">
        <v>750</v>
      </c>
      <c r="C90" s="287"/>
      <c r="D90" s="287"/>
      <c r="E90" s="287"/>
      <c r="F90" s="287"/>
      <c r="G90" s="287"/>
      <c r="H90" s="287"/>
      <c r="I90" s="287"/>
      <c r="J90" s="287"/>
      <c r="K90" s="287"/>
      <c r="L90" s="287"/>
      <c r="M90" s="287"/>
      <c r="N90" s="287"/>
      <c r="O90" s="287"/>
      <c r="P90" s="287"/>
      <c r="Q90" s="287"/>
      <c r="R90" s="287"/>
      <c r="S90" s="287"/>
      <c r="T90" s="287"/>
      <c r="U90" s="287"/>
      <c r="V90" s="287"/>
      <c r="W90" s="287"/>
      <c r="X90" s="1802"/>
      <c r="Y90" s="1802"/>
      <c r="Z90" s="1802"/>
      <c r="AA90" s="1802"/>
      <c r="AB90" s="1802"/>
      <c r="AC90" s="1802"/>
      <c r="AD90" s="1802"/>
      <c r="AE90" s="1802"/>
      <c r="AF90" s="1802"/>
    </row>
    <row r="91" spans="2:44" ht="21.75" customHeight="1">
      <c r="B91" s="562"/>
      <c r="C91" s="562"/>
      <c r="D91" s="562"/>
      <c r="E91" s="562"/>
      <c r="F91" s="562"/>
      <c r="G91" s="562"/>
      <c r="H91" s="562"/>
      <c r="I91" s="562"/>
      <c r="J91" s="562"/>
      <c r="K91" s="562"/>
      <c r="L91" s="562"/>
      <c r="M91" s="562"/>
      <c r="N91" s="562"/>
      <c r="O91" s="561"/>
      <c r="P91" s="194"/>
      <c r="Q91" s="194"/>
      <c r="R91" s="194"/>
      <c r="S91" s="194"/>
      <c r="T91" s="194"/>
      <c r="U91" s="194"/>
      <c r="V91" s="194"/>
      <c r="W91" s="194"/>
      <c r="X91" s="1011"/>
      <c r="Y91" s="1011"/>
      <c r="Z91" s="1011"/>
      <c r="AA91" s="1011"/>
      <c r="AB91" s="1011"/>
      <c r="AC91" s="1011"/>
      <c r="AD91" s="1011"/>
      <c r="AE91" s="1011"/>
      <c r="AF91" s="1006"/>
    </row>
    <row r="92" spans="2:44" ht="21.75" customHeight="1">
      <c r="B92" s="209"/>
      <c r="C92" s="209"/>
      <c r="D92" s="209"/>
      <c r="E92" s="209"/>
      <c r="F92" s="209"/>
      <c r="G92" s="209"/>
      <c r="H92" s="209"/>
      <c r="I92" s="209"/>
      <c r="J92" s="209"/>
      <c r="K92" s="209"/>
      <c r="L92" s="209"/>
      <c r="M92" s="209"/>
      <c r="N92" s="209"/>
      <c r="O92" s="210"/>
      <c r="P92" s="198"/>
      <c r="Q92" s="198"/>
      <c r="R92" s="198"/>
      <c r="S92" s="198"/>
      <c r="T92" s="198"/>
      <c r="U92" s="198"/>
      <c r="V92" s="198"/>
      <c r="W92" s="198"/>
      <c r="X92" s="1012" t="s">
        <v>751</v>
      </c>
      <c r="Y92" s="1006"/>
      <c r="Z92" s="1012">
        <v>2003</v>
      </c>
      <c r="AA92" s="1006"/>
      <c r="AB92" s="1012">
        <v>2005</v>
      </c>
      <c r="AC92" s="1006"/>
      <c r="AD92" s="1012">
        <v>2007</v>
      </c>
      <c r="AE92" s="1006"/>
      <c r="AF92" s="1012">
        <v>2009</v>
      </c>
      <c r="AG92" s="1833">
        <v>2010</v>
      </c>
      <c r="AH92" s="1833">
        <v>2011</v>
      </c>
      <c r="AI92" s="1833">
        <v>2012</v>
      </c>
      <c r="AJ92" s="1833">
        <v>2013</v>
      </c>
      <c r="AK92" s="1833">
        <v>2014</v>
      </c>
      <c r="AL92" s="1833">
        <v>2015</v>
      </c>
      <c r="AM92" s="1833">
        <v>2016</v>
      </c>
      <c r="AN92" s="1833">
        <v>2017</v>
      </c>
      <c r="AO92" s="1833">
        <v>2018</v>
      </c>
      <c r="AP92" s="1833">
        <v>2019</v>
      </c>
      <c r="AQ92" s="1833">
        <v>2020</v>
      </c>
      <c r="AR92" s="1833">
        <v>2021</v>
      </c>
    </row>
    <row r="93" spans="2:44" ht="12.75" customHeight="1">
      <c r="R93" s="282"/>
      <c r="S93" s="282"/>
      <c r="T93" s="282"/>
      <c r="U93" s="282"/>
      <c r="V93" s="282"/>
      <c r="W93" s="282"/>
      <c r="X93" s="1800"/>
      <c r="Y93" s="1800"/>
      <c r="Z93" s="1800"/>
      <c r="AA93" s="1800"/>
      <c r="AB93" s="1800"/>
      <c r="AC93" s="1800"/>
      <c r="AD93" s="1800"/>
      <c r="AE93" s="1800"/>
      <c r="AF93" s="1800"/>
    </row>
    <row r="94" spans="2:44">
      <c r="B94" s="217" t="s">
        <v>752</v>
      </c>
      <c r="X94" s="1834">
        <f>SUM(X98:X100)</f>
        <v>66590</v>
      </c>
      <c r="Y94" s="1834"/>
      <c r="Z94" s="1834">
        <f>SUM(Z98:Z100)</f>
        <v>50320</v>
      </c>
      <c r="AA94" s="1834"/>
      <c r="AB94" s="1834">
        <f>SUM(AB98:AB100)</f>
        <v>77533.2</v>
      </c>
      <c r="AC94" s="1834"/>
      <c r="AD94" s="1834">
        <f>SUM(AD98:AD100)</f>
        <v>99893.2</v>
      </c>
      <c r="AE94" s="1834"/>
      <c r="AF94" s="1834">
        <f t="shared" ref="AF94:AO94" si="14">SUM(AF98:AF100)</f>
        <v>11382.5</v>
      </c>
      <c r="AG94" s="1834">
        <f t="shared" si="14"/>
        <v>12292.7</v>
      </c>
      <c r="AH94" s="1834">
        <f t="shared" si="14"/>
        <v>12326</v>
      </c>
      <c r="AI94" s="1834">
        <f t="shared" si="14"/>
        <v>14579</v>
      </c>
      <c r="AJ94" s="1834">
        <f t="shared" si="14"/>
        <v>15696</v>
      </c>
      <c r="AK94" s="1834">
        <f t="shared" si="14"/>
        <v>18032</v>
      </c>
      <c r="AL94" s="1834">
        <f t="shared" si="14"/>
        <v>18868</v>
      </c>
      <c r="AM94" s="1834">
        <f t="shared" si="14"/>
        <v>20009</v>
      </c>
      <c r="AN94" s="1834">
        <f t="shared" si="14"/>
        <v>24077</v>
      </c>
      <c r="AO94" s="1834">
        <f t="shared" si="14"/>
        <v>26846</v>
      </c>
      <c r="AP94" s="1834">
        <f>SUM(AP98:AP100)</f>
        <v>30511</v>
      </c>
      <c r="AQ94" s="1834">
        <f>SUM(AQ98:AQ100)</f>
        <v>32158</v>
      </c>
      <c r="AR94" s="1834">
        <f t="shared" ref="AR94" si="15">SUM(AR98:AR100)</f>
        <v>29002</v>
      </c>
    </row>
    <row r="95" spans="2:44" ht="13.5">
      <c r="B95" s="217"/>
      <c r="X95" s="1835"/>
      <c r="Y95" s="1835"/>
      <c r="Z95" s="1835"/>
      <c r="AA95" s="1835"/>
      <c r="AB95" s="1835"/>
      <c r="AC95" s="1835"/>
      <c r="AD95" s="1835"/>
      <c r="AE95" s="1835"/>
      <c r="AF95" s="1836"/>
      <c r="AG95" s="1045"/>
      <c r="AH95" s="1045"/>
      <c r="AI95" s="1045"/>
      <c r="AJ95" s="1045"/>
      <c r="AK95" s="1045"/>
    </row>
    <row r="96" spans="2:44" ht="13.5">
      <c r="B96" s="217"/>
      <c r="C96" s="294" t="s">
        <v>50</v>
      </c>
      <c r="X96" s="1835"/>
      <c r="Y96" s="1835"/>
      <c r="Z96" s="1835"/>
      <c r="AA96" s="1835"/>
      <c r="AB96" s="1835"/>
      <c r="AC96" s="1835"/>
      <c r="AD96" s="1835"/>
      <c r="AE96" s="1835"/>
      <c r="AF96" s="1836"/>
      <c r="AG96" s="1045"/>
      <c r="AH96" s="1045"/>
    </row>
    <row r="97" spans="2:44" ht="13.5">
      <c r="B97" s="217"/>
      <c r="C97" s="294" t="s">
        <v>56</v>
      </c>
      <c r="X97" s="1835"/>
      <c r="Y97" s="1835"/>
      <c r="Z97" s="1835"/>
      <c r="AA97" s="1835"/>
      <c r="AB97" s="1835"/>
      <c r="AC97" s="1835"/>
      <c r="AD97" s="1835"/>
      <c r="AE97" s="1835"/>
      <c r="AF97" s="1836"/>
      <c r="AG97" s="1045"/>
      <c r="AH97" s="1045"/>
    </row>
    <row r="98" spans="2:44" s="227" customFormat="1" ht="90.75" customHeight="1">
      <c r="C98" s="1837" t="s">
        <v>753</v>
      </c>
      <c r="X98" s="1838">
        <v>52910</v>
      </c>
      <c r="Y98" s="1838"/>
      <c r="Z98" s="1838">
        <v>34108</v>
      </c>
      <c r="AA98" s="1838"/>
      <c r="AB98" s="1838">
        <v>58938.400000000001</v>
      </c>
      <c r="AC98" s="1838"/>
      <c r="AD98" s="1838">
        <v>77069.2</v>
      </c>
      <c r="AE98" s="1838"/>
      <c r="AF98" s="1838"/>
      <c r="AG98" s="1838"/>
      <c r="AH98" s="1838"/>
    </row>
    <row r="99" spans="2:44" s="227" customFormat="1" ht="17.25" customHeight="1">
      <c r="C99" s="1837"/>
      <c r="X99" s="1838"/>
      <c r="Y99" s="1838"/>
      <c r="Z99" s="1838"/>
      <c r="AA99" s="1838"/>
      <c r="AB99" s="1838"/>
      <c r="AC99" s="1838"/>
      <c r="AD99" s="1838"/>
      <c r="AE99" s="1838"/>
      <c r="AF99" s="1838"/>
      <c r="AG99" s="1839"/>
      <c r="AH99" s="1839"/>
    </row>
    <row r="100" spans="2:44" s="227" customFormat="1" ht="31.15" customHeight="1">
      <c r="C100" s="1840" t="s">
        <v>754</v>
      </c>
      <c r="X100" s="1838">
        <v>13680</v>
      </c>
      <c r="Y100" s="1838"/>
      <c r="Z100" s="1838">
        <v>16212</v>
      </c>
      <c r="AA100" s="1838"/>
      <c r="AB100" s="1838">
        <v>18594.8</v>
      </c>
      <c r="AC100" s="1838"/>
      <c r="AD100" s="1838">
        <v>22824</v>
      </c>
      <c r="AE100" s="1838"/>
      <c r="AF100" s="1838">
        <v>11382.5</v>
      </c>
      <c r="AG100" s="1839">
        <v>12292.7</v>
      </c>
      <c r="AH100" s="1839">
        <v>12326</v>
      </c>
      <c r="AI100" s="1839">
        <v>14579</v>
      </c>
      <c r="AJ100" s="1839">
        <v>15696</v>
      </c>
      <c r="AK100" s="1839">
        <v>18032</v>
      </c>
      <c r="AL100" s="1839">
        <v>18868</v>
      </c>
      <c r="AM100" s="1839">
        <v>20009</v>
      </c>
      <c r="AN100" s="1839">
        <v>24077</v>
      </c>
      <c r="AO100" s="1839">
        <v>26846</v>
      </c>
      <c r="AP100" s="1839">
        <v>30511</v>
      </c>
      <c r="AQ100" s="1839">
        <v>32158</v>
      </c>
      <c r="AR100" s="1839">
        <v>29002</v>
      </c>
    </row>
    <row r="101" spans="2:44" s="227" customFormat="1" ht="14.25" customHeight="1">
      <c r="C101" s="1837"/>
      <c r="X101" s="1838"/>
      <c r="Y101" s="1838"/>
      <c r="Z101" s="1838"/>
      <c r="AA101" s="1838"/>
      <c r="AB101" s="1838"/>
      <c r="AC101" s="1838"/>
      <c r="AD101" s="1838"/>
      <c r="AE101" s="1838"/>
      <c r="AF101" s="1838"/>
      <c r="AG101" s="1839"/>
      <c r="AH101" s="1839"/>
    </row>
    <row r="102" spans="2:44" s="227" customFormat="1" ht="27" customHeight="1">
      <c r="C102" s="1840" t="s">
        <v>755</v>
      </c>
      <c r="X102" s="1838">
        <v>35071</v>
      </c>
      <c r="Y102" s="1838"/>
      <c r="Z102" s="1838">
        <v>33646</v>
      </c>
      <c r="AA102" s="1838"/>
      <c r="AB102" s="1838">
        <v>40098.6</v>
      </c>
      <c r="AC102" s="1838"/>
      <c r="AD102" s="1838">
        <v>35888.199999999997</v>
      </c>
      <c r="AE102" s="1838"/>
      <c r="AF102" s="1838">
        <v>32488</v>
      </c>
      <c r="AG102" s="1839">
        <v>30635.200000000001</v>
      </c>
      <c r="AH102" s="1839">
        <v>30661</v>
      </c>
      <c r="AI102" s="1841">
        <v>29594</v>
      </c>
      <c r="AJ102" s="1841">
        <v>40526</v>
      </c>
      <c r="AK102" s="1841">
        <v>41293</v>
      </c>
      <c r="AL102" s="1839">
        <v>42813</v>
      </c>
      <c r="AM102" s="1839">
        <v>43707</v>
      </c>
      <c r="AN102" s="1839">
        <v>45757</v>
      </c>
      <c r="AO102" s="1839">
        <v>47929</v>
      </c>
      <c r="AP102" s="1839">
        <v>49359</v>
      </c>
      <c r="AQ102" s="1839">
        <v>49997</v>
      </c>
      <c r="AR102" s="1839">
        <v>39921</v>
      </c>
    </row>
    <row r="103" spans="2:44" s="227" customFormat="1" ht="9" customHeight="1">
      <c r="C103" s="1837"/>
      <c r="X103" s="1838"/>
      <c r="Y103" s="1838"/>
      <c r="Z103" s="1838"/>
      <c r="AA103" s="1838"/>
      <c r="AB103" s="1838"/>
      <c r="AC103" s="1838"/>
      <c r="AD103" s="1838"/>
      <c r="AE103" s="1838"/>
      <c r="AF103" s="1838"/>
      <c r="AG103" s="1839"/>
      <c r="AH103" s="1839"/>
    </row>
    <row r="104" spans="2:44">
      <c r="X104" s="1045"/>
      <c r="Y104" s="1045"/>
      <c r="Z104" s="1045"/>
      <c r="AA104" s="1045"/>
      <c r="AB104" s="1045"/>
      <c r="AC104" s="1045"/>
      <c r="AD104" s="1045"/>
      <c r="AE104" s="1045"/>
      <c r="AF104" s="1045"/>
      <c r="AG104" s="1045"/>
      <c r="AH104" s="1045"/>
    </row>
    <row r="105" spans="2:44" ht="21.75" customHeight="1">
      <c r="B105" s="217" t="s">
        <v>756</v>
      </c>
      <c r="X105" s="1834">
        <f>SUM(X106:X108)</f>
        <v>12167</v>
      </c>
      <c r="Y105" s="1834"/>
      <c r="Z105" s="1834">
        <f>SUM(Z106:Z108)</f>
        <v>15250</v>
      </c>
      <c r="AA105" s="1834"/>
      <c r="AB105" s="1834">
        <f>SUM(AB106:AB108)</f>
        <v>10694.2</v>
      </c>
      <c r="AC105" s="1834"/>
      <c r="AD105" s="1834">
        <f>SUM(AD106:AD108)</f>
        <v>17935.099999999999</v>
      </c>
      <c r="AE105" s="1834"/>
      <c r="AF105" s="1834">
        <f t="shared" ref="AF105:AR105" si="16">SUM(AF106:AF108)</f>
        <v>9098.5</v>
      </c>
      <c r="AG105" s="1834">
        <f t="shared" si="16"/>
        <v>10143.199999999999</v>
      </c>
      <c r="AH105" s="1834">
        <f t="shared" si="16"/>
        <v>10196</v>
      </c>
      <c r="AI105" s="1834">
        <f t="shared" si="16"/>
        <v>11780</v>
      </c>
      <c r="AJ105" s="1834">
        <f t="shared" si="16"/>
        <v>11966</v>
      </c>
      <c r="AK105" s="1834">
        <f t="shared" si="16"/>
        <v>13330</v>
      </c>
      <c r="AL105" s="1834">
        <f t="shared" si="16"/>
        <v>14398</v>
      </c>
      <c r="AM105" s="1834">
        <f t="shared" si="16"/>
        <v>15443</v>
      </c>
      <c r="AN105" s="1834">
        <f t="shared" si="16"/>
        <v>18614</v>
      </c>
      <c r="AO105" s="1834">
        <f t="shared" si="16"/>
        <v>20754</v>
      </c>
      <c r="AP105" s="1834">
        <f t="shared" si="16"/>
        <v>27425</v>
      </c>
      <c r="AQ105" s="1834">
        <f t="shared" si="16"/>
        <v>27404</v>
      </c>
      <c r="AR105" s="1834">
        <f t="shared" si="16"/>
        <v>24338</v>
      </c>
    </row>
    <row r="106" spans="2:44" ht="30" customHeight="1">
      <c r="C106" s="1837" t="s">
        <v>757</v>
      </c>
      <c r="X106" s="1045">
        <v>12010</v>
      </c>
      <c r="Y106" s="1045"/>
      <c r="Z106" s="1045">
        <v>14989</v>
      </c>
      <c r="AA106" s="1045"/>
      <c r="AB106" s="1045">
        <v>7549.8</v>
      </c>
      <c r="AC106" s="1045"/>
      <c r="AD106" s="1045">
        <v>8770</v>
      </c>
      <c r="AE106" s="1045"/>
      <c r="AF106" s="1045">
        <v>7422.9</v>
      </c>
      <c r="AG106" s="1839">
        <v>8288.9</v>
      </c>
      <c r="AH106" s="1839">
        <v>8086</v>
      </c>
      <c r="AI106" s="1841">
        <v>9379</v>
      </c>
      <c r="AJ106" s="1841">
        <v>9371</v>
      </c>
      <c r="AK106" s="1841">
        <v>10744</v>
      </c>
      <c r="AL106" s="1839">
        <v>11622</v>
      </c>
      <c r="AM106" s="1839">
        <v>12422</v>
      </c>
      <c r="AN106" s="1839">
        <v>15253</v>
      </c>
      <c r="AO106" s="1839">
        <v>16505</v>
      </c>
      <c r="AP106" s="1839">
        <v>22861</v>
      </c>
      <c r="AQ106" s="1839">
        <v>22884</v>
      </c>
      <c r="AR106" s="1839">
        <v>19348</v>
      </c>
    </row>
    <row r="107" spans="2:44" ht="27.75" customHeight="1">
      <c r="C107" s="1837" t="s">
        <v>758</v>
      </c>
      <c r="X107" s="1045">
        <v>157</v>
      </c>
      <c r="Y107" s="1045"/>
      <c r="Z107" s="1045">
        <v>261</v>
      </c>
      <c r="AA107" s="1045"/>
      <c r="AB107" s="1045">
        <v>81.5</v>
      </c>
      <c r="AC107" s="1045"/>
      <c r="AD107" s="1045">
        <v>100.9</v>
      </c>
      <c r="AE107" s="1045"/>
      <c r="AF107" s="1045">
        <v>139.1</v>
      </c>
      <c r="AG107" s="1839">
        <v>164.4</v>
      </c>
      <c r="AH107" s="1839">
        <v>172</v>
      </c>
      <c r="AI107" s="227">
        <v>187</v>
      </c>
      <c r="AJ107" s="227">
        <v>171</v>
      </c>
      <c r="AK107" s="227">
        <v>156</v>
      </c>
      <c r="AL107" s="1839">
        <v>177</v>
      </c>
      <c r="AM107" s="1839">
        <v>179</v>
      </c>
      <c r="AN107" s="1839">
        <v>213</v>
      </c>
      <c r="AO107" s="1839">
        <v>203</v>
      </c>
      <c r="AP107" s="1839">
        <v>230</v>
      </c>
      <c r="AQ107" s="1839">
        <v>254</v>
      </c>
      <c r="AR107" s="1839">
        <v>208</v>
      </c>
    </row>
    <row r="108" spans="2:44" ht="28.5" customHeight="1">
      <c r="C108" s="1837" t="s">
        <v>759</v>
      </c>
      <c r="X108" s="1045" t="s">
        <v>269</v>
      </c>
      <c r="Y108" s="1045"/>
      <c r="Z108" s="1045" t="s">
        <v>269</v>
      </c>
      <c r="AA108" s="1045"/>
      <c r="AB108" s="1045">
        <v>3062.9</v>
      </c>
      <c r="AC108" s="1045"/>
      <c r="AD108" s="1045">
        <v>9064.2000000000007</v>
      </c>
      <c r="AE108" s="1045"/>
      <c r="AF108" s="1045">
        <f>335.7+1200.8</f>
        <v>1536.5</v>
      </c>
      <c r="AG108" s="1839">
        <f>1278.3+411.6</f>
        <v>1689.9</v>
      </c>
      <c r="AH108" s="1839">
        <f>1496+442</f>
        <v>1938</v>
      </c>
      <c r="AI108" s="1841">
        <f>1737+477</f>
        <v>2214</v>
      </c>
      <c r="AJ108" s="1841">
        <f>1926+498</f>
        <v>2424</v>
      </c>
      <c r="AK108" s="1841">
        <f>1968+462</f>
        <v>2430</v>
      </c>
      <c r="AL108" s="1841">
        <f>2072+527</f>
        <v>2599</v>
      </c>
      <c r="AM108" s="1841">
        <f>2189+653</f>
        <v>2842</v>
      </c>
      <c r="AN108" s="1841">
        <f>2439+709</f>
        <v>3148</v>
      </c>
      <c r="AO108" s="1841">
        <v>4046</v>
      </c>
      <c r="AP108" s="1841">
        <v>4334</v>
      </c>
      <c r="AQ108" s="1841">
        <f>3072+1194</f>
        <v>4266</v>
      </c>
      <c r="AR108" s="1841">
        <f>3671+1111</f>
        <v>4782</v>
      </c>
    </row>
    <row r="109" spans="2:44">
      <c r="X109" s="1045"/>
      <c r="Y109" s="1045"/>
      <c r="Z109" s="1045"/>
      <c r="AA109" s="1045"/>
      <c r="AB109" s="1045"/>
      <c r="AC109" s="1045"/>
      <c r="AD109" s="1045"/>
      <c r="AE109" s="1045"/>
      <c r="AF109" s="1045"/>
      <c r="AG109" s="1045"/>
      <c r="AH109" s="1045"/>
    </row>
    <row r="110" spans="2:44" ht="13.5">
      <c r="B110" s="301" t="s">
        <v>446</v>
      </c>
      <c r="X110" s="1045"/>
      <c r="Y110" s="1045"/>
      <c r="Z110" s="1045"/>
      <c r="AA110" s="1045"/>
      <c r="AB110" s="1045"/>
      <c r="AC110" s="1045"/>
      <c r="AD110" s="1045"/>
      <c r="AE110" s="1045"/>
      <c r="AF110" s="1045"/>
      <c r="AG110" s="1045"/>
      <c r="AH110" s="1045"/>
    </row>
    <row r="111" spans="2:44">
      <c r="B111" s="294" t="s">
        <v>760</v>
      </c>
      <c r="X111" s="1834">
        <f>SUM(X113:X114)</f>
        <v>5151.2</v>
      </c>
      <c r="Y111" s="1799"/>
      <c r="Z111" s="1834">
        <f>SUM(Z113:Z114)</f>
        <v>6926.7</v>
      </c>
      <c r="AA111" s="1799"/>
      <c r="AB111" s="1834">
        <f>SUM(AB113:AB114)</f>
        <v>9164.2000000000007</v>
      </c>
      <c r="AC111" s="1799"/>
      <c r="AD111" s="1834">
        <f>SUM(AD113:AD114)</f>
        <v>21638</v>
      </c>
      <c r="AE111" s="1799"/>
      <c r="AF111" s="1834">
        <f t="shared" ref="AF111:AR111" si="17">SUM(AF113:AF114)</f>
        <v>29373.1</v>
      </c>
      <c r="AG111" s="1834">
        <f t="shared" si="17"/>
        <v>35953.5</v>
      </c>
      <c r="AH111" s="1834">
        <f t="shared" si="17"/>
        <v>38563</v>
      </c>
      <c r="AI111" s="1834">
        <f t="shared" si="17"/>
        <v>36663</v>
      </c>
      <c r="AJ111" s="1834">
        <f t="shared" si="17"/>
        <v>34807</v>
      </c>
      <c r="AK111" s="1834">
        <f t="shared" si="17"/>
        <v>42804</v>
      </c>
      <c r="AL111" s="1834">
        <f t="shared" si="17"/>
        <v>45524</v>
      </c>
      <c r="AM111" s="1834">
        <f t="shared" si="17"/>
        <v>40605</v>
      </c>
      <c r="AN111" s="1834">
        <f t="shared" si="17"/>
        <v>46202</v>
      </c>
      <c r="AO111" s="1834">
        <f t="shared" si="17"/>
        <v>56502</v>
      </c>
      <c r="AP111" s="1834">
        <f t="shared" si="17"/>
        <v>62219</v>
      </c>
      <c r="AQ111" s="1834">
        <f t="shared" si="17"/>
        <v>69235</v>
      </c>
      <c r="AR111" s="1834">
        <f t="shared" si="17"/>
        <v>73704</v>
      </c>
    </row>
    <row r="112" spans="2:44" ht="15.75" customHeight="1">
      <c r="X112" s="1045"/>
      <c r="Y112" s="1045"/>
      <c r="Z112" s="1045"/>
      <c r="AA112" s="1045"/>
      <c r="AB112" s="1045"/>
      <c r="AC112" s="1045"/>
      <c r="AD112" s="1045"/>
      <c r="AE112" s="1045"/>
      <c r="AF112" s="1045"/>
      <c r="AG112" s="1045"/>
      <c r="AH112" s="1045"/>
    </row>
    <row r="113" spans="1:44" ht="18" customHeight="1">
      <c r="C113" s="227" t="s">
        <v>761</v>
      </c>
      <c r="X113" s="1045">
        <v>464</v>
      </c>
      <c r="Y113" s="1045"/>
      <c r="Z113" s="1045">
        <f>2082</f>
        <v>2082</v>
      </c>
      <c r="AA113" s="1045"/>
      <c r="AB113" s="1045">
        <v>2420</v>
      </c>
      <c r="AC113" s="1045"/>
      <c r="AD113" s="1045">
        <v>8946.6</v>
      </c>
      <c r="AE113" s="1045"/>
      <c r="AF113" s="1045">
        <v>9871.6</v>
      </c>
      <c r="AG113" s="1839">
        <v>11560.8</v>
      </c>
      <c r="AH113" s="1839">
        <v>22119</v>
      </c>
      <c r="AI113" s="1841">
        <v>24679</v>
      </c>
      <c r="AJ113" s="1841">
        <v>27828</v>
      </c>
      <c r="AK113" s="1841">
        <v>39060</v>
      </c>
      <c r="AL113" s="1841">
        <v>41473</v>
      </c>
      <c r="AM113" s="1841">
        <v>36537</v>
      </c>
      <c r="AN113" s="1841">
        <v>40645</v>
      </c>
      <c r="AO113" s="1841">
        <v>47090</v>
      </c>
      <c r="AP113" s="1841">
        <v>52344</v>
      </c>
      <c r="AQ113" s="1841">
        <v>58001</v>
      </c>
      <c r="AR113" s="1841">
        <v>60139</v>
      </c>
    </row>
    <row r="114" spans="1:44" s="227" customFormat="1" ht="31.5" customHeight="1">
      <c r="C114" s="1837" t="s">
        <v>762</v>
      </c>
      <c r="X114" s="1838">
        <v>4687.2</v>
      </c>
      <c r="Y114" s="1838"/>
      <c r="Z114" s="1838">
        <f>4844.7</f>
        <v>4844.7</v>
      </c>
      <c r="AA114" s="1838"/>
      <c r="AB114" s="1838">
        <v>6744.2</v>
      </c>
      <c r="AC114" s="1838"/>
      <c r="AD114" s="1838">
        <v>12691.4</v>
      </c>
      <c r="AE114" s="1838"/>
      <c r="AF114" s="1838">
        <v>19501.5</v>
      </c>
      <c r="AG114" s="1839">
        <v>24392.7</v>
      </c>
      <c r="AH114" s="1839">
        <v>16444</v>
      </c>
      <c r="AI114" s="1841">
        <v>11984</v>
      </c>
      <c r="AJ114" s="1841">
        <v>6979</v>
      </c>
      <c r="AK114" s="1841">
        <v>3744</v>
      </c>
      <c r="AL114" s="1841">
        <v>4051</v>
      </c>
      <c r="AM114" s="1841">
        <v>4068</v>
      </c>
      <c r="AN114" s="1841">
        <v>5557</v>
      </c>
      <c r="AO114" s="1841">
        <v>9412</v>
      </c>
      <c r="AP114" s="1841">
        <v>9875</v>
      </c>
      <c r="AQ114" s="1841">
        <v>11234</v>
      </c>
      <c r="AR114" s="1841">
        <v>13565</v>
      </c>
    </row>
    <row r="115" spans="1:44" ht="6.6" customHeight="1">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1804"/>
      <c r="Y115" s="1804"/>
      <c r="Z115" s="1804"/>
      <c r="AA115" s="1804"/>
      <c r="AB115" s="1804"/>
      <c r="AC115" s="1804"/>
      <c r="AD115" s="1804"/>
      <c r="AE115" s="1804"/>
      <c r="AF115" s="1804"/>
      <c r="AG115" s="1804"/>
      <c r="AH115" s="1804"/>
      <c r="AI115" s="1804"/>
      <c r="AJ115" s="1804"/>
      <c r="AK115" s="1804"/>
      <c r="AL115" s="1804"/>
      <c r="AM115" s="1804"/>
      <c r="AN115" s="1804"/>
      <c r="AO115" s="1804"/>
      <c r="AP115" s="1804"/>
      <c r="AQ115" s="1804"/>
      <c r="AR115" s="1804"/>
    </row>
    <row r="116" spans="1:44" ht="14.25" customHeight="1">
      <c r="A116" s="2028" t="s">
        <v>1814</v>
      </c>
      <c r="B116" s="2028"/>
      <c r="C116" s="2028"/>
      <c r="D116" s="2028"/>
      <c r="E116" s="2028"/>
      <c r="F116" s="2028"/>
      <c r="G116" s="2028"/>
      <c r="H116" s="2028"/>
      <c r="I116" s="2028"/>
      <c r="J116" s="2028"/>
      <c r="K116" s="2028"/>
      <c r="L116" s="2028"/>
      <c r="M116" s="2028"/>
      <c r="N116" s="2028"/>
      <c r="O116" s="2028"/>
      <c r="P116" s="2028"/>
      <c r="Q116" s="2028"/>
      <c r="R116" s="2028"/>
      <c r="S116" s="2028"/>
      <c r="T116" s="2028"/>
      <c r="U116" s="2028"/>
      <c r="V116" s="2028"/>
      <c r="W116" s="2028"/>
      <c r="X116" s="2028"/>
      <c r="Y116" s="2028"/>
      <c r="Z116" s="2028"/>
      <c r="AA116" s="2028"/>
      <c r="AB116" s="2028"/>
      <c r="AC116" s="2028"/>
      <c r="AD116" s="2028"/>
      <c r="AE116" s="2028"/>
      <c r="AF116" s="2028"/>
      <c r="AG116" s="2028"/>
      <c r="AH116" s="2028"/>
      <c r="AI116" s="2028"/>
      <c r="AJ116" s="2028"/>
      <c r="AK116" s="2028"/>
      <c r="AL116" s="2028"/>
      <c r="AM116" s="2028"/>
      <c r="AN116" s="2028"/>
      <c r="AO116" s="2028"/>
      <c r="AP116" s="2028"/>
      <c r="AQ116" s="2028"/>
      <c r="AR116" s="2028"/>
    </row>
    <row r="117" spans="1:44" ht="14.25" customHeight="1">
      <c r="A117" s="1842"/>
      <c r="B117" s="2029" t="s">
        <v>1815</v>
      </c>
      <c r="C117" s="2028"/>
      <c r="D117" s="2028"/>
      <c r="E117" s="2028"/>
      <c r="F117" s="2028"/>
      <c r="G117" s="2028"/>
      <c r="H117" s="2028"/>
      <c r="I117" s="2028"/>
      <c r="J117" s="2028"/>
      <c r="K117" s="2028"/>
      <c r="L117" s="2028"/>
      <c r="M117" s="2028"/>
      <c r="N117" s="2028"/>
      <c r="O117" s="2028"/>
      <c r="P117" s="2028"/>
      <c r="Q117" s="2028"/>
      <c r="R117" s="2028"/>
      <c r="S117" s="2028"/>
      <c r="T117" s="2028"/>
      <c r="U117" s="2028"/>
      <c r="V117" s="2028"/>
      <c r="W117" s="2028"/>
      <c r="X117" s="2028"/>
      <c r="Y117" s="2028"/>
      <c r="Z117" s="2028"/>
      <c r="AA117" s="2028"/>
      <c r="AB117" s="2028"/>
      <c r="AC117" s="2028"/>
      <c r="AD117" s="2028"/>
      <c r="AE117" s="2028"/>
      <c r="AF117" s="2028"/>
      <c r="AG117" s="2028"/>
      <c r="AH117" s="2028"/>
      <c r="AI117" s="2028"/>
      <c r="AJ117" s="2028"/>
      <c r="AK117" s="2028"/>
      <c r="AL117" s="2028"/>
      <c r="AM117" s="2028"/>
      <c r="AN117" s="2028"/>
      <c r="AO117" s="2028"/>
      <c r="AP117" s="2028"/>
      <c r="AQ117" s="2028"/>
      <c r="AR117" s="2028"/>
    </row>
    <row r="118" spans="1:44" ht="14.25" customHeight="1">
      <c r="B118" s="1926" t="s">
        <v>1816</v>
      </c>
      <c r="C118" s="1926"/>
      <c r="D118" s="1926"/>
      <c r="E118" s="1926"/>
      <c r="F118" s="1926"/>
      <c r="G118" s="1926"/>
      <c r="H118" s="1926"/>
      <c r="I118" s="1926"/>
      <c r="J118" s="1926"/>
      <c r="K118" s="1926"/>
      <c r="L118" s="1926"/>
      <c r="M118" s="1926"/>
      <c r="N118" s="1926"/>
      <c r="O118" s="1926"/>
      <c r="P118" s="1926"/>
      <c r="Q118" s="1926"/>
      <c r="R118" s="1926"/>
      <c r="S118" s="1926"/>
      <c r="T118" s="1926"/>
      <c r="U118" s="1926"/>
      <c r="V118" s="1926"/>
      <c r="W118" s="1926"/>
      <c r="X118" s="1926"/>
      <c r="Y118" s="1926"/>
      <c r="Z118" s="1926"/>
      <c r="AA118" s="1926"/>
      <c r="AB118" s="1926"/>
      <c r="AC118" s="1926"/>
      <c r="AD118" s="1926"/>
      <c r="AE118" s="1926"/>
      <c r="AF118" s="1926"/>
      <c r="AG118" s="1926"/>
      <c r="AH118" s="1926"/>
      <c r="AI118" s="1926"/>
      <c r="AJ118" s="1926"/>
      <c r="AK118" s="1926"/>
      <c r="AL118" s="1926"/>
      <c r="AM118" s="1926"/>
      <c r="AN118" s="1926"/>
      <c r="AO118" s="1926"/>
      <c r="AP118" s="1926"/>
      <c r="AQ118" s="1926"/>
      <c r="AR118" s="1926"/>
    </row>
    <row r="119" spans="1:44" ht="14.25" customHeight="1">
      <c r="B119" s="1926"/>
      <c r="C119" s="1926"/>
      <c r="D119" s="1926"/>
      <c r="E119" s="1926"/>
      <c r="F119" s="1926"/>
      <c r="G119" s="1926"/>
      <c r="H119" s="1926"/>
      <c r="I119" s="1926"/>
      <c r="J119" s="1926"/>
      <c r="K119" s="1926"/>
      <c r="L119" s="1926"/>
      <c r="M119" s="1926"/>
      <c r="N119" s="1926"/>
      <c r="O119" s="1926"/>
      <c r="P119" s="1926"/>
      <c r="Q119" s="1926"/>
      <c r="R119" s="1926"/>
      <c r="S119" s="1926"/>
      <c r="T119" s="1926"/>
      <c r="U119" s="1926"/>
      <c r="V119" s="1926"/>
      <c r="W119" s="1926"/>
      <c r="X119" s="1926"/>
      <c r="Y119" s="1926"/>
      <c r="Z119" s="1926"/>
      <c r="AA119" s="1926"/>
      <c r="AB119" s="1926"/>
      <c r="AC119" s="1926"/>
      <c r="AD119" s="1926"/>
      <c r="AE119" s="1926"/>
      <c r="AF119" s="1926"/>
      <c r="AG119" s="1926"/>
      <c r="AH119" s="1926"/>
      <c r="AI119" s="1926"/>
      <c r="AJ119" s="1926"/>
      <c r="AK119" s="1926"/>
      <c r="AL119" s="1926"/>
      <c r="AM119" s="1926"/>
      <c r="AN119" s="1926"/>
      <c r="AO119" s="1926"/>
      <c r="AP119" s="1926"/>
      <c r="AQ119" s="1926"/>
      <c r="AR119" s="1926"/>
    </row>
  </sheetData>
  <mergeCells count="10">
    <mergeCell ref="B87:AF87"/>
    <mergeCell ref="A116:AR116"/>
    <mergeCell ref="B117:AR117"/>
    <mergeCell ref="B118:AR119"/>
    <mergeCell ref="B48:AQ48"/>
    <mergeCell ref="B15:AQ15"/>
    <mergeCell ref="B20:AQ20"/>
    <mergeCell ref="B49:AK49"/>
    <mergeCell ref="B51:AK51"/>
    <mergeCell ref="B56:AK56"/>
  </mergeCells>
  <hyperlinks>
    <hyperlink ref="B117" r:id="rId1" xr:uid="{00000000-0004-0000-1A00-000000000000}"/>
  </hyperlinks>
  <pageMargins left="0.70866141732283472" right="0.70866141732283472" top="0.74803149606299213" bottom="0.74803149606299213" header="0.31496062992125984" footer="0.31496062992125984"/>
  <pageSetup paperSize="9" scale="48"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Q141"/>
  <sheetViews>
    <sheetView topLeftCell="B15" zoomScale="85" zoomScaleNormal="85" workbookViewId="0">
      <selection activeCell="B116" sqref="B1:AQ116"/>
    </sheetView>
  </sheetViews>
  <sheetFormatPr defaultColWidth="8.88671875" defaultRowHeight="12.75" outlineLevelRow="1"/>
  <cols>
    <col min="1" max="1" width="0" style="165" hidden="1" customWidth="1"/>
    <col min="2" max="2" width="10.5546875" style="165" customWidth="1"/>
    <col min="3" max="3" width="69" style="165" customWidth="1"/>
    <col min="4" max="17" width="0.77734375" style="165" customWidth="1"/>
    <col min="18" max="23" width="5.77734375" style="75" hidden="1" customWidth="1"/>
    <col min="24" max="24" width="7" style="75" customWidth="1"/>
    <col min="25" max="25" width="3.44140625" style="75" hidden="1" customWidth="1"/>
    <col min="26" max="26" width="6.33203125" style="75" bestFit="1" customWidth="1"/>
    <col min="27" max="27" width="3.44140625" style="75" hidden="1" customWidth="1"/>
    <col min="28" max="28" width="6.44140625" style="75" customWidth="1"/>
    <col min="29" max="29" width="4.21875" style="75" hidden="1" customWidth="1"/>
    <col min="30" max="30" width="6.33203125" style="75" bestFit="1" customWidth="1"/>
    <col min="31" max="31" width="3.77734375" style="75" hidden="1" customWidth="1"/>
    <col min="32" max="32" width="7.44140625" style="75" customWidth="1"/>
    <col min="33" max="43" width="7.44140625" style="165" customWidth="1"/>
    <col min="44" max="16384" width="8.88671875" style="165"/>
  </cols>
  <sheetData>
    <row r="1" spans="2:43" hidden="1" outlineLevel="1">
      <c r="B1" s="165" t="s">
        <v>242</v>
      </c>
    </row>
    <row r="2" spans="2:43" hidden="1" outlineLevel="1"/>
    <row r="3" spans="2:43" hidden="1" outlineLevel="1"/>
    <row r="4" spans="2:43" hidden="1" outlineLevel="1">
      <c r="B4" s="165" t="s">
        <v>1</v>
      </c>
      <c r="R4" s="75">
        <v>1995</v>
      </c>
      <c r="S4" s="75">
        <v>1996</v>
      </c>
      <c r="T4" s="75">
        <v>1997</v>
      </c>
      <c r="U4" s="75">
        <v>1998</v>
      </c>
      <c r="V4" s="75">
        <v>1999</v>
      </c>
      <c r="W4" s="75">
        <v>2000</v>
      </c>
      <c r="X4" s="75">
        <v>2001</v>
      </c>
      <c r="Z4" s="75">
        <v>2003</v>
      </c>
      <c r="AB4" s="75">
        <v>2005</v>
      </c>
      <c r="AD4" s="75">
        <v>2007</v>
      </c>
      <c r="AF4" s="75">
        <v>2009</v>
      </c>
      <c r="AG4" s="75">
        <v>2010</v>
      </c>
      <c r="AH4" s="75">
        <v>2011</v>
      </c>
      <c r="AI4" s="75">
        <v>2012</v>
      </c>
      <c r="AJ4" s="75">
        <v>2013</v>
      </c>
      <c r="AK4" s="75">
        <v>2014</v>
      </c>
      <c r="AL4" s="75">
        <v>2015</v>
      </c>
      <c r="AM4" s="75">
        <v>2016</v>
      </c>
      <c r="AN4" s="75">
        <v>2017</v>
      </c>
      <c r="AO4" s="75">
        <v>2018</v>
      </c>
      <c r="AP4" s="75">
        <v>2019</v>
      </c>
      <c r="AQ4" s="75">
        <v>2020</v>
      </c>
    </row>
    <row r="5" spans="2:43" hidden="1" outlineLevel="1"/>
    <row r="6" spans="2:43" hidden="1" outlineLevel="1">
      <c r="B6" s="165" t="s">
        <v>3</v>
      </c>
      <c r="R6" s="244">
        <f t="shared" ref="R6:X6" si="0">R94</f>
        <v>30.522575999999997</v>
      </c>
      <c r="S6" s="244">
        <f t="shared" si="0"/>
        <v>30.522575999999997</v>
      </c>
      <c r="T6" s="244">
        <f t="shared" si="0"/>
        <v>37.789856</v>
      </c>
      <c r="U6" s="244">
        <f t="shared" si="0"/>
        <v>37.789856</v>
      </c>
      <c r="V6" s="244">
        <f t="shared" si="0"/>
        <v>42</v>
      </c>
      <c r="W6" s="244">
        <f t="shared" si="0"/>
        <v>42</v>
      </c>
      <c r="X6" s="244">
        <f t="shared" si="0"/>
        <v>55</v>
      </c>
      <c r="Y6" s="244"/>
      <c r="Z6" s="244">
        <f>Z94</f>
        <v>95</v>
      </c>
      <c r="AA6" s="244"/>
      <c r="AB6" s="244">
        <f>AB94</f>
        <v>165</v>
      </c>
      <c r="AC6" s="244"/>
      <c r="AD6" s="244">
        <f>AD94</f>
        <v>175</v>
      </c>
      <c r="AE6" s="244"/>
      <c r="AF6" s="244">
        <f t="shared" ref="AF6:AM6" si="1">AF94</f>
        <v>175</v>
      </c>
      <c r="AG6" s="244">
        <f t="shared" si="1"/>
        <v>175</v>
      </c>
      <c r="AH6" s="244">
        <f t="shared" si="1"/>
        <v>175</v>
      </c>
      <c r="AI6" s="244">
        <f t="shared" si="1"/>
        <v>180</v>
      </c>
      <c r="AJ6" s="244">
        <f t="shared" si="1"/>
        <v>180</v>
      </c>
      <c r="AK6" s="244">
        <f t="shared" si="1"/>
        <v>180</v>
      </c>
      <c r="AL6" s="244">
        <f t="shared" si="1"/>
        <v>188</v>
      </c>
      <c r="AM6" s="244">
        <f t="shared" si="1"/>
        <v>190</v>
      </c>
      <c r="AN6" s="244">
        <f>AN94</f>
        <v>190</v>
      </c>
      <c r="AO6" s="244">
        <f>AO94</f>
        <v>190</v>
      </c>
      <c r="AP6" s="244">
        <f t="shared" ref="AP6" si="2">AP94</f>
        <v>195</v>
      </c>
      <c r="AQ6" s="244">
        <f>AQ94</f>
        <v>205</v>
      </c>
    </row>
    <row r="7" spans="2:43" hidden="1" outlineLevel="1">
      <c r="B7" s="165" t="s">
        <v>5</v>
      </c>
      <c r="R7" s="931">
        <f t="shared" ref="R7:X7" si="3">R106</f>
        <v>32.702760000000005</v>
      </c>
      <c r="S7" s="931">
        <f t="shared" si="3"/>
        <v>14.534559999999999</v>
      </c>
      <c r="T7" s="931">
        <f t="shared" si="3"/>
        <v>14.534559999999999</v>
      </c>
      <c r="U7" s="931">
        <f t="shared" si="3"/>
        <v>14.534559999999999</v>
      </c>
      <c r="V7" s="931">
        <f t="shared" si="3"/>
        <v>20</v>
      </c>
      <c r="W7" s="931">
        <f t="shared" si="3"/>
        <v>20</v>
      </c>
      <c r="X7" s="931">
        <f t="shared" si="3"/>
        <v>0</v>
      </c>
      <c r="Y7" s="932"/>
      <c r="Z7" s="931">
        <f>Z108</f>
        <v>0</v>
      </c>
      <c r="AA7" s="932"/>
      <c r="AB7" s="931">
        <f>AB108</f>
        <v>0</v>
      </c>
      <c r="AC7" s="932"/>
      <c r="AD7" s="931">
        <f>AD108</f>
        <v>0</v>
      </c>
      <c r="AE7" s="932"/>
      <c r="AF7" s="931">
        <f>AF108</f>
        <v>0</v>
      </c>
      <c r="AG7" s="931">
        <f>AG108</f>
        <v>270</v>
      </c>
      <c r="AH7" s="931">
        <f>AH108</f>
        <v>280</v>
      </c>
      <c r="AI7" s="931">
        <v>0</v>
      </c>
      <c r="AJ7" s="931">
        <v>0</v>
      </c>
      <c r="AK7" s="931">
        <v>0</v>
      </c>
      <c r="AL7" s="931">
        <v>0</v>
      </c>
      <c r="AM7" s="931">
        <f>AM108</f>
        <v>0</v>
      </c>
      <c r="AN7" s="931">
        <v>1</v>
      </c>
      <c r="AO7" s="931">
        <f>AO108</f>
        <v>0</v>
      </c>
      <c r="AP7" s="931">
        <f t="shared" ref="AP7:AQ7" si="4">AP108</f>
        <v>0</v>
      </c>
      <c r="AQ7" s="931">
        <f t="shared" si="4"/>
        <v>0</v>
      </c>
    </row>
    <row r="8" spans="2:43" hidden="1" outlineLevel="1">
      <c r="R8" s="244">
        <f t="shared" ref="R8:X8" si="5">R6+R7</f>
        <v>63.225335999999999</v>
      </c>
      <c r="S8" s="244">
        <f t="shared" si="5"/>
        <v>45.057136</v>
      </c>
      <c r="T8" s="244">
        <f t="shared" si="5"/>
        <v>52.324415999999999</v>
      </c>
      <c r="U8" s="244">
        <f t="shared" si="5"/>
        <v>52.324415999999999</v>
      </c>
      <c r="V8" s="244">
        <f t="shared" si="5"/>
        <v>62</v>
      </c>
      <c r="W8" s="244">
        <f t="shared" si="5"/>
        <v>62</v>
      </c>
      <c r="X8" s="244">
        <f t="shared" si="5"/>
        <v>55</v>
      </c>
      <c r="Y8" s="244"/>
      <c r="Z8" s="244">
        <f>Z6+Z7</f>
        <v>95</v>
      </c>
      <c r="AA8" s="244"/>
      <c r="AB8" s="244">
        <f>AB6+AB7</f>
        <v>165</v>
      </c>
      <c r="AC8" s="244"/>
      <c r="AD8" s="244">
        <f>AD6+AD7</f>
        <v>175</v>
      </c>
      <c r="AE8" s="244"/>
      <c r="AF8" s="244">
        <f t="shared" ref="AF8:AM8" si="6">AF6+AF7</f>
        <v>175</v>
      </c>
      <c r="AG8" s="244">
        <f t="shared" si="6"/>
        <v>445</v>
      </c>
      <c r="AH8" s="244">
        <f t="shared" si="6"/>
        <v>455</v>
      </c>
      <c r="AI8" s="244">
        <f t="shared" si="6"/>
        <v>180</v>
      </c>
      <c r="AJ8" s="244">
        <f t="shared" si="6"/>
        <v>180</v>
      </c>
      <c r="AK8" s="244">
        <f t="shared" si="6"/>
        <v>180</v>
      </c>
      <c r="AL8" s="244">
        <f t="shared" si="6"/>
        <v>188</v>
      </c>
      <c r="AM8" s="244">
        <f t="shared" si="6"/>
        <v>190</v>
      </c>
      <c r="AN8" s="244">
        <f>AN6+AN7</f>
        <v>191</v>
      </c>
      <c r="AO8" s="244">
        <f>AO6+AO7</f>
        <v>190</v>
      </c>
      <c r="AP8" s="244">
        <f t="shared" ref="AP8:AQ8" si="7">AP6+AP7</f>
        <v>195</v>
      </c>
      <c r="AQ8" s="244">
        <f t="shared" si="7"/>
        <v>205</v>
      </c>
    </row>
    <row r="9" spans="2:43" hidden="1" outlineLevel="1">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row>
    <row r="10" spans="2:43" hidden="1" outlineLevel="1">
      <c r="B10" s="165" t="s">
        <v>7</v>
      </c>
      <c r="R10" s="244">
        <f>R113-R108</f>
        <v>294.32483999999999</v>
      </c>
      <c r="S10" s="244">
        <f>S113-S108</f>
        <v>130.81103999999999</v>
      </c>
      <c r="T10" s="244">
        <f>T113-T108</f>
        <v>130.81103999999999</v>
      </c>
      <c r="U10" s="244">
        <f>U113-U108</f>
        <v>130.81103999999999</v>
      </c>
      <c r="V10" s="244"/>
      <c r="W10" s="244"/>
      <c r="X10" s="244">
        <f>X111</f>
        <v>130</v>
      </c>
      <c r="Y10" s="244"/>
      <c r="Z10" s="244">
        <f>Z111</f>
        <v>130</v>
      </c>
      <c r="AA10" s="244"/>
      <c r="AB10" s="244">
        <f>AB111</f>
        <v>180.4</v>
      </c>
      <c r="AC10" s="244"/>
      <c r="AD10" s="244">
        <f>AD111</f>
        <v>205.4</v>
      </c>
      <c r="AE10" s="244"/>
      <c r="AF10" s="244">
        <f t="shared" ref="AF10:AM10" si="8">AF111</f>
        <v>229.7</v>
      </c>
      <c r="AG10" s="244">
        <f t="shared" si="8"/>
        <v>82.8</v>
      </c>
      <c r="AH10" s="244">
        <f t="shared" si="8"/>
        <v>83.9</v>
      </c>
      <c r="AI10" s="244">
        <f t="shared" si="8"/>
        <v>83</v>
      </c>
      <c r="AJ10" s="244">
        <f t="shared" si="8"/>
        <v>36</v>
      </c>
      <c r="AK10" s="244">
        <f t="shared" si="8"/>
        <v>21</v>
      </c>
      <c r="AL10" s="244">
        <f t="shared" si="8"/>
        <v>2</v>
      </c>
      <c r="AM10" s="244">
        <f t="shared" si="8"/>
        <v>4</v>
      </c>
      <c r="AN10" s="244">
        <f>AN111</f>
        <v>3</v>
      </c>
      <c r="AO10" s="244">
        <f>AO111</f>
        <v>5</v>
      </c>
      <c r="AP10" s="244">
        <f t="shared" ref="AP10:AQ10" si="9">AP111</f>
        <v>7</v>
      </c>
      <c r="AQ10" s="244">
        <f t="shared" si="9"/>
        <v>8</v>
      </c>
    </row>
    <row r="11" spans="2:43" hidden="1" outlineLevel="1">
      <c r="R11" s="244"/>
      <c r="S11" s="244"/>
      <c r="T11" s="244"/>
      <c r="U11" s="244"/>
      <c r="V11" s="244"/>
      <c r="W11" s="244"/>
      <c r="X11" s="244"/>
      <c r="Y11" s="244"/>
      <c r="Z11" s="244"/>
      <c r="AA11" s="244"/>
      <c r="AB11" s="244"/>
      <c r="AC11" s="244"/>
      <c r="AD11" s="244"/>
      <c r="AE11" s="244"/>
      <c r="AF11" s="244"/>
      <c r="AG11" s="261"/>
    </row>
    <row r="12" spans="2:43" hidden="1" outlineLevel="1">
      <c r="B12" s="165" t="s">
        <v>8</v>
      </c>
      <c r="R12" s="244"/>
      <c r="S12" s="244"/>
      <c r="T12" s="244"/>
      <c r="U12" s="244"/>
      <c r="V12" s="244"/>
      <c r="W12" s="244"/>
      <c r="X12" s="166">
        <f>X99</f>
        <v>0</v>
      </c>
      <c r="Y12" s="166"/>
      <c r="Z12" s="166">
        <f>Z99</f>
        <v>40</v>
      </c>
      <c r="AA12" s="166"/>
      <c r="AB12" s="166">
        <f>AB99</f>
        <v>110</v>
      </c>
      <c r="AC12" s="166"/>
      <c r="AD12" s="166">
        <f>AD99</f>
        <v>120</v>
      </c>
      <c r="AE12" s="166"/>
      <c r="AF12" s="166">
        <f t="shared" ref="AF12:AM12" si="10">AF99</f>
        <v>120</v>
      </c>
      <c r="AG12" s="166">
        <f t="shared" si="10"/>
        <v>120</v>
      </c>
      <c r="AH12" s="166">
        <f t="shared" si="10"/>
        <v>120</v>
      </c>
      <c r="AI12" s="166">
        <f t="shared" si="10"/>
        <v>120</v>
      </c>
      <c r="AJ12" s="166">
        <f t="shared" si="10"/>
        <v>120</v>
      </c>
      <c r="AK12" s="166">
        <f t="shared" si="10"/>
        <v>120</v>
      </c>
      <c r="AL12" s="166">
        <f t="shared" si="10"/>
        <v>120</v>
      </c>
      <c r="AM12" s="166">
        <f t="shared" si="10"/>
        <v>120</v>
      </c>
      <c r="AN12" s="166">
        <f>AN99</f>
        <v>120</v>
      </c>
      <c r="AO12" s="166">
        <f>AO99</f>
        <v>110</v>
      </c>
      <c r="AP12" s="166">
        <f t="shared" ref="AP12:AQ12" si="11">AP99</f>
        <v>110</v>
      </c>
      <c r="AQ12" s="166">
        <f t="shared" si="11"/>
        <v>110</v>
      </c>
    </row>
    <row r="13" spans="2:43" hidden="1" outlineLevel="1">
      <c r="R13" s="244"/>
      <c r="S13" s="244"/>
      <c r="T13" s="244"/>
      <c r="U13" s="244"/>
      <c r="V13" s="244"/>
      <c r="W13" s="244"/>
      <c r="X13" s="244"/>
      <c r="Y13" s="244"/>
      <c r="Z13" s="244"/>
      <c r="AA13" s="244"/>
      <c r="AB13" s="244"/>
      <c r="AC13" s="244"/>
      <c r="AD13" s="244"/>
      <c r="AE13" s="244"/>
      <c r="AF13" s="244"/>
      <c r="AG13" s="261"/>
    </row>
    <row r="14" spans="2:43" hidden="1" outlineLevel="1">
      <c r="R14" s="244"/>
      <c r="S14" s="244"/>
      <c r="T14" s="244"/>
      <c r="U14" s="244"/>
      <c r="V14" s="244"/>
      <c r="W14" s="244"/>
      <c r="X14" s="244"/>
      <c r="Y14" s="244"/>
      <c r="Z14" s="244"/>
      <c r="AA14" s="244"/>
      <c r="AB14" s="244"/>
      <c r="AC14" s="244"/>
      <c r="AD14" s="244"/>
      <c r="AE14" s="244"/>
      <c r="AF14" s="244"/>
      <c r="AG14" s="261"/>
    </row>
    <row r="15" spans="2:43" ht="27" customHeight="1" collapsed="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2:43">
      <c r="O16" s="168"/>
      <c r="P16" s="168"/>
      <c r="Q16" s="168"/>
      <c r="R16" s="166"/>
      <c r="S16" s="166"/>
      <c r="T16" s="166"/>
      <c r="U16" s="166"/>
      <c r="V16" s="166"/>
      <c r="W16" s="166"/>
      <c r="X16" s="169"/>
      <c r="Y16" s="166"/>
      <c r="Z16" s="166"/>
      <c r="AA16" s="166"/>
      <c r="AB16" s="166"/>
      <c r="AC16" s="166"/>
      <c r="AD16" s="166"/>
      <c r="AE16" s="166"/>
      <c r="AF16" s="166"/>
      <c r="AG16" s="261"/>
    </row>
    <row r="17" spans="2:43">
      <c r="B17" s="170" t="s">
        <v>242</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261"/>
    </row>
    <row r="18" spans="2:43">
      <c r="O18" s="168"/>
      <c r="P18" s="168"/>
      <c r="Q18" s="168"/>
      <c r="R18" s="166"/>
      <c r="S18" s="166"/>
      <c r="T18" s="166"/>
      <c r="U18" s="166"/>
      <c r="V18" s="166"/>
      <c r="W18" s="166"/>
      <c r="X18" s="169"/>
      <c r="Y18" s="166"/>
      <c r="Z18" s="166"/>
      <c r="AA18" s="166"/>
      <c r="AB18" s="166"/>
      <c r="AC18" s="166"/>
      <c r="AD18" s="166"/>
      <c r="AE18" s="166"/>
      <c r="AF18" s="166"/>
      <c r="AG18" s="261"/>
    </row>
    <row r="19" spans="2:43">
      <c r="B19" s="170" t="s">
        <v>243</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261"/>
    </row>
    <row r="20" spans="2:43">
      <c r="B20" s="172"/>
      <c r="C20" s="172"/>
      <c r="D20" s="172"/>
      <c r="E20" s="172"/>
      <c r="F20" s="172"/>
      <c r="G20" s="172"/>
      <c r="H20" s="172"/>
      <c r="I20" s="172"/>
      <c r="J20" s="172"/>
      <c r="K20" s="172"/>
      <c r="L20" s="172"/>
      <c r="M20" s="172"/>
      <c r="N20" s="172"/>
      <c r="O20" s="173"/>
      <c r="P20" s="173"/>
      <c r="Q20" s="173"/>
      <c r="R20" s="256"/>
      <c r="S20" s="256"/>
      <c r="T20" s="256"/>
      <c r="U20" s="256"/>
      <c r="V20" s="256"/>
      <c r="W20" s="256"/>
      <c r="X20" s="256"/>
      <c r="Y20" s="256"/>
      <c r="Z20" s="256"/>
      <c r="AA20" s="256"/>
      <c r="AB20" s="256"/>
      <c r="AC20" s="256"/>
      <c r="AD20" s="256"/>
      <c r="AE20" s="256"/>
      <c r="AF20" s="256"/>
      <c r="AG20" s="261"/>
    </row>
    <row r="21" spans="2:43">
      <c r="O21" s="168"/>
      <c r="P21" s="168"/>
      <c r="Q21" s="168"/>
      <c r="R21" s="166"/>
      <c r="S21" s="166"/>
      <c r="T21" s="166"/>
      <c r="U21" s="166"/>
      <c r="V21" s="166"/>
      <c r="W21" s="166"/>
      <c r="X21" s="257">
        <v>2001</v>
      </c>
      <c r="Y21" s="258"/>
      <c r="Z21" s="257">
        <v>2003</v>
      </c>
      <c r="AA21" s="258"/>
      <c r="AB21" s="257">
        <v>2005</v>
      </c>
      <c r="AC21" s="258"/>
      <c r="AD21" s="257">
        <v>2007</v>
      </c>
      <c r="AE21" s="258"/>
      <c r="AF21" s="257">
        <v>2009</v>
      </c>
      <c r="AG21" s="259">
        <v>2010</v>
      </c>
      <c r="AH21" s="259">
        <v>2011</v>
      </c>
      <c r="AI21" s="259">
        <v>2012</v>
      </c>
      <c r="AJ21" s="259">
        <v>2013</v>
      </c>
      <c r="AK21" s="259">
        <v>2014</v>
      </c>
      <c r="AL21" s="259">
        <v>2015</v>
      </c>
      <c r="AM21" s="259">
        <v>2016</v>
      </c>
      <c r="AN21" s="259">
        <v>2017</v>
      </c>
      <c r="AO21" s="259">
        <v>2018</v>
      </c>
      <c r="AP21" s="259">
        <v>2019</v>
      </c>
      <c r="AQ21" s="259">
        <v>2020</v>
      </c>
    </row>
    <row r="22" spans="2:43">
      <c r="B22" s="933"/>
      <c r="C22" s="623"/>
      <c r="O22" s="168"/>
      <c r="P22" s="168"/>
      <c r="Q22" s="168"/>
      <c r="R22" s="166"/>
      <c r="S22" s="166"/>
      <c r="T22" s="166"/>
      <c r="U22" s="166"/>
      <c r="V22" s="166"/>
      <c r="W22" s="166"/>
      <c r="AG22" s="261"/>
    </row>
    <row r="23" spans="2:43">
      <c r="B23" s="623" t="s">
        <v>11</v>
      </c>
      <c r="R23" s="244"/>
      <c r="S23" s="244"/>
      <c r="T23" s="244"/>
      <c r="U23" s="244"/>
      <c r="V23" s="244"/>
      <c r="W23" s="244"/>
      <c r="X23" s="208">
        <v>0.17699999999999999</v>
      </c>
      <c r="Y23" s="934"/>
      <c r="AA23" s="934"/>
      <c r="AE23" s="934"/>
      <c r="AG23" s="261"/>
      <c r="AL23" s="555"/>
      <c r="AM23" s="555"/>
      <c r="AN23" s="555"/>
      <c r="AO23" s="555"/>
      <c r="AP23" s="555"/>
      <c r="AQ23" s="555"/>
    </row>
    <row r="24" spans="2:43">
      <c r="B24" s="623" t="s">
        <v>12</v>
      </c>
      <c r="R24" s="244"/>
      <c r="S24" s="244"/>
      <c r="T24" s="244"/>
      <c r="U24" s="244"/>
      <c r="V24" s="244"/>
      <c r="W24" s="244"/>
      <c r="X24" s="244"/>
      <c r="Y24" s="244"/>
      <c r="Z24" s="208">
        <v>0.17</v>
      </c>
      <c r="AA24" s="244"/>
      <c r="AB24" s="208">
        <v>0.16600000000000001</v>
      </c>
      <c r="AC24" s="208"/>
      <c r="AD24" s="935">
        <v>0.159</v>
      </c>
      <c r="AE24" s="244"/>
      <c r="AF24" s="935">
        <v>0.15</v>
      </c>
      <c r="AG24" s="935">
        <v>0.154</v>
      </c>
      <c r="AH24" s="936">
        <v>0.158</v>
      </c>
      <c r="AI24" s="936">
        <v>0.16400000000000001</v>
      </c>
      <c r="AJ24" s="936">
        <v>0.16800000000000001</v>
      </c>
      <c r="AK24" s="936">
        <v>0.17299999999999999</v>
      </c>
      <c r="AL24" s="555">
        <v>0.17699999999999999</v>
      </c>
      <c r="AM24" s="555">
        <v>0.14899999999999999</v>
      </c>
      <c r="AN24" s="555">
        <v>0.1512124306114489</v>
      </c>
      <c r="AO24" s="555">
        <v>0.15498003620866424</v>
      </c>
      <c r="AP24" s="555">
        <f>6967656/43663881</f>
        <v>0.15957482112045882</v>
      </c>
      <c r="AQ24" s="555">
        <f>6936.210301319/46617.18885173</f>
        <v>0.1487908317118867</v>
      </c>
    </row>
    <row r="25" spans="2:43">
      <c r="B25" s="623" t="s">
        <v>13</v>
      </c>
      <c r="R25" s="244"/>
      <c r="S25" s="244"/>
      <c r="T25" s="244"/>
      <c r="U25" s="244"/>
      <c r="V25" s="244"/>
      <c r="W25" s="244"/>
      <c r="X25" s="244"/>
      <c r="Y25" s="244"/>
      <c r="Z25" s="208">
        <v>0.13</v>
      </c>
      <c r="AA25" s="244"/>
      <c r="AB25" s="208">
        <v>0.16600000000000001</v>
      </c>
      <c r="AC25" s="208"/>
      <c r="AD25" s="935">
        <v>0.159</v>
      </c>
      <c r="AE25" s="244"/>
      <c r="AF25" s="935">
        <v>0.15</v>
      </c>
      <c r="AG25" s="935">
        <v>0.154</v>
      </c>
      <c r="AH25" s="936">
        <v>0.158</v>
      </c>
      <c r="AI25" s="936">
        <v>0.16400000000000001</v>
      </c>
      <c r="AJ25" s="936">
        <v>0.16800000000000001</v>
      </c>
      <c r="AK25" s="936">
        <v>0.17299999999999999</v>
      </c>
      <c r="AL25" s="555">
        <v>0.17699999999999999</v>
      </c>
      <c r="AM25" s="555">
        <v>0.14899999999999999</v>
      </c>
      <c r="AN25" s="555">
        <v>0.1512124306114489</v>
      </c>
      <c r="AO25" s="555">
        <v>0.15498003620866424</v>
      </c>
      <c r="AP25" s="555">
        <v>0.15957482112045882</v>
      </c>
      <c r="AQ25" s="555">
        <v>0.1487908317118867</v>
      </c>
    </row>
    <row r="26" spans="2:43">
      <c r="B26" s="623" t="s">
        <v>14</v>
      </c>
      <c r="R26" s="244"/>
      <c r="S26" s="244"/>
      <c r="T26" s="244"/>
      <c r="U26" s="244"/>
      <c r="V26" s="244"/>
      <c r="W26" s="244"/>
      <c r="X26" s="244"/>
      <c r="Y26" s="244"/>
      <c r="Z26" s="244"/>
      <c r="AA26" s="244"/>
      <c r="AB26" s="244"/>
      <c r="AC26" s="244"/>
      <c r="AD26" s="244"/>
      <c r="AE26" s="244"/>
      <c r="AF26" s="935"/>
      <c r="AG26" s="935"/>
      <c r="AH26" s="75"/>
      <c r="AI26" s="75"/>
      <c r="AJ26" s="75"/>
      <c r="AK26" s="75"/>
      <c r="AL26" s="555"/>
      <c r="AM26" s="555"/>
      <c r="AN26" s="555"/>
      <c r="AO26" s="555"/>
      <c r="AP26" s="555"/>
      <c r="AQ26" s="555"/>
    </row>
    <row r="27" spans="2:43">
      <c r="B27" s="623" t="s">
        <v>15</v>
      </c>
      <c r="R27" s="244"/>
      <c r="S27" s="244"/>
      <c r="T27" s="244"/>
      <c r="U27" s="244"/>
      <c r="V27" s="244"/>
      <c r="W27" s="244"/>
      <c r="X27" s="208">
        <v>0.17699999999999999</v>
      </c>
      <c r="Y27" s="244"/>
      <c r="Z27" s="208">
        <v>0.17</v>
      </c>
      <c r="AA27" s="244"/>
      <c r="AB27" s="208">
        <v>0.16600000000000001</v>
      </c>
      <c r="AC27" s="208"/>
      <c r="AD27" s="208">
        <v>0.159</v>
      </c>
      <c r="AE27" s="244"/>
      <c r="AF27" s="935">
        <v>0.15</v>
      </c>
      <c r="AG27" s="935">
        <v>0.154</v>
      </c>
      <c r="AH27" s="936">
        <v>0.158</v>
      </c>
      <c r="AI27" s="936">
        <v>0.16400000000000001</v>
      </c>
      <c r="AJ27" s="936">
        <v>0.16800000000000001</v>
      </c>
      <c r="AK27" s="936">
        <v>0.17299999999999999</v>
      </c>
      <c r="AL27" s="555">
        <v>0.17699999999999999</v>
      </c>
      <c r="AM27" s="555">
        <v>0.14899999999999999</v>
      </c>
      <c r="AN27" s="555">
        <v>0.1512124306114489</v>
      </c>
      <c r="AO27" s="555">
        <v>0.15498003620866424</v>
      </c>
      <c r="AP27" s="555">
        <v>0.15957482112045882</v>
      </c>
      <c r="AQ27" s="555">
        <v>0.1487908317118867</v>
      </c>
    </row>
    <row r="28" spans="2:43">
      <c r="B28" s="623" t="s">
        <v>16</v>
      </c>
      <c r="R28" s="244"/>
      <c r="S28" s="244"/>
      <c r="T28" s="244"/>
      <c r="U28" s="244"/>
      <c r="V28" s="244"/>
      <c r="W28" s="244"/>
      <c r="X28" s="208">
        <v>0</v>
      </c>
      <c r="Y28" s="244"/>
      <c r="Z28" s="208">
        <v>0</v>
      </c>
      <c r="AA28" s="244"/>
      <c r="AB28" s="208">
        <v>0</v>
      </c>
      <c r="AC28" s="208"/>
      <c r="AD28" s="208">
        <v>0</v>
      </c>
      <c r="AE28" s="244"/>
      <c r="AF28" s="935">
        <v>0</v>
      </c>
      <c r="AG28" s="935">
        <v>0</v>
      </c>
      <c r="AH28" s="935">
        <v>0</v>
      </c>
      <c r="AI28" s="936">
        <v>0</v>
      </c>
      <c r="AJ28" s="936">
        <v>0</v>
      </c>
      <c r="AK28" s="936">
        <v>0</v>
      </c>
      <c r="AL28" s="555">
        <v>0</v>
      </c>
      <c r="AM28" s="555">
        <v>0</v>
      </c>
      <c r="AN28" s="555">
        <v>0</v>
      </c>
      <c r="AO28" s="555">
        <v>0</v>
      </c>
      <c r="AP28" s="555">
        <v>0</v>
      </c>
      <c r="AQ28" s="555">
        <v>0</v>
      </c>
    </row>
    <row r="29" spans="2:43">
      <c r="B29" s="937" t="s">
        <v>17</v>
      </c>
      <c r="R29" s="244"/>
      <c r="S29" s="244"/>
      <c r="T29" s="244"/>
      <c r="U29" s="244"/>
      <c r="V29" s="244"/>
      <c r="W29" s="244"/>
      <c r="X29" s="208">
        <v>0.3</v>
      </c>
      <c r="Y29" s="244"/>
      <c r="Z29" s="208">
        <v>0.3</v>
      </c>
      <c r="AA29" s="244"/>
      <c r="AB29" s="208">
        <v>0.29299999999999998</v>
      </c>
      <c r="AC29" s="208"/>
      <c r="AD29" s="208">
        <v>0.22</v>
      </c>
      <c r="AE29" s="244"/>
      <c r="AF29" s="938">
        <v>0.22</v>
      </c>
      <c r="AG29" s="936">
        <v>0.22</v>
      </c>
      <c r="AH29" s="936">
        <v>0.22</v>
      </c>
      <c r="AI29" s="936">
        <v>0.22</v>
      </c>
      <c r="AJ29" s="936">
        <v>0.22</v>
      </c>
      <c r="AK29" s="936">
        <v>0.22</v>
      </c>
      <c r="AL29" s="555">
        <v>0.22</v>
      </c>
      <c r="AM29" s="555">
        <v>0.22</v>
      </c>
      <c r="AN29" s="555">
        <v>0.22</v>
      </c>
      <c r="AO29" s="555">
        <v>0.22</v>
      </c>
      <c r="AP29" s="555">
        <v>0.22</v>
      </c>
      <c r="AQ29" s="555">
        <v>0.22</v>
      </c>
    </row>
    <row r="30" spans="2:43">
      <c r="B30" s="939"/>
      <c r="C30" s="172"/>
      <c r="D30" s="172"/>
      <c r="E30" s="172"/>
      <c r="F30" s="172"/>
      <c r="G30" s="172"/>
      <c r="H30" s="172"/>
      <c r="I30" s="172"/>
      <c r="J30" s="172"/>
      <c r="K30" s="172"/>
      <c r="L30" s="172"/>
      <c r="M30" s="172"/>
      <c r="N30" s="172"/>
      <c r="O30" s="172"/>
      <c r="P30" s="172"/>
      <c r="Q30" s="172"/>
      <c r="R30" s="931"/>
      <c r="S30" s="931"/>
      <c r="T30" s="931"/>
      <c r="U30" s="931"/>
      <c r="V30" s="931"/>
      <c r="W30" s="931"/>
      <c r="X30" s="931"/>
      <c r="Y30" s="931"/>
      <c r="Z30" s="940"/>
      <c r="AA30" s="931"/>
      <c r="AB30" s="940"/>
      <c r="AC30" s="940"/>
      <c r="AD30" s="940"/>
      <c r="AE30" s="931"/>
      <c r="AF30" s="940"/>
      <c r="AG30" s="940"/>
      <c r="AH30" s="940"/>
      <c r="AI30" s="940"/>
      <c r="AJ30" s="940"/>
      <c r="AK30" s="940"/>
      <c r="AL30" s="940"/>
      <c r="AM30" s="940"/>
      <c r="AN30" s="940"/>
      <c r="AO30" s="940"/>
      <c r="AP30" s="940"/>
      <c r="AQ30" s="940"/>
    </row>
    <row r="31" spans="2:43" ht="12" customHeight="1">
      <c r="B31" s="937"/>
      <c r="R31" s="244"/>
      <c r="S31" s="244"/>
      <c r="T31" s="244"/>
      <c r="U31" s="244"/>
      <c r="V31" s="244"/>
      <c r="W31" s="244"/>
      <c r="X31" s="244"/>
      <c r="Y31" s="244"/>
      <c r="Z31" s="244"/>
      <c r="AA31" s="244"/>
      <c r="AB31" s="244"/>
      <c r="AC31" s="244"/>
      <c r="AD31" s="244"/>
      <c r="AE31" s="244"/>
      <c r="AF31" s="244"/>
      <c r="AG31" s="261"/>
    </row>
    <row r="32" spans="2:43">
      <c r="B32" s="165" t="s">
        <v>244</v>
      </c>
      <c r="R32" s="244"/>
      <c r="S32" s="244"/>
      <c r="T32" s="244"/>
      <c r="U32" s="244"/>
      <c r="V32" s="244"/>
      <c r="W32" s="244"/>
      <c r="X32" s="244"/>
      <c r="Y32" s="244"/>
      <c r="Z32" s="244"/>
      <c r="AA32" s="244"/>
      <c r="AB32" s="244"/>
      <c r="AC32" s="244"/>
      <c r="AD32" s="244"/>
      <c r="AE32" s="244"/>
      <c r="AF32" s="244"/>
      <c r="AG32" s="261"/>
    </row>
    <row r="33" spans="2:33">
      <c r="R33" s="244"/>
      <c r="S33" s="244"/>
      <c r="T33" s="244"/>
      <c r="U33" s="244"/>
      <c r="V33" s="244"/>
      <c r="W33" s="244"/>
      <c r="X33" s="244"/>
      <c r="Y33" s="244"/>
      <c r="Z33" s="244"/>
      <c r="AA33" s="244"/>
      <c r="AB33" s="244"/>
      <c r="AC33" s="244"/>
      <c r="AD33" s="244"/>
      <c r="AE33" s="244"/>
      <c r="AF33" s="244"/>
      <c r="AG33" s="261"/>
    </row>
    <row r="34" spans="2:33" s="167" customFormat="1" hidden="1">
      <c r="O34" s="197"/>
      <c r="P34" s="198"/>
      <c r="Q34" s="199"/>
      <c r="R34" s="196"/>
      <c r="S34" s="196"/>
      <c r="T34" s="196"/>
      <c r="U34" s="196"/>
      <c r="V34" s="196"/>
      <c r="W34" s="196"/>
      <c r="X34" s="196"/>
      <c r="Y34" s="196"/>
      <c r="Z34" s="196"/>
      <c r="AA34" s="196"/>
      <c r="AB34" s="196"/>
      <c r="AC34" s="196"/>
      <c r="AD34" s="196"/>
      <c r="AE34" s="196"/>
      <c r="AF34" s="196"/>
      <c r="AG34" s="210"/>
    </row>
    <row r="35" spans="2:33" s="167" customFormat="1" hidden="1">
      <c r="O35" s="197"/>
      <c r="P35" s="198"/>
      <c r="Q35" s="199"/>
      <c r="R35" s="196"/>
      <c r="S35" s="196"/>
      <c r="T35" s="196"/>
      <c r="U35" s="196"/>
      <c r="V35" s="196"/>
      <c r="W35" s="196"/>
      <c r="X35" s="196"/>
      <c r="Y35" s="196"/>
      <c r="Z35" s="196"/>
      <c r="AA35" s="196"/>
      <c r="AB35" s="196"/>
      <c r="AC35" s="196"/>
      <c r="AD35" s="196"/>
      <c r="AE35" s="196"/>
      <c r="AF35" s="196"/>
      <c r="AG35" s="210"/>
    </row>
    <row r="36" spans="2:33" s="167" customFormat="1" hidden="1">
      <c r="O36" s="197"/>
      <c r="P36" s="198"/>
      <c r="Q36" s="199"/>
      <c r="R36" s="196"/>
      <c r="S36" s="196"/>
      <c r="T36" s="196"/>
      <c r="U36" s="196"/>
      <c r="V36" s="196"/>
      <c r="W36" s="196"/>
      <c r="X36" s="196"/>
      <c r="Y36" s="196"/>
      <c r="Z36" s="196"/>
      <c r="AA36" s="196"/>
      <c r="AB36" s="196"/>
      <c r="AC36" s="196"/>
      <c r="AD36" s="196"/>
      <c r="AE36" s="196"/>
      <c r="AF36" s="196"/>
      <c r="AG36" s="210"/>
    </row>
    <row r="37" spans="2:33" s="167" customFormat="1" hidden="1">
      <c r="O37" s="197"/>
      <c r="P37" s="198"/>
      <c r="Q37" s="199"/>
      <c r="R37" s="196"/>
      <c r="S37" s="196"/>
      <c r="T37" s="196"/>
      <c r="U37" s="196"/>
      <c r="V37" s="196"/>
      <c r="W37" s="196"/>
      <c r="X37" s="196"/>
      <c r="Y37" s="196"/>
      <c r="Z37" s="196"/>
      <c r="AA37" s="196"/>
      <c r="AB37" s="196"/>
      <c r="AC37" s="196"/>
      <c r="AD37" s="196"/>
      <c r="AE37" s="196"/>
      <c r="AF37" s="196"/>
      <c r="AG37" s="210"/>
    </row>
    <row r="38" spans="2:33" s="167" customFormat="1" hidden="1">
      <c r="O38" s="197"/>
      <c r="P38" s="198"/>
      <c r="Q38" s="199"/>
      <c r="R38" s="196"/>
      <c r="S38" s="196"/>
      <c r="T38" s="196"/>
      <c r="U38" s="196"/>
      <c r="V38" s="196"/>
      <c r="W38" s="196"/>
      <c r="X38" s="196"/>
      <c r="Y38" s="196"/>
      <c r="Z38" s="196"/>
      <c r="AA38" s="196"/>
      <c r="AB38" s="196"/>
      <c r="AC38" s="196"/>
      <c r="AD38" s="196"/>
      <c r="AE38" s="196"/>
      <c r="AF38" s="196"/>
      <c r="AG38" s="210"/>
    </row>
    <row r="39" spans="2:33" s="167" customFormat="1" hidden="1">
      <c r="O39" s="197"/>
      <c r="P39" s="198"/>
      <c r="Q39" s="199"/>
      <c r="R39" s="196"/>
      <c r="S39" s="196"/>
      <c r="T39" s="196"/>
      <c r="U39" s="196"/>
      <c r="V39" s="196"/>
      <c r="W39" s="196"/>
      <c r="X39" s="196"/>
      <c r="Y39" s="196"/>
      <c r="Z39" s="196"/>
      <c r="AA39" s="196"/>
      <c r="AB39" s="196"/>
      <c r="AC39" s="196"/>
      <c r="AD39" s="196"/>
      <c r="AE39" s="196"/>
      <c r="AF39" s="196"/>
      <c r="AG39" s="210"/>
    </row>
    <row r="40" spans="2:33" s="167" customFormat="1" hidden="1">
      <c r="O40" s="197"/>
      <c r="P40" s="198"/>
      <c r="Q40" s="199"/>
      <c r="R40" s="196"/>
      <c r="S40" s="196"/>
      <c r="T40" s="196"/>
      <c r="U40" s="196"/>
      <c r="V40" s="196"/>
      <c r="W40" s="196"/>
      <c r="X40" s="196"/>
      <c r="Y40" s="196"/>
      <c r="Z40" s="196"/>
      <c r="AA40" s="196"/>
      <c r="AB40" s="196"/>
      <c r="AC40" s="196"/>
      <c r="AD40" s="196"/>
      <c r="AE40" s="196"/>
      <c r="AF40" s="196"/>
      <c r="AG40" s="210"/>
    </row>
    <row r="41" spans="2:33" s="167" customFormat="1" hidden="1">
      <c r="O41" s="197"/>
      <c r="P41" s="198"/>
      <c r="Q41" s="199"/>
      <c r="R41" s="196"/>
      <c r="S41" s="196"/>
      <c r="T41" s="196"/>
      <c r="U41" s="196"/>
      <c r="V41" s="196"/>
      <c r="W41" s="196"/>
      <c r="X41" s="196"/>
      <c r="Y41" s="196"/>
      <c r="Z41" s="196"/>
      <c r="AA41" s="196"/>
      <c r="AB41" s="196"/>
      <c r="AC41" s="196"/>
      <c r="AD41" s="196"/>
      <c r="AE41" s="196"/>
      <c r="AF41" s="196"/>
      <c r="AG41" s="210"/>
    </row>
    <row r="42" spans="2:33" s="167" customFormat="1" hidden="1">
      <c r="O42" s="197"/>
      <c r="P42" s="198"/>
      <c r="Q42" s="199"/>
      <c r="R42" s="196"/>
      <c r="S42" s="196"/>
      <c r="T42" s="196"/>
      <c r="U42" s="196"/>
      <c r="V42" s="196"/>
      <c r="W42" s="196"/>
      <c r="X42" s="196"/>
      <c r="Y42" s="196"/>
      <c r="Z42" s="196"/>
      <c r="AA42" s="196"/>
      <c r="AB42" s="196"/>
      <c r="AC42" s="196"/>
      <c r="AD42" s="196"/>
      <c r="AE42" s="196"/>
      <c r="AF42" s="196"/>
      <c r="AG42" s="210"/>
    </row>
    <row r="43" spans="2:33" s="167" customFormat="1" hidden="1">
      <c r="O43" s="197"/>
      <c r="P43" s="198"/>
      <c r="Q43" s="199"/>
      <c r="R43" s="196"/>
      <c r="S43" s="196"/>
      <c r="T43" s="196"/>
      <c r="U43" s="196"/>
      <c r="V43" s="196"/>
      <c r="W43" s="196"/>
      <c r="X43" s="196"/>
      <c r="Y43" s="196"/>
      <c r="Z43" s="196"/>
      <c r="AA43" s="196"/>
      <c r="AB43" s="196"/>
      <c r="AC43" s="196"/>
      <c r="AD43" s="196"/>
      <c r="AE43" s="196"/>
      <c r="AF43" s="196"/>
      <c r="AG43" s="210"/>
    </row>
    <row r="44" spans="2:33" s="167" customFormat="1" hidden="1">
      <c r="O44" s="197"/>
      <c r="P44" s="198"/>
      <c r="Q44" s="199"/>
      <c r="R44" s="196"/>
      <c r="S44" s="196"/>
      <c r="T44" s="196"/>
      <c r="U44" s="196"/>
      <c r="V44" s="196"/>
      <c r="W44" s="196"/>
      <c r="X44" s="196"/>
      <c r="Y44" s="196"/>
      <c r="Z44" s="196"/>
      <c r="AA44" s="196"/>
      <c r="AB44" s="196"/>
      <c r="AC44" s="196"/>
      <c r="AD44" s="196"/>
      <c r="AE44" s="196"/>
      <c r="AF44" s="196"/>
      <c r="AG44" s="210"/>
    </row>
    <row r="45" spans="2:33" s="167" customFormat="1" hidden="1">
      <c r="O45" s="197"/>
      <c r="P45" s="198"/>
      <c r="Q45" s="199"/>
      <c r="R45" s="196"/>
      <c r="S45" s="196"/>
      <c r="T45" s="196"/>
      <c r="U45" s="196"/>
      <c r="V45" s="196"/>
      <c r="W45" s="196"/>
      <c r="X45" s="196"/>
      <c r="Y45" s="196"/>
      <c r="Z45" s="196"/>
      <c r="AA45" s="196"/>
      <c r="AB45" s="196"/>
      <c r="AC45" s="196"/>
      <c r="AD45" s="196"/>
      <c r="AE45" s="196"/>
      <c r="AF45" s="196"/>
      <c r="AG45" s="210"/>
    </row>
    <row r="46" spans="2:33" s="167" customFormat="1" hidden="1">
      <c r="O46" s="197"/>
      <c r="P46" s="198"/>
      <c r="Q46" s="199"/>
      <c r="R46" s="196"/>
      <c r="S46" s="196"/>
      <c r="T46" s="196"/>
      <c r="U46" s="196"/>
      <c r="V46" s="196"/>
      <c r="W46" s="196"/>
      <c r="X46" s="196"/>
      <c r="Y46" s="196"/>
      <c r="Z46" s="196"/>
      <c r="AA46" s="196"/>
      <c r="AB46" s="196"/>
      <c r="AC46" s="196"/>
      <c r="AD46" s="196"/>
      <c r="AE46" s="196"/>
      <c r="AF46" s="196"/>
      <c r="AG46" s="210"/>
    </row>
    <row r="47" spans="2:33" s="167" customFormat="1" hidden="1">
      <c r="O47" s="197"/>
      <c r="P47" s="198"/>
      <c r="Q47" s="199"/>
      <c r="R47" s="196"/>
      <c r="S47" s="196"/>
      <c r="T47" s="196"/>
      <c r="U47" s="196"/>
      <c r="V47" s="196"/>
      <c r="W47" s="196"/>
      <c r="X47" s="196"/>
      <c r="Y47" s="196"/>
      <c r="Z47" s="196"/>
      <c r="AA47" s="196"/>
      <c r="AB47" s="196"/>
      <c r="AC47" s="196"/>
      <c r="AD47" s="196"/>
      <c r="AE47" s="196"/>
      <c r="AF47" s="196"/>
      <c r="AG47" s="210"/>
    </row>
    <row r="48" spans="2:33" s="167" customFormat="1" ht="15" hidden="1">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6"/>
      <c r="AB48" s="196"/>
      <c r="AC48" s="196"/>
      <c r="AD48" s="196"/>
      <c r="AE48" s="196"/>
      <c r="AF48" s="196"/>
      <c r="AG48" s="210"/>
    </row>
    <row r="49" spans="2:43" s="167" customFormat="1" ht="15" hidden="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96"/>
      <c r="AB49" s="196"/>
      <c r="AC49" s="196"/>
      <c r="AD49" s="196"/>
      <c r="AE49" s="196"/>
      <c r="AF49" s="196"/>
      <c r="AG49" s="210"/>
    </row>
    <row r="50" spans="2:43" s="167" customFormat="1" ht="15" hidden="1">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196"/>
      <c r="AB50" s="196"/>
      <c r="AC50" s="196"/>
      <c r="AD50" s="196"/>
      <c r="AE50" s="196"/>
      <c r="AF50" s="196"/>
      <c r="AG50" s="210"/>
    </row>
    <row r="51" spans="2:43" s="167" customFormat="1" ht="15" hidden="1">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196"/>
      <c r="AB51" s="196"/>
      <c r="AC51" s="196"/>
      <c r="AD51" s="196"/>
      <c r="AE51" s="196"/>
      <c r="AF51" s="196"/>
      <c r="AG51" s="210"/>
    </row>
    <row r="52" spans="2:43" s="167" customFormat="1" ht="15" hidden="1">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196"/>
      <c r="AB52" s="196"/>
      <c r="AC52" s="196"/>
      <c r="AD52" s="196"/>
      <c r="AE52" s="196"/>
      <c r="AF52" s="196"/>
      <c r="AG52" s="210"/>
    </row>
    <row r="53" spans="2:43" s="167" customFormat="1" ht="15" hidden="1">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196"/>
      <c r="AB53" s="196"/>
      <c r="AC53" s="196"/>
      <c r="AD53" s="196"/>
      <c r="AE53" s="196"/>
      <c r="AF53" s="196"/>
      <c r="AG53" s="210"/>
    </row>
    <row r="54" spans="2:43" s="167" customFormat="1" ht="15" hidden="1">
      <c r="B54" s="266"/>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196"/>
      <c r="AB54" s="196"/>
      <c r="AC54" s="196"/>
      <c r="AD54" s="196"/>
      <c r="AE54" s="196"/>
      <c r="AF54" s="196"/>
      <c r="AG54" s="210"/>
    </row>
    <row r="55" spans="2:43" s="167" customFormat="1" ht="15" hidden="1">
      <c r="B55" s="1920"/>
      <c r="C55" s="1921"/>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96"/>
      <c r="AB55" s="196"/>
      <c r="AC55" s="196"/>
      <c r="AD55" s="196"/>
      <c r="AE55" s="196"/>
      <c r="AF55" s="196"/>
      <c r="AG55" s="210"/>
    </row>
    <row r="56" spans="2:43" s="167" customFormat="1" hidden="1">
      <c r="O56" s="197"/>
      <c r="P56" s="198"/>
      <c r="Q56" s="199"/>
      <c r="R56" s="196"/>
      <c r="S56" s="196"/>
      <c r="T56" s="196"/>
      <c r="U56" s="196"/>
      <c r="V56" s="196"/>
      <c r="W56" s="196"/>
      <c r="X56" s="196"/>
      <c r="Y56" s="196"/>
      <c r="Z56" s="196"/>
      <c r="AA56" s="196"/>
      <c r="AB56" s="196"/>
      <c r="AC56" s="196"/>
      <c r="AD56" s="196"/>
      <c r="AE56" s="196"/>
      <c r="AF56" s="196"/>
      <c r="AG56" s="210"/>
    </row>
    <row r="57" spans="2:43" s="167" customFormat="1" hidden="1">
      <c r="O57" s="197"/>
      <c r="P57" s="198"/>
      <c r="Q57" s="199"/>
      <c r="R57" s="196"/>
      <c r="S57" s="196"/>
      <c r="T57" s="196"/>
      <c r="U57" s="196"/>
      <c r="V57" s="196"/>
      <c r="W57" s="196"/>
      <c r="X57" s="196"/>
      <c r="Y57" s="196"/>
      <c r="Z57" s="196"/>
      <c r="AA57" s="196"/>
      <c r="AB57" s="196"/>
      <c r="AC57" s="196"/>
      <c r="AD57" s="196"/>
      <c r="AE57" s="196"/>
      <c r="AF57" s="196"/>
      <c r="AG57" s="210"/>
    </row>
    <row r="58" spans="2:43" s="167" customFormat="1" hidden="1">
      <c r="O58" s="197"/>
      <c r="P58" s="198"/>
      <c r="Q58" s="199"/>
      <c r="R58" s="196"/>
      <c r="S58" s="196"/>
      <c r="T58" s="196"/>
      <c r="U58" s="196"/>
      <c r="V58" s="196"/>
      <c r="W58" s="196"/>
      <c r="X58" s="196"/>
      <c r="Y58" s="196"/>
      <c r="Z58" s="196"/>
      <c r="AA58" s="196"/>
      <c r="AB58" s="196"/>
      <c r="AC58" s="196"/>
      <c r="AD58" s="196"/>
      <c r="AE58" s="196"/>
      <c r="AF58" s="196"/>
      <c r="AG58" s="210"/>
    </row>
    <row r="59" spans="2:43" s="167" customFormat="1">
      <c r="O59" s="197"/>
      <c r="P59" s="198"/>
      <c r="Q59" s="199"/>
      <c r="R59" s="196"/>
      <c r="S59" s="196"/>
      <c r="T59" s="196"/>
      <c r="U59" s="196"/>
      <c r="V59" s="196"/>
      <c r="W59" s="196"/>
      <c r="X59" s="196"/>
      <c r="Y59" s="196"/>
      <c r="Z59" s="196"/>
      <c r="AA59" s="196"/>
      <c r="AB59" s="196"/>
      <c r="AC59" s="196"/>
      <c r="AD59" s="196"/>
      <c r="AE59" s="196"/>
      <c r="AF59" s="196"/>
      <c r="AG59" s="210"/>
    </row>
    <row r="60" spans="2:43" s="167" customFormat="1"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210"/>
    </row>
    <row r="61" spans="2:43" s="167" customFormat="1"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210"/>
    </row>
    <row r="62" spans="2:43" s="167" customFormat="1" outlineLevel="1">
      <c r="B62" s="562"/>
      <c r="C62" s="562"/>
      <c r="D62" s="562"/>
      <c r="E62" s="562"/>
      <c r="F62" s="562"/>
      <c r="G62" s="562"/>
      <c r="H62" s="562"/>
      <c r="I62" s="562"/>
      <c r="J62" s="562"/>
      <c r="K62" s="562"/>
      <c r="L62" s="562"/>
      <c r="M62" s="562"/>
      <c r="N62" s="562"/>
      <c r="O62" s="561"/>
      <c r="P62" s="194"/>
      <c r="Q62" s="194"/>
      <c r="R62" s="195"/>
      <c r="S62" s="195"/>
      <c r="T62" s="195"/>
      <c r="U62" s="195"/>
      <c r="V62" s="195"/>
      <c r="W62" s="195"/>
      <c r="X62" s="195"/>
      <c r="Y62" s="196"/>
      <c r="Z62" s="196"/>
      <c r="AA62" s="196"/>
      <c r="AB62" s="196"/>
      <c r="AC62" s="196"/>
      <c r="AD62" s="196"/>
      <c r="AE62" s="196"/>
      <c r="AF62" s="196"/>
      <c r="AG62" s="210"/>
    </row>
    <row r="63" spans="2:43" s="167" customFormat="1" outlineLevel="1">
      <c r="B63" s="165" t="s">
        <v>1651</v>
      </c>
      <c r="C63" s="165"/>
      <c r="D63" s="165"/>
      <c r="O63" s="197"/>
      <c r="P63" s="198"/>
      <c r="Q63" s="199"/>
      <c r="R63" s="196"/>
      <c r="S63" s="196"/>
      <c r="T63" s="196"/>
      <c r="U63" s="196"/>
      <c r="V63" s="196"/>
      <c r="W63" s="196"/>
      <c r="X63" s="200">
        <v>2001</v>
      </c>
      <c r="Y63" s="201"/>
      <c r="Z63" s="202">
        <v>2003</v>
      </c>
      <c r="AA63" s="201"/>
      <c r="AB63" s="202">
        <v>2005</v>
      </c>
      <c r="AC63" s="201"/>
      <c r="AD63" s="202">
        <v>2007</v>
      </c>
      <c r="AE63" s="201"/>
      <c r="AF63" s="202">
        <v>2009</v>
      </c>
      <c r="AG63" s="259">
        <v>2010</v>
      </c>
      <c r="AH63" s="259">
        <v>2011</v>
      </c>
      <c r="AI63" s="259">
        <v>2012</v>
      </c>
      <c r="AJ63" s="259">
        <v>2013</v>
      </c>
      <c r="AK63" s="259">
        <v>2014</v>
      </c>
      <c r="AL63" s="259">
        <v>2015</v>
      </c>
      <c r="AM63" s="259">
        <v>2016</v>
      </c>
      <c r="AN63" s="259">
        <v>2017</v>
      </c>
      <c r="AO63" s="259">
        <v>2018</v>
      </c>
      <c r="AP63" s="259">
        <v>2019</v>
      </c>
      <c r="AQ63" s="259">
        <v>2020</v>
      </c>
    </row>
    <row r="64" spans="2:43" s="167" customFormat="1" outlineLevel="1">
      <c r="B64" s="165" t="s">
        <v>1652</v>
      </c>
      <c r="C64" s="165"/>
      <c r="D64" s="165"/>
      <c r="O64" s="197"/>
      <c r="P64" s="198"/>
      <c r="Q64" s="199"/>
      <c r="R64" s="196"/>
      <c r="S64" s="196"/>
      <c r="T64" s="196"/>
      <c r="U64" s="196"/>
      <c r="V64" s="196"/>
      <c r="W64" s="196"/>
      <c r="X64" s="75"/>
      <c r="Y64" s="203"/>
      <c r="Z64" s="75"/>
      <c r="AA64" s="203"/>
      <c r="AB64" s="75"/>
      <c r="AC64" s="75"/>
      <c r="AD64" s="75"/>
      <c r="AE64" s="203"/>
      <c r="AF64" s="75"/>
      <c r="AG64" s="75"/>
      <c r="AH64" s="75"/>
    </row>
    <row r="65" spans="2:43" s="167" customFormat="1" outlineLevel="1">
      <c r="B65" s="268" t="s">
        <v>28</v>
      </c>
      <c r="C65" s="165" t="s">
        <v>29</v>
      </c>
      <c r="D65" s="165"/>
      <c r="O65" s="197"/>
      <c r="P65" s="198"/>
      <c r="Q65" s="199"/>
      <c r="R65" s="196"/>
      <c r="S65" s="196"/>
      <c r="T65" s="196"/>
      <c r="U65" s="196"/>
      <c r="V65" s="196"/>
      <c r="W65" s="196"/>
      <c r="X65" s="166">
        <v>119328.67</v>
      </c>
      <c r="Y65" s="166">
        <v>121393.83</v>
      </c>
      <c r="Z65" s="166">
        <v>125399.05</v>
      </c>
      <c r="AA65" s="166">
        <v>130533.51</v>
      </c>
      <c r="AB65" s="166">
        <v>136717.07999999999</v>
      </c>
      <c r="AC65" s="166">
        <v>142523.45000000001</v>
      </c>
      <c r="AD65" s="166">
        <v>147713.24</v>
      </c>
      <c r="AE65" s="166">
        <v>152242.92000000001</v>
      </c>
      <c r="AF65" s="166">
        <v>154050.45000000001</v>
      </c>
      <c r="AG65" s="166">
        <v>158310.35999999999</v>
      </c>
      <c r="AH65" s="166">
        <v>165545.87</v>
      </c>
      <c r="AI65" s="166">
        <v>170351.32</v>
      </c>
      <c r="AJ65" s="166">
        <v>173819.48</v>
      </c>
      <c r="AK65" s="166">
        <v>177888.19</v>
      </c>
      <c r="AL65" s="166">
        <v>181370.78</v>
      </c>
      <c r="AM65" s="166">
        <v>186892.55</v>
      </c>
      <c r="AN65" s="166">
        <v>193948.72</v>
      </c>
      <c r="AO65" s="166">
        <v>200085.44</v>
      </c>
      <c r="AP65" s="166">
        <v>204942.35</v>
      </c>
      <c r="AQ65" s="166">
        <v>190133.78</v>
      </c>
    </row>
    <row r="66" spans="2:43" s="167" customFormat="1" ht="14.25" customHeight="1" outlineLevel="1">
      <c r="B66" s="165"/>
      <c r="C66" s="165"/>
      <c r="D66" s="165"/>
      <c r="O66" s="197"/>
      <c r="P66" s="198"/>
      <c r="Q66" s="199"/>
      <c r="R66" s="196"/>
      <c r="S66" s="196"/>
      <c r="T66" s="196"/>
      <c r="U66" s="196"/>
      <c r="V66" s="196"/>
      <c r="W66" s="196"/>
      <c r="X66" s="166"/>
      <c r="Y66" s="166"/>
      <c r="Z66" s="166"/>
      <c r="AA66" s="166"/>
      <c r="AB66" s="166"/>
      <c r="AC66" s="166"/>
      <c r="AD66" s="166"/>
      <c r="AE66" s="166"/>
      <c r="AF66" s="166"/>
      <c r="AG66" s="166"/>
      <c r="AH66" s="166"/>
      <c r="AI66" s="166"/>
      <c r="AJ66" s="166"/>
      <c r="AK66" s="166"/>
      <c r="AL66" s="166"/>
      <c r="AM66" s="166"/>
      <c r="AN66" s="166"/>
      <c r="AO66" s="166"/>
      <c r="AP66" s="166"/>
      <c r="AQ66" s="166"/>
    </row>
    <row r="67" spans="2:43" s="167" customFormat="1" outlineLevel="1">
      <c r="B67" s="268" t="s">
        <v>30</v>
      </c>
      <c r="C67" s="165" t="s">
        <v>31</v>
      </c>
      <c r="D67" s="165"/>
      <c r="O67" s="197"/>
      <c r="P67" s="198"/>
      <c r="Q67" s="199"/>
      <c r="R67" s="196"/>
      <c r="S67" s="196"/>
      <c r="T67" s="196"/>
      <c r="U67" s="196"/>
      <c r="V67" s="196"/>
      <c r="W67" s="196"/>
      <c r="X67" s="166">
        <v>136920.31</v>
      </c>
      <c r="Y67" s="166">
        <v>139340.23000000001</v>
      </c>
      <c r="Z67" s="166">
        <v>144028.05000000002</v>
      </c>
      <c r="AA67" s="166">
        <v>150114.87</v>
      </c>
      <c r="AB67" s="166">
        <v>157941.69</v>
      </c>
      <c r="AC67" s="166">
        <v>165104</v>
      </c>
      <c r="AD67" s="166">
        <v>171108.68</v>
      </c>
      <c r="AE67" s="166">
        <v>177587.43</v>
      </c>
      <c r="AF67" s="166">
        <v>181097.82000000004</v>
      </c>
      <c r="AG67" s="166">
        <v>185906.33</v>
      </c>
      <c r="AH67" s="166">
        <v>193846.34999999998</v>
      </c>
      <c r="AI67" s="166">
        <v>199419.59000000003</v>
      </c>
      <c r="AJ67" s="166">
        <v>203697.71</v>
      </c>
      <c r="AK67" s="166">
        <v>208501.44</v>
      </c>
      <c r="AL67" s="166">
        <v>212635.93000000002</v>
      </c>
      <c r="AM67" s="166">
        <v>219175.27</v>
      </c>
      <c r="AN67" s="166">
        <v>226826.08000000002</v>
      </c>
      <c r="AO67" s="166">
        <v>234231.63</v>
      </c>
      <c r="AP67" s="166">
        <v>240472.5</v>
      </c>
      <c r="AQ67" s="166">
        <v>227481.73</v>
      </c>
    </row>
    <row r="68" spans="2:43" s="167" customFormat="1" ht="11.25" customHeight="1" outlineLevel="1">
      <c r="B68" s="165"/>
      <c r="C68" s="165"/>
      <c r="D68" s="165"/>
      <c r="O68" s="197"/>
      <c r="P68" s="198"/>
      <c r="Q68" s="199"/>
      <c r="R68" s="196"/>
      <c r="S68" s="196"/>
      <c r="T68" s="196"/>
      <c r="U68" s="196"/>
      <c r="V68" s="196"/>
      <c r="W68" s="196"/>
      <c r="X68" s="75"/>
      <c r="Y68" s="75"/>
      <c r="Z68" s="75"/>
      <c r="AA68" s="75"/>
      <c r="AB68" s="75"/>
      <c r="AC68" s="75"/>
      <c r="AD68" s="75"/>
      <c r="AE68" s="75"/>
      <c r="AF68" s="75"/>
      <c r="AG68" s="75"/>
      <c r="AH68" s="75"/>
      <c r="AI68" s="75"/>
      <c r="AJ68" s="75"/>
      <c r="AK68" s="75"/>
      <c r="AL68" s="75"/>
      <c r="AM68" s="75"/>
      <c r="AN68" s="75"/>
      <c r="AO68" s="75"/>
      <c r="AP68" s="75"/>
      <c r="AQ68" s="75"/>
    </row>
    <row r="69" spans="2:43" s="167" customFormat="1" outlineLevel="1">
      <c r="B69" s="268" t="s">
        <v>32</v>
      </c>
      <c r="C69" s="165" t="s">
        <v>33</v>
      </c>
      <c r="D69" s="165"/>
      <c r="O69" s="197"/>
      <c r="P69" s="198"/>
      <c r="Q69" s="199"/>
      <c r="R69" s="196"/>
      <c r="S69" s="196"/>
      <c r="T69" s="196"/>
      <c r="U69" s="196"/>
      <c r="V69" s="196"/>
      <c r="W69" s="196"/>
      <c r="X69" s="166">
        <f>SUM(X71:X72)</f>
        <v>22991.274000000001</v>
      </c>
      <c r="Y69" s="166">
        <f t="shared" ref="Y69:AN69" si="12">SUM(Y71:Y72)</f>
        <v>23906.850999999999</v>
      </c>
      <c r="Z69" s="166">
        <f t="shared" si="12"/>
        <v>24123.283999999996</v>
      </c>
      <c r="AA69" s="166">
        <f t="shared" si="12"/>
        <v>25120.332999999999</v>
      </c>
      <c r="AB69" s="166">
        <f t="shared" si="12"/>
        <v>26006.813999999998</v>
      </c>
      <c r="AC69" s="166">
        <f t="shared" si="12"/>
        <v>26218.405000000002</v>
      </c>
      <c r="AD69" s="166">
        <f t="shared" si="12"/>
        <v>27701.091</v>
      </c>
      <c r="AE69" s="166">
        <f t="shared" si="12"/>
        <v>28772.995000000003</v>
      </c>
      <c r="AF69" s="166">
        <f t="shared" si="12"/>
        <v>28892.42</v>
      </c>
      <c r="AG69" s="166">
        <f t="shared" si="12"/>
        <v>29631.855</v>
      </c>
      <c r="AH69" s="166">
        <f t="shared" si="12"/>
        <v>30916.652999999998</v>
      </c>
      <c r="AI69" s="166">
        <f t="shared" si="12"/>
        <v>32106.715</v>
      </c>
      <c r="AJ69" s="166">
        <f t="shared" si="12"/>
        <v>32517.585999999999</v>
      </c>
      <c r="AK69" s="166">
        <f t="shared" si="12"/>
        <v>32947.521000000001</v>
      </c>
      <c r="AL69" s="166">
        <f t="shared" si="12"/>
        <v>34030.476000000002</v>
      </c>
      <c r="AM69" s="166">
        <f t="shared" si="12"/>
        <v>35227.821000000004</v>
      </c>
      <c r="AN69" s="166">
        <f t="shared" si="12"/>
        <v>36584.377</v>
      </c>
      <c r="AO69" s="166">
        <f>SUM(AO71:AO72)</f>
        <v>37519.728000000003</v>
      </c>
      <c r="AP69" s="166">
        <f t="shared" ref="AP69:AQ69" si="13">SUM(AP71:AP72)</f>
        <v>38642.934999999998</v>
      </c>
      <c r="AQ69" s="166">
        <f t="shared" si="13"/>
        <v>35435.874000000003</v>
      </c>
    </row>
    <row r="70" spans="2:43" s="167" customFormat="1" ht="5.0999999999999996" customHeight="1" outlineLevel="1">
      <c r="B70" s="165"/>
      <c r="C70" s="165"/>
      <c r="D70" s="165"/>
      <c r="O70" s="197"/>
      <c r="P70" s="198"/>
      <c r="Q70" s="199"/>
      <c r="R70" s="196"/>
      <c r="S70" s="196"/>
      <c r="T70" s="196"/>
      <c r="U70" s="196"/>
      <c r="V70" s="196"/>
      <c r="W70" s="196"/>
      <c r="X70" s="75"/>
      <c r="Y70" s="75"/>
      <c r="Z70" s="75"/>
      <c r="AA70" s="75"/>
      <c r="AB70" s="75"/>
      <c r="AC70" s="75"/>
      <c r="AD70" s="75"/>
      <c r="AE70" s="75"/>
      <c r="AF70" s="75"/>
      <c r="AG70" s="75"/>
      <c r="AH70" s="75"/>
      <c r="AI70" s="75"/>
      <c r="AJ70" s="75"/>
      <c r="AK70" s="75"/>
      <c r="AL70" s="75"/>
      <c r="AM70" s="75"/>
      <c r="AN70" s="75"/>
      <c r="AO70" s="75"/>
      <c r="AP70" s="75"/>
      <c r="AQ70" s="75"/>
    </row>
    <row r="71" spans="2:43" s="167" customFormat="1" outlineLevel="1">
      <c r="B71" s="165"/>
      <c r="C71" s="165" t="s">
        <v>34</v>
      </c>
      <c r="D71" s="165"/>
      <c r="O71" s="197"/>
      <c r="P71" s="198"/>
      <c r="Q71" s="199"/>
      <c r="R71" s="196"/>
      <c r="S71" s="196"/>
      <c r="T71" s="196"/>
      <c r="U71" s="196"/>
      <c r="V71" s="196"/>
      <c r="W71" s="196"/>
      <c r="X71" s="166">
        <v>17263.733</v>
      </c>
      <c r="Y71" s="166">
        <v>17972.705999999998</v>
      </c>
      <c r="Z71" s="166">
        <v>17903.593999999997</v>
      </c>
      <c r="AA71" s="166">
        <v>18585.422999999999</v>
      </c>
      <c r="AB71" s="166">
        <v>19420.919999999998</v>
      </c>
      <c r="AC71" s="166">
        <v>19710.419000000002</v>
      </c>
      <c r="AD71" s="166">
        <v>20940.777000000002</v>
      </c>
      <c r="AE71" s="166">
        <v>21906.939000000002</v>
      </c>
      <c r="AF71" s="166">
        <v>22178.674999999999</v>
      </c>
      <c r="AG71" s="166">
        <v>22710.502</v>
      </c>
      <c r="AH71" s="166">
        <v>23444.306999999997</v>
      </c>
      <c r="AI71" s="166">
        <v>24544.235000000001</v>
      </c>
      <c r="AJ71" s="166">
        <v>24919.644</v>
      </c>
      <c r="AK71" s="166">
        <v>25408.118999999999</v>
      </c>
      <c r="AL71" s="166">
        <v>26281.679</v>
      </c>
      <c r="AM71" s="166">
        <v>27307.523000000001</v>
      </c>
      <c r="AN71" s="166">
        <v>28311.952999999998</v>
      </c>
      <c r="AO71" s="166">
        <v>29323.637000000002</v>
      </c>
      <c r="AP71" s="166">
        <v>30425.531999999999</v>
      </c>
      <c r="AQ71" s="166">
        <v>28191.091</v>
      </c>
    </row>
    <row r="72" spans="2:43" s="167" customFormat="1" outlineLevel="1">
      <c r="B72" s="165"/>
      <c r="C72" s="165" t="s">
        <v>35</v>
      </c>
      <c r="D72" s="165"/>
      <c r="O72" s="197"/>
      <c r="P72" s="198"/>
      <c r="Q72" s="199"/>
      <c r="R72" s="196"/>
      <c r="S72" s="196"/>
      <c r="T72" s="196"/>
      <c r="U72" s="196"/>
      <c r="V72" s="196"/>
      <c r="W72" s="196"/>
      <c r="X72" s="166">
        <v>5727.5410000000002</v>
      </c>
      <c r="Y72" s="166">
        <v>5934.1450000000004</v>
      </c>
      <c r="Z72" s="166">
        <v>6219.69</v>
      </c>
      <c r="AA72" s="166">
        <v>6534.91</v>
      </c>
      <c r="AB72" s="166">
        <v>6585.8939999999993</v>
      </c>
      <c r="AC72" s="166">
        <v>6507.9859999999999</v>
      </c>
      <c r="AD72" s="166">
        <v>6760.3140000000003</v>
      </c>
      <c r="AE72" s="166">
        <v>6866.0560000000005</v>
      </c>
      <c r="AF72" s="166">
        <v>6713.7449999999999</v>
      </c>
      <c r="AG72" s="166">
        <v>6921.3530000000001</v>
      </c>
      <c r="AH72" s="166">
        <v>7472.3459999999995</v>
      </c>
      <c r="AI72" s="166">
        <v>7562.48</v>
      </c>
      <c r="AJ72" s="166">
        <v>7597.942</v>
      </c>
      <c r="AK72" s="166">
        <v>7539.402</v>
      </c>
      <c r="AL72" s="166">
        <v>7748.7969999999996</v>
      </c>
      <c r="AM72" s="166">
        <v>7920.2979999999998</v>
      </c>
      <c r="AN72" s="166">
        <v>8272.4240000000009</v>
      </c>
      <c r="AO72" s="166">
        <v>8196.0909999999985</v>
      </c>
      <c r="AP72" s="166">
        <v>8217.4029999999984</v>
      </c>
      <c r="AQ72" s="166">
        <v>7244.7830000000004</v>
      </c>
    </row>
    <row r="73" spans="2:43" s="167" customFormat="1" ht="5.0999999999999996" customHeight="1" outlineLevel="1">
      <c r="B73" s="165"/>
      <c r="C73" s="165"/>
      <c r="D73" s="165"/>
      <c r="O73" s="197"/>
      <c r="P73" s="198"/>
      <c r="Q73" s="199"/>
      <c r="R73" s="196"/>
      <c r="S73" s="196"/>
      <c r="T73" s="196"/>
      <c r="U73" s="196"/>
      <c r="V73" s="196"/>
      <c r="W73" s="196"/>
      <c r="X73" s="166"/>
      <c r="Y73" s="166"/>
      <c r="Z73" s="166"/>
      <c r="AA73" s="166"/>
      <c r="AB73" s="166"/>
      <c r="AC73" s="166"/>
      <c r="AD73" s="166"/>
      <c r="AE73" s="166"/>
      <c r="AF73" s="166"/>
      <c r="AG73" s="166"/>
      <c r="AH73" s="166"/>
      <c r="AI73" s="166"/>
      <c r="AJ73" s="166"/>
      <c r="AK73" s="166"/>
      <c r="AL73" s="166"/>
      <c r="AM73" s="166"/>
      <c r="AN73" s="166"/>
      <c r="AO73" s="166"/>
      <c r="AP73" s="166"/>
      <c r="AQ73" s="166"/>
    </row>
    <row r="74" spans="2:43" s="167" customFormat="1" outlineLevel="1">
      <c r="B74" s="268" t="s">
        <v>36</v>
      </c>
      <c r="C74" s="165" t="s">
        <v>37</v>
      </c>
      <c r="D74" s="165"/>
      <c r="O74" s="197"/>
      <c r="P74" s="198"/>
      <c r="Q74" s="199"/>
      <c r="R74" s="196"/>
      <c r="S74" s="196"/>
      <c r="T74" s="196"/>
      <c r="U74" s="196"/>
      <c r="V74" s="196"/>
      <c r="W74" s="196"/>
      <c r="X74" s="166">
        <v>25207.83</v>
      </c>
      <c r="Y74" s="166">
        <v>26149.605</v>
      </c>
      <c r="Z74" s="166">
        <v>26431.201000000001</v>
      </c>
      <c r="AA74" s="166">
        <v>27487.743999999999</v>
      </c>
      <c r="AB74" s="166">
        <v>28260.078000000001</v>
      </c>
      <c r="AC74" s="166">
        <v>28694.600999999999</v>
      </c>
      <c r="AD74" s="166">
        <v>30180.324000000001</v>
      </c>
      <c r="AE74" s="166">
        <v>31306.067999999999</v>
      </c>
      <c r="AF74" s="166">
        <v>31408.156000000003</v>
      </c>
      <c r="AG74" s="166">
        <v>32113.612000000005</v>
      </c>
      <c r="AH74" s="166">
        <v>34095.298000000003</v>
      </c>
      <c r="AI74" s="166">
        <v>35343.463000000003</v>
      </c>
      <c r="AJ74" s="166">
        <v>35721</v>
      </c>
      <c r="AK74" s="166">
        <v>36270.642</v>
      </c>
      <c r="AL74" s="166">
        <v>37632.991999999998</v>
      </c>
      <c r="AM74" s="166">
        <v>39108.843999999997</v>
      </c>
      <c r="AN74" s="166">
        <v>40289.321000000004</v>
      </c>
      <c r="AO74" s="166">
        <v>41292.906999999999</v>
      </c>
      <c r="AP74" s="166">
        <v>42476.224000000002</v>
      </c>
      <c r="AQ74" s="166">
        <v>39260.334999999999</v>
      </c>
    </row>
    <row r="75" spans="2:43" s="167" customFormat="1" ht="5.0999999999999996" customHeight="1" outlineLevel="1">
      <c r="B75" s="165"/>
      <c r="C75" s="165"/>
      <c r="D75" s="165"/>
      <c r="O75" s="197"/>
      <c r="P75" s="198"/>
      <c r="Q75" s="199"/>
      <c r="R75" s="196"/>
      <c r="S75" s="196"/>
      <c r="T75" s="196"/>
      <c r="U75" s="196"/>
      <c r="V75" s="196"/>
      <c r="W75" s="196"/>
      <c r="X75" s="166"/>
      <c r="Y75" s="166"/>
      <c r="Z75" s="166"/>
      <c r="AA75" s="166"/>
      <c r="AB75" s="166"/>
      <c r="AC75" s="166"/>
      <c r="AD75" s="166"/>
      <c r="AE75" s="166"/>
      <c r="AF75" s="166"/>
      <c r="AG75" s="166"/>
      <c r="AH75" s="166"/>
      <c r="AI75" s="166"/>
      <c r="AJ75" s="166"/>
      <c r="AK75" s="166"/>
      <c r="AL75" s="166"/>
      <c r="AM75" s="166"/>
      <c r="AN75" s="166"/>
      <c r="AO75" s="166"/>
      <c r="AP75" s="166"/>
      <c r="AQ75" s="166"/>
    </row>
    <row r="76" spans="2:43" s="167" customFormat="1" outlineLevel="1">
      <c r="B76" s="268" t="s">
        <v>38</v>
      </c>
      <c r="C76" s="165" t="s">
        <v>39</v>
      </c>
      <c r="D76" s="165"/>
      <c r="O76" s="197"/>
      <c r="P76" s="198"/>
      <c r="Q76" s="199"/>
      <c r="R76" s="196"/>
      <c r="S76" s="196"/>
      <c r="T76" s="196"/>
      <c r="U76" s="196"/>
      <c r="V76" s="196"/>
      <c r="W76" s="196"/>
      <c r="X76" s="166">
        <v>27288.171999999999</v>
      </c>
      <c r="Y76" s="166">
        <v>28352.641</v>
      </c>
      <c r="Z76" s="166">
        <v>28685.746999999999</v>
      </c>
      <c r="AA76" s="166">
        <v>29724.449000000001</v>
      </c>
      <c r="AB76" s="166">
        <v>30556.12</v>
      </c>
      <c r="AC76" s="166">
        <v>31073.474000000002</v>
      </c>
      <c r="AD76" s="166">
        <v>32608.86</v>
      </c>
      <c r="AE76" s="166">
        <v>33795.433000000005</v>
      </c>
      <c r="AF76" s="166">
        <v>33986.423000000003</v>
      </c>
      <c r="AG76" s="166">
        <v>34739.635999999999</v>
      </c>
      <c r="AH76" s="166">
        <v>36855.079000000005</v>
      </c>
      <c r="AI76" s="166">
        <v>38226.626000000004</v>
      </c>
      <c r="AJ76" s="166">
        <v>38700.826000000001</v>
      </c>
      <c r="AK76" s="166">
        <v>39649.593999999997</v>
      </c>
      <c r="AL76" s="166">
        <v>41064.000999999997</v>
      </c>
      <c r="AM76" s="166">
        <v>42605.555999999997</v>
      </c>
      <c r="AN76" s="166">
        <v>44019.981</v>
      </c>
      <c r="AO76" s="166">
        <v>45095.947</v>
      </c>
      <c r="AP76" s="166">
        <v>46528.517999999996</v>
      </c>
      <c r="AQ76" s="166">
        <v>43288.917000000001</v>
      </c>
    </row>
    <row r="77" spans="2:43" s="167" customFormat="1" outlineLevel="1">
      <c r="B77" s="268"/>
      <c r="C77" s="165"/>
      <c r="D77" s="165"/>
      <c r="O77" s="197"/>
      <c r="P77" s="198"/>
      <c r="Q77" s="199"/>
      <c r="R77" s="196"/>
      <c r="S77" s="196"/>
      <c r="T77" s="196"/>
      <c r="U77" s="196"/>
      <c r="V77" s="196"/>
      <c r="W77" s="196"/>
      <c r="X77" s="166"/>
      <c r="Y77" s="166"/>
      <c r="Z77" s="166"/>
      <c r="AA77" s="166"/>
      <c r="AB77" s="166"/>
      <c r="AC77" s="166"/>
      <c r="AD77" s="166"/>
      <c r="AE77" s="166"/>
      <c r="AF77" s="166"/>
      <c r="AG77" s="166"/>
      <c r="AH77" s="166"/>
      <c r="AI77" s="166"/>
      <c r="AJ77" s="166"/>
      <c r="AK77" s="166"/>
      <c r="AL77" s="166"/>
      <c r="AM77" s="166"/>
      <c r="AN77" s="166"/>
      <c r="AO77" s="166"/>
      <c r="AP77" s="166"/>
      <c r="AQ77" s="166"/>
    </row>
    <row r="78" spans="2:43" s="167" customFormat="1" outlineLevel="1">
      <c r="B78" s="165" t="s">
        <v>40</v>
      </c>
      <c r="D78" s="165"/>
      <c r="O78" s="197"/>
      <c r="P78" s="198"/>
      <c r="Q78" s="199"/>
      <c r="R78" s="196"/>
      <c r="S78" s="196"/>
      <c r="T78" s="196"/>
      <c r="U78" s="196"/>
      <c r="V78" s="196"/>
      <c r="W78" s="196"/>
      <c r="X78" s="166"/>
      <c r="Y78" s="166"/>
      <c r="Z78" s="166"/>
      <c r="AA78" s="166"/>
      <c r="AB78" s="166"/>
      <c r="AC78" s="166"/>
      <c r="AD78" s="166"/>
      <c r="AE78" s="166"/>
      <c r="AF78" s="166"/>
      <c r="AG78" s="166"/>
      <c r="AH78" s="166"/>
      <c r="AI78" s="166"/>
      <c r="AJ78" s="166"/>
      <c r="AK78" s="166"/>
      <c r="AL78" s="166"/>
      <c r="AM78" s="166"/>
      <c r="AN78" s="166"/>
      <c r="AO78" s="166"/>
      <c r="AP78" s="166"/>
      <c r="AQ78" s="166"/>
    </row>
    <row r="79" spans="2:43" s="167" customFormat="1" ht="6" customHeight="1" outlineLevel="1">
      <c r="B79" s="165"/>
      <c r="C79" s="165"/>
      <c r="D79" s="165"/>
      <c r="O79" s="197"/>
      <c r="P79" s="198"/>
      <c r="Q79" s="199"/>
      <c r="R79" s="196"/>
      <c r="S79" s="196"/>
      <c r="T79" s="196"/>
      <c r="U79" s="196"/>
      <c r="V79" s="196"/>
      <c r="W79" s="196"/>
      <c r="X79" s="166"/>
      <c r="Y79" s="166"/>
      <c r="Z79" s="166"/>
      <c r="AA79" s="166"/>
      <c r="AB79" s="166"/>
      <c r="AC79" s="166"/>
      <c r="AD79" s="166"/>
      <c r="AE79" s="166"/>
      <c r="AF79" s="166"/>
      <c r="AG79" s="166"/>
      <c r="AH79" s="166"/>
      <c r="AI79" s="166"/>
      <c r="AJ79" s="166"/>
      <c r="AK79" s="166"/>
      <c r="AL79" s="166"/>
      <c r="AM79" s="166"/>
      <c r="AN79" s="166"/>
      <c r="AO79" s="166"/>
      <c r="AP79" s="166"/>
      <c r="AQ79" s="166"/>
    </row>
    <row r="80" spans="2:43" s="167" customFormat="1" outlineLevel="1">
      <c r="B80" s="269" t="s">
        <v>41</v>
      </c>
      <c r="C80" s="206" t="s">
        <v>42</v>
      </c>
      <c r="D80" s="206"/>
      <c r="O80" s="197"/>
      <c r="P80" s="198"/>
      <c r="Q80" s="199"/>
      <c r="R80" s="196"/>
      <c r="S80" s="196"/>
      <c r="T80" s="196"/>
      <c r="U80" s="196"/>
      <c r="V80" s="196"/>
      <c r="W80" s="196"/>
      <c r="X80" s="207">
        <f>X69/X67</f>
        <v>0.16791719212438244</v>
      </c>
      <c r="Y80" s="207">
        <f t="shared" ref="Y80:AN80" si="14">Y69/Y67</f>
        <v>0.17157177794237885</v>
      </c>
      <c r="Z80" s="207">
        <f t="shared" si="14"/>
        <v>0.16749017986426945</v>
      </c>
      <c r="AA80" s="207">
        <f t="shared" si="14"/>
        <v>0.16734073713017239</v>
      </c>
      <c r="AB80" s="207">
        <f t="shared" si="14"/>
        <v>0.16466085680101308</v>
      </c>
      <c r="AC80" s="207">
        <f t="shared" si="14"/>
        <v>0.158799332541913</v>
      </c>
      <c r="AD80" s="207">
        <f t="shared" si="14"/>
        <v>0.16189179298209772</v>
      </c>
      <c r="AE80" s="207">
        <f t="shared" si="14"/>
        <v>0.16202157438733136</v>
      </c>
      <c r="AF80" s="207">
        <f t="shared" si="14"/>
        <v>0.15954040749910733</v>
      </c>
      <c r="AG80" s="207">
        <f t="shared" si="14"/>
        <v>0.15939131819771818</v>
      </c>
      <c r="AH80" s="207">
        <f t="shared" si="14"/>
        <v>0.15949050884888988</v>
      </c>
      <c r="AI80" s="207">
        <f t="shared" si="14"/>
        <v>0.16100080739309511</v>
      </c>
      <c r="AJ80" s="207">
        <f t="shared" si="14"/>
        <v>0.15963648290400514</v>
      </c>
      <c r="AK80" s="207">
        <f t="shared" si="14"/>
        <v>0.1580205920879971</v>
      </c>
      <c r="AL80" s="207">
        <f t="shared" si="14"/>
        <v>0.16004104292252019</v>
      </c>
      <c r="AM80" s="207">
        <f t="shared" si="14"/>
        <v>0.16072899556596876</v>
      </c>
      <c r="AN80" s="207">
        <f t="shared" si="14"/>
        <v>0.1612882301717686</v>
      </c>
      <c r="AO80" s="207">
        <f>AO69/AO67</f>
        <v>0.16018215814832523</v>
      </c>
      <c r="AP80" s="207">
        <f t="shared" ref="AP80:AQ80" si="15">AP69/AP67</f>
        <v>0.16069585919387872</v>
      </c>
      <c r="AQ80" s="207">
        <f t="shared" si="15"/>
        <v>0.15577459341460081</v>
      </c>
    </row>
    <row r="81" spans="2:43" s="167" customFormat="1" ht="5.0999999999999996" customHeight="1" outlineLevel="1">
      <c r="B81" s="165"/>
      <c r="C81" s="165"/>
      <c r="D81" s="165"/>
      <c r="O81" s="197"/>
      <c r="P81" s="198"/>
      <c r="Q81" s="199"/>
      <c r="R81" s="196"/>
      <c r="S81" s="196"/>
      <c r="T81" s="196"/>
      <c r="U81" s="196"/>
      <c r="V81" s="196"/>
      <c r="W81" s="196"/>
      <c r="X81" s="166"/>
      <c r="Y81" s="166"/>
      <c r="Z81" s="166"/>
      <c r="AA81" s="166"/>
      <c r="AB81" s="166"/>
      <c r="AC81" s="166"/>
      <c r="AD81" s="166"/>
      <c r="AE81" s="166"/>
      <c r="AF81" s="166"/>
      <c r="AG81" s="166"/>
      <c r="AH81" s="166"/>
      <c r="AI81" s="166"/>
      <c r="AJ81" s="166"/>
      <c r="AK81" s="166"/>
      <c r="AL81" s="166"/>
      <c r="AM81" s="166"/>
      <c r="AN81" s="166"/>
      <c r="AO81" s="166"/>
      <c r="AP81" s="166"/>
      <c r="AQ81" s="166"/>
    </row>
    <row r="82" spans="2:43" s="167" customFormat="1" outlineLevel="1">
      <c r="B82" s="268" t="s">
        <v>43</v>
      </c>
      <c r="C82" s="165" t="s">
        <v>44</v>
      </c>
      <c r="D82" s="165"/>
      <c r="O82" s="197"/>
      <c r="P82" s="198"/>
      <c r="Q82" s="199"/>
      <c r="R82" s="196"/>
      <c r="S82" s="196"/>
      <c r="T82" s="196"/>
      <c r="U82" s="196"/>
      <c r="V82" s="196"/>
      <c r="W82" s="196"/>
      <c r="X82" s="208">
        <f>X76/X67</f>
        <v>0.19929966562301824</v>
      </c>
      <c r="Y82" s="208">
        <f t="shared" ref="Y82:AN82" si="16">Y76/Y67</f>
        <v>0.20347778240354561</v>
      </c>
      <c r="Z82" s="208">
        <f t="shared" si="16"/>
        <v>0.19916778016504422</v>
      </c>
      <c r="AA82" s="208">
        <f t="shared" si="16"/>
        <v>0.19801135623672725</v>
      </c>
      <c r="AB82" s="208">
        <f t="shared" si="16"/>
        <v>0.19346456277630053</v>
      </c>
      <c r="AC82" s="208">
        <f t="shared" si="16"/>
        <v>0.1882054583777498</v>
      </c>
      <c r="AD82" s="208">
        <f t="shared" si="16"/>
        <v>0.19057396737558843</v>
      </c>
      <c r="AE82" s="208">
        <f t="shared" si="16"/>
        <v>0.19030306931070518</v>
      </c>
      <c r="AF82" s="208">
        <f t="shared" si="16"/>
        <v>0.1876688686810255</v>
      </c>
      <c r="AG82" s="208">
        <f t="shared" si="16"/>
        <v>0.1868663428512628</v>
      </c>
      <c r="AH82" s="208">
        <f t="shared" si="16"/>
        <v>0.19012521515107203</v>
      </c>
      <c r="AI82" s="208">
        <f t="shared" si="16"/>
        <v>0.19168942228795074</v>
      </c>
      <c r="AJ82" s="208">
        <f t="shared" si="16"/>
        <v>0.18999146333063835</v>
      </c>
      <c r="AK82" s="208">
        <f t="shared" si="16"/>
        <v>0.19016460509817101</v>
      </c>
      <c r="AL82" s="208">
        <f t="shared" si="16"/>
        <v>0.1931188252145345</v>
      </c>
      <c r="AM82" s="208">
        <f t="shared" si="16"/>
        <v>0.19439034339959976</v>
      </c>
      <c r="AN82" s="208">
        <f t="shared" si="16"/>
        <v>0.19406931072476322</v>
      </c>
      <c r="AO82" s="208">
        <f>AO76/AO67</f>
        <v>0.19252714503160823</v>
      </c>
      <c r="AP82" s="208">
        <f t="shared" ref="AP82:AQ82" si="17">AP76/AP67</f>
        <v>0.19348789570533012</v>
      </c>
      <c r="AQ82" s="208">
        <f t="shared" si="17"/>
        <v>0.19029623609772969</v>
      </c>
    </row>
    <row r="83" spans="2:43" s="167" customFormat="1" ht="5.0999999999999996" customHeight="1" outlineLevel="1">
      <c r="B83" s="165"/>
      <c r="C83" s="165"/>
      <c r="D83" s="165"/>
      <c r="O83" s="197"/>
      <c r="P83" s="198"/>
      <c r="Q83" s="199"/>
      <c r="R83" s="196"/>
      <c r="S83" s="196"/>
      <c r="T83" s="196"/>
      <c r="U83" s="196"/>
      <c r="V83" s="196"/>
      <c r="W83" s="196"/>
      <c r="X83" s="166"/>
      <c r="Y83" s="166"/>
      <c r="Z83" s="166"/>
      <c r="AA83" s="166"/>
      <c r="AB83" s="166"/>
      <c r="AC83" s="166"/>
      <c r="AD83" s="166"/>
      <c r="AE83" s="166"/>
      <c r="AF83" s="166"/>
      <c r="AG83" s="166"/>
      <c r="AH83" s="166"/>
      <c r="AI83" s="166"/>
      <c r="AJ83" s="166"/>
      <c r="AK83" s="166"/>
      <c r="AL83" s="166"/>
      <c r="AM83" s="166"/>
      <c r="AN83" s="166"/>
      <c r="AO83" s="166"/>
      <c r="AP83" s="166"/>
      <c r="AQ83" s="166"/>
    </row>
    <row r="84" spans="2:43" s="167" customFormat="1" outlineLevel="1">
      <c r="B84" s="268" t="s">
        <v>45</v>
      </c>
      <c r="C84" s="165" t="s">
        <v>46</v>
      </c>
      <c r="D84" s="165"/>
      <c r="O84" s="197"/>
      <c r="P84" s="198"/>
      <c r="Q84" s="199"/>
      <c r="R84" s="196"/>
      <c r="S84" s="196"/>
      <c r="T84" s="196"/>
      <c r="U84" s="196"/>
      <c r="V84" s="196"/>
      <c r="W84" s="196"/>
      <c r="X84" s="208">
        <f>X76/X65</f>
        <v>0.22868076883786603</v>
      </c>
      <c r="Y84" s="208">
        <f t="shared" ref="Y84:AN84" si="18">Y76/Y65</f>
        <v>0.23355916029669713</v>
      </c>
      <c r="Z84" s="208">
        <f t="shared" si="18"/>
        <v>0.22875569631508372</v>
      </c>
      <c r="AA84" s="208">
        <f t="shared" si="18"/>
        <v>0.22771508251023054</v>
      </c>
      <c r="AB84" s="208">
        <f t="shared" si="18"/>
        <v>0.22349892200740393</v>
      </c>
      <c r="AC84" s="208">
        <f t="shared" si="18"/>
        <v>0.21802358839896172</v>
      </c>
      <c r="AD84" s="208">
        <f t="shared" si="18"/>
        <v>0.22075786842127357</v>
      </c>
      <c r="AE84" s="208">
        <f t="shared" si="18"/>
        <v>0.22198361014095105</v>
      </c>
      <c r="AF84" s="208">
        <f t="shared" si="18"/>
        <v>0.2206187843008573</v>
      </c>
      <c r="AG84" s="208">
        <f t="shared" si="18"/>
        <v>0.21944006696719029</v>
      </c>
      <c r="AH84" s="208">
        <f t="shared" si="18"/>
        <v>0.22262759560235484</v>
      </c>
      <c r="AI84" s="208">
        <f t="shared" si="18"/>
        <v>0.22439876603245576</v>
      </c>
      <c r="AJ84" s="208">
        <f t="shared" si="18"/>
        <v>0.22264953272210916</v>
      </c>
      <c r="AK84" s="208">
        <f t="shared" si="18"/>
        <v>0.22289053590347957</v>
      </c>
      <c r="AL84" s="208">
        <f t="shared" si="18"/>
        <v>0.22640913271696794</v>
      </c>
      <c r="AM84" s="208">
        <f t="shared" si="18"/>
        <v>0.22796818813805045</v>
      </c>
      <c r="AN84" s="208">
        <f t="shared" si="18"/>
        <v>0.22696711275021561</v>
      </c>
      <c r="AO84" s="208">
        <f>AO76/AO65</f>
        <v>0.22538345118965178</v>
      </c>
      <c r="AP84" s="208">
        <f t="shared" ref="AP84:AQ84" si="19">AP76/AP65</f>
        <v>0.22703222637975995</v>
      </c>
      <c r="AQ84" s="208">
        <f t="shared" si="19"/>
        <v>0.22767609732473632</v>
      </c>
    </row>
    <row r="85" spans="2:43" s="167" customFormat="1" ht="5.0999999999999996" customHeight="1" outlineLevel="1">
      <c r="B85" s="172"/>
      <c r="C85" s="172"/>
      <c r="D85" s="172"/>
      <c r="O85" s="197"/>
      <c r="P85" s="198"/>
      <c r="Q85" s="199"/>
      <c r="R85" s="196"/>
      <c r="S85" s="196"/>
      <c r="T85" s="196"/>
      <c r="U85" s="196"/>
      <c r="V85" s="196"/>
      <c r="W85" s="196"/>
      <c r="X85" s="200"/>
      <c r="Y85" s="200"/>
      <c r="Z85" s="200"/>
      <c r="AA85" s="200"/>
      <c r="AB85" s="200"/>
      <c r="AC85" s="200"/>
      <c r="AD85" s="200"/>
      <c r="AE85" s="200"/>
      <c r="AF85" s="200"/>
      <c r="AG85" s="200"/>
      <c r="AH85" s="200"/>
      <c r="AI85" s="200"/>
      <c r="AJ85" s="200"/>
      <c r="AK85" s="200"/>
      <c r="AL85" s="200"/>
      <c r="AM85" s="200"/>
      <c r="AN85" s="200"/>
      <c r="AO85" s="200"/>
      <c r="AP85" s="200"/>
      <c r="AQ85" s="200"/>
    </row>
    <row r="86" spans="2:43" s="167" customFormat="1" ht="6" customHeight="1" outlineLevel="1">
      <c r="B86" s="165"/>
      <c r="C86" s="165"/>
      <c r="D86" s="165"/>
      <c r="O86" s="197"/>
      <c r="P86" s="198"/>
      <c r="Q86" s="199"/>
      <c r="R86" s="196"/>
      <c r="S86" s="196"/>
      <c r="T86" s="196"/>
      <c r="U86" s="196"/>
      <c r="V86" s="196"/>
      <c r="W86" s="196"/>
      <c r="X86" s="75"/>
      <c r="Y86" s="75"/>
      <c r="Z86" s="75"/>
      <c r="AA86" s="75"/>
      <c r="AB86" s="75"/>
      <c r="AC86" s="75"/>
      <c r="AD86" s="75"/>
      <c r="AE86" s="75"/>
      <c r="AF86" s="75"/>
      <c r="AG86" s="210"/>
      <c r="AP86" s="545"/>
    </row>
    <row r="87" spans="2:43" s="167" customFormat="1" ht="30"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210"/>
    </row>
    <row r="88" spans="2:43" s="167" customFormat="1">
      <c r="B88" s="943"/>
      <c r="O88" s="197"/>
      <c r="P88" s="198"/>
      <c r="Q88" s="199"/>
      <c r="R88" s="196"/>
      <c r="S88" s="196"/>
      <c r="T88" s="196"/>
      <c r="U88" s="196"/>
      <c r="V88" s="196"/>
      <c r="W88" s="196"/>
      <c r="X88" s="196"/>
      <c r="Y88" s="196"/>
      <c r="Z88" s="196"/>
      <c r="AA88" s="196"/>
      <c r="AB88" s="196"/>
      <c r="AC88" s="196"/>
      <c r="AD88" s="196"/>
      <c r="AE88" s="196"/>
      <c r="AF88" s="196"/>
      <c r="AG88" s="210"/>
    </row>
    <row r="89" spans="2:43">
      <c r="R89" s="244"/>
      <c r="S89" s="244"/>
      <c r="T89" s="244"/>
      <c r="U89" s="244"/>
      <c r="V89" s="244"/>
      <c r="W89" s="244"/>
      <c r="X89" s="244"/>
      <c r="Y89" s="244"/>
      <c r="Z89" s="244"/>
      <c r="AA89" s="244"/>
      <c r="AB89" s="244"/>
      <c r="AC89" s="244"/>
      <c r="AD89" s="244"/>
      <c r="AE89" s="244"/>
      <c r="AF89" s="244"/>
      <c r="AG89" s="261"/>
    </row>
    <row r="90" spans="2:43" ht="12" customHeight="1">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261"/>
    </row>
    <row r="91" spans="2:43">
      <c r="B91" s="562"/>
      <c r="C91" s="562"/>
      <c r="D91" s="562"/>
      <c r="E91" s="562"/>
      <c r="F91" s="562"/>
      <c r="G91" s="562"/>
      <c r="H91" s="562"/>
      <c r="I91" s="562"/>
      <c r="J91" s="562"/>
      <c r="K91" s="562"/>
      <c r="L91" s="562"/>
      <c r="M91" s="562"/>
      <c r="N91" s="562"/>
      <c r="O91" s="561"/>
      <c r="P91" s="194"/>
      <c r="Q91" s="194"/>
      <c r="R91" s="195"/>
      <c r="S91" s="195"/>
      <c r="T91" s="195"/>
      <c r="U91" s="195"/>
      <c r="V91" s="195"/>
      <c r="W91" s="195"/>
      <c r="X91" s="195"/>
      <c r="Y91" s="195"/>
      <c r="Z91" s="195"/>
      <c r="AA91" s="195"/>
      <c r="AB91" s="195"/>
      <c r="AC91" s="195"/>
      <c r="AD91" s="195"/>
      <c r="AE91" s="195"/>
      <c r="AF91" s="195"/>
      <c r="AG91" s="261"/>
    </row>
    <row r="92" spans="2:43">
      <c r="B92" s="209"/>
      <c r="C92" s="209"/>
      <c r="D92" s="209"/>
      <c r="E92" s="209"/>
      <c r="F92" s="209"/>
      <c r="G92" s="209"/>
      <c r="H92" s="209"/>
      <c r="I92" s="209"/>
      <c r="J92" s="209"/>
      <c r="K92" s="209"/>
      <c r="L92" s="209"/>
      <c r="M92" s="209"/>
      <c r="N92" s="209"/>
      <c r="O92" s="210"/>
      <c r="P92" s="198"/>
      <c r="Q92" s="198"/>
      <c r="R92" s="75">
        <v>1995</v>
      </c>
      <c r="S92" s="75">
        <v>1996</v>
      </c>
      <c r="T92" s="75">
        <v>1997</v>
      </c>
      <c r="U92" s="75">
        <v>1998</v>
      </c>
      <c r="V92" s="75">
        <v>1999</v>
      </c>
      <c r="W92" s="75">
        <v>2000</v>
      </c>
      <c r="X92" s="202">
        <v>2001</v>
      </c>
      <c r="Y92" s="196"/>
      <c r="Z92" s="211">
        <v>2003</v>
      </c>
      <c r="AA92" s="196"/>
      <c r="AB92" s="211">
        <v>2005</v>
      </c>
      <c r="AC92" s="944"/>
      <c r="AD92" s="211">
        <v>2007</v>
      </c>
      <c r="AE92" s="196"/>
      <c r="AF92" s="211">
        <v>2009</v>
      </c>
      <c r="AG92" s="259">
        <v>2010</v>
      </c>
      <c r="AH92" s="259">
        <v>2011</v>
      </c>
      <c r="AI92" s="259">
        <v>2012</v>
      </c>
      <c r="AJ92" s="259">
        <v>2013</v>
      </c>
      <c r="AK92" s="259">
        <v>2014</v>
      </c>
      <c r="AL92" s="259">
        <v>2015</v>
      </c>
      <c r="AM92" s="259">
        <v>2016</v>
      </c>
      <c r="AN92" s="259">
        <v>2017</v>
      </c>
      <c r="AO92" s="259">
        <v>2018</v>
      </c>
      <c r="AP92" s="259">
        <v>2019</v>
      </c>
      <c r="AQ92" s="259">
        <v>2020</v>
      </c>
    </row>
    <row r="93" spans="2:43">
      <c r="R93" s="244"/>
      <c r="S93" s="244"/>
      <c r="T93" s="244"/>
      <c r="U93" s="244"/>
      <c r="V93" s="244"/>
      <c r="W93" s="244"/>
      <c r="X93" s="244"/>
      <c r="Y93" s="244"/>
      <c r="Z93" s="244"/>
      <c r="AA93" s="244"/>
      <c r="AB93" s="244"/>
      <c r="AC93" s="244"/>
      <c r="AD93" s="244"/>
      <c r="AE93" s="244"/>
      <c r="AF93" s="244"/>
      <c r="AG93" s="261"/>
    </row>
    <row r="94" spans="2:43">
      <c r="B94" s="217" t="s">
        <v>49</v>
      </c>
      <c r="R94" s="273">
        <f t="shared" ref="R94:W94" si="20">SUM(R102:R103)</f>
        <v>30.522575999999997</v>
      </c>
      <c r="S94" s="273">
        <f t="shared" si="20"/>
        <v>30.522575999999997</v>
      </c>
      <c r="T94" s="273">
        <f t="shared" si="20"/>
        <v>37.789856</v>
      </c>
      <c r="U94" s="273">
        <f t="shared" si="20"/>
        <v>37.789856</v>
      </c>
      <c r="V94" s="273">
        <f t="shared" si="20"/>
        <v>42</v>
      </c>
      <c r="W94" s="273">
        <f t="shared" si="20"/>
        <v>42</v>
      </c>
      <c r="X94" s="273">
        <f>SUM(X99:X105)</f>
        <v>55</v>
      </c>
      <c r="Y94" s="273"/>
      <c r="Z94" s="273">
        <f>SUM(Z99:Z105)</f>
        <v>95</v>
      </c>
      <c r="AA94" s="273"/>
      <c r="AB94" s="273">
        <f>SUM(AB99:AB105)</f>
        <v>165</v>
      </c>
      <c r="AC94" s="273"/>
      <c r="AD94" s="273">
        <f>SUM(AD99:AD105)</f>
        <v>175</v>
      </c>
      <c r="AE94" s="273"/>
      <c r="AF94" s="273">
        <f t="shared" ref="AF94:AK94" si="21">SUM(AF99:AF105)</f>
        <v>175</v>
      </c>
      <c r="AG94" s="273">
        <f t="shared" si="21"/>
        <v>175</v>
      </c>
      <c r="AH94" s="273">
        <f t="shared" si="21"/>
        <v>175</v>
      </c>
      <c r="AI94" s="273">
        <f t="shared" si="21"/>
        <v>180</v>
      </c>
      <c r="AJ94" s="273">
        <f t="shared" si="21"/>
        <v>180</v>
      </c>
      <c r="AK94" s="273">
        <f t="shared" si="21"/>
        <v>180</v>
      </c>
      <c r="AL94" s="945">
        <f>SUM(AL99:AL103)</f>
        <v>188</v>
      </c>
      <c r="AM94" s="945">
        <f>SUM(AM99:AM103)</f>
        <v>190</v>
      </c>
      <c r="AN94" s="945">
        <f>SUM(AN99:AN103)</f>
        <v>190</v>
      </c>
      <c r="AO94" s="945">
        <f>SUM(AO99:AO103)</f>
        <v>190</v>
      </c>
      <c r="AP94" s="945">
        <f>SUM(AP99:AP103)</f>
        <v>195</v>
      </c>
      <c r="AQ94" s="945">
        <f t="shared" ref="AQ94" si="22">SUM(AQ99:AQ103)</f>
        <v>205</v>
      </c>
    </row>
    <row r="95" spans="2:43">
      <c r="B95" s="217"/>
      <c r="R95" s="166"/>
      <c r="S95" s="166"/>
      <c r="T95" s="166"/>
      <c r="U95" s="166"/>
      <c r="V95" s="166"/>
      <c r="W95" s="166"/>
      <c r="X95" s="166"/>
      <c r="Y95" s="166"/>
      <c r="Z95" s="166"/>
      <c r="AA95" s="166"/>
      <c r="AB95" s="166"/>
      <c r="AC95" s="166"/>
      <c r="AD95" s="166"/>
      <c r="AE95" s="166"/>
      <c r="AF95" s="166"/>
      <c r="AG95" s="168"/>
      <c r="AH95" s="168"/>
      <c r="AI95" s="75"/>
      <c r="AJ95" s="75"/>
      <c r="AK95" s="75"/>
      <c r="AL95" s="946"/>
      <c r="AM95" s="946"/>
    </row>
    <row r="96" spans="2:43">
      <c r="B96" s="217"/>
      <c r="R96" s="166"/>
      <c r="S96" s="166"/>
      <c r="T96" s="166"/>
      <c r="U96" s="166"/>
      <c r="V96" s="166"/>
      <c r="W96" s="166"/>
      <c r="X96" s="166"/>
      <c r="Y96" s="166"/>
      <c r="Z96" s="166"/>
      <c r="AA96" s="166"/>
      <c r="AB96" s="166"/>
      <c r="AC96" s="166"/>
      <c r="AD96" s="166"/>
      <c r="AE96" s="166"/>
      <c r="AF96" s="166"/>
      <c r="AG96" s="168"/>
      <c r="AH96" s="168"/>
      <c r="AI96" s="75"/>
      <c r="AJ96" s="75"/>
      <c r="AK96" s="75"/>
      <c r="AL96" s="946"/>
      <c r="AM96" s="946"/>
    </row>
    <row r="97" spans="2:43">
      <c r="B97" s="217"/>
      <c r="R97" s="166"/>
      <c r="S97" s="166"/>
      <c r="T97" s="166"/>
      <c r="U97" s="166"/>
      <c r="V97" s="166"/>
      <c r="W97" s="166"/>
      <c r="X97" s="166"/>
      <c r="Y97" s="166"/>
      <c r="Z97" s="166"/>
      <c r="AA97" s="166"/>
      <c r="AB97" s="166"/>
      <c r="AC97" s="166"/>
      <c r="AD97" s="166"/>
      <c r="AE97" s="166"/>
      <c r="AF97" s="166"/>
      <c r="AG97" s="168"/>
      <c r="AH97" s="168"/>
      <c r="AI97" s="75"/>
      <c r="AJ97" s="75"/>
      <c r="AK97" s="75"/>
      <c r="AL97" s="946"/>
      <c r="AM97" s="946"/>
    </row>
    <row r="98" spans="2:43">
      <c r="B98" s="217"/>
      <c r="C98" s="206" t="s">
        <v>50</v>
      </c>
      <c r="R98" s="166"/>
      <c r="S98" s="166"/>
      <c r="T98" s="166"/>
      <c r="U98" s="166"/>
      <c r="V98" s="166"/>
      <c r="W98" s="166"/>
      <c r="X98" s="166"/>
      <c r="Y98" s="166"/>
      <c r="Z98" s="166"/>
      <c r="AA98" s="166"/>
      <c r="AB98" s="166"/>
      <c r="AC98" s="166"/>
      <c r="AD98" s="166"/>
      <c r="AE98" s="166"/>
      <c r="AF98" s="166"/>
      <c r="AG98" s="168"/>
      <c r="AH98" s="168"/>
      <c r="AI98" s="75"/>
      <c r="AJ98" s="75"/>
      <c r="AK98" s="75"/>
      <c r="AL98" s="946"/>
      <c r="AM98" s="946"/>
    </row>
    <row r="99" spans="2:43">
      <c r="C99" s="168" t="s">
        <v>245</v>
      </c>
      <c r="R99" s="166"/>
      <c r="S99" s="166"/>
      <c r="T99" s="166"/>
      <c r="U99" s="166"/>
      <c r="V99" s="166"/>
      <c r="W99" s="166"/>
      <c r="X99" s="166"/>
      <c r="Y99" s="166"/>
      <c r="Z99" s="166">
        <v>40</v>
      </c>
      <c r="AA99" s="166"/>
      <c r="AB99" s="166">
        <v>110</v>
      </c>
      <c r="AC99" s="166"/>
      <c r="AD99" s="166">
        <v>120</v>
      </c>
      <c r="AE99" s="166"/>
      <c r="AF99" s="947">
        <v>120</v>
      </c>
      <c r="AG99" s="166">
        <v>120</v>
      </c>
      <c r="AH99" s="166">
        <v>120</v>
      </c>
      <c r="AI99" s="75">
        <v>120</v>
      </c>
      <c r="AJ99" s="75">
        <v>120</v>
      </c>
      <c r="AK99" s="75">
        <v>120</v>
      </c>
      <c r="AL99" s="946">
        <v>120</v>
      </c>
      <c r="AM99" s="946">
        <v>120</v>
      </c>
      <c r="AN99" s="946">
        <v>120</v>
      </c>
      <c r="AO99" s="946">
        <v>110</v>
      </c>
      <c r="AP99" s="946">
        <v>110</v>
      </c>
      <c r="AQ99" s="946">
        <v>110</v>
      </c>
    </row>
    <row r="100" spans="2:43">
      <c r="C100" s="168"/>
      <c r="R100" s="166"/>
      <c r="S100" s="166"/>
      <c r="T100" s="166"/>
      <c r="U100" s="166"/>
      <c r="V100" s="166"/>
      <c r="W100" s="166"/>
      <c r="X100" s="166"/>
      <c r="Y100" s="166"/>
      <c r="Z100" s="166"/>
      <c r="AA100" s="166"/>
      <c r="AB100" s="166"/>
      <c r="AC100" s="166"/>
      <c r="AD100" s="166"/>
      <c r="AE100" s="166"/>
      <c r="AF100" s="947"/>
      <c r="AG100" s="168"/>
      <c r="AH100" s="168"/>
      <c r="AI100" s="75"/>
      <c r="AJ100" s="75"/>
      <c r="AK100" s="75"/>
      <c r="AL100" s="946"/>
      <c r="AM100" s="946"/>
    </row>
    <row r="101" spans="2:43">
      <c r="C101" s="948" t="s">
        <v>56</v>
      </c>
      <c r="R101" s="166"/>
      <c r="S101" s="166"/>
      <c r="T101" s="166"/>
      <c r="U101" s="166"/>
      <c r="V101" s="166"/>
      <c r="W101" s="166"/>
      <c r="X101" s="166"/>
      <c r="Y101" s="166"/>
      <c r="Z101" s="166"/>
      <c r="AA101" s="166"/>
      <c r="AB101" s="166"/>
      <c r="AC101" s="166"/>
      <c r="AD101" s="166"/>
      <c r="AE101" s="166"/>
      <c r="AF101" s="947"/>
      <c r="AG101" s="168"/>
      <c r="AH101" s="168"/>
      <c r="AI101" s="75"/>
      <c r="AJ101" s="75"/>
      <c r="AK101" s="75"/>
      <c r="AL101" s="946"/>
      <c r="AM101" s="946"/>
    </row>
    <row r="102" spans="2:43">
      <c r="C102" s="165" t="s">
        <v>246</v>
      </c>
      <c r="R102" s="166">
        <v>1.4534559999999999</v>
      </c>
      <c r="S102" s="166">
        <v>1.4534559999999999</v>
      </c>
      <c r="T102" s="166">
        <v>1.4534559999999999</v>
      </c>
      <c r="U102" s="166">
        <v>1.4534559999999999</v>
      </c>
      <c r="V102" s="166">
        <v>2</v>
      </c>
      <c r="W102" s="166">
        <v>2</v>
      </c>
      <c r="X102" s="166">
        <v>15</v>
      </c>
      <c r="Y102" s="166"/>
      <c r="Z102" s="166">
        <v>15</v>
      </c>
      <c r="AA102" s="166"/>
      <c r="AB102" s="166">
        <v>15</v>
      </c>
      <c r="AC102" s="166"/>
      <c r="AD102" s="166">
        <v>15</v>
      </c>
      <c r="AE102" s="166"/>
      <c r="AF102" s="166">
        <v>15</v>
      </c>
      <c r="AG102" s="166">
        <v>15</v>
      </c>
      <c r="AH102" s="166">
        <v>15</v>
      </c>
      <c r="AI102" s="75">
        <v>15</v>
      </c>
      <c r="AJ102" s="75">
        <v>15</v>
      </c>
      <c r="AK102" s="75">
        <v>15</v>
      </c>
      <c r="AL102" s="946">
        <v>18</v>
      </c>
      <c r="AM102" s="946">
        <v>20</v>
      </c>
      <c r="AN102" s="165">
        <v>20</v>
      </c>
      <c r="AO102" s="165">
        <v>30</v>
      </c>
      <c r="AP102" s="165">
        <v>35</v>
      </c>
      <c r="AQ102" s="165">
        <v>45</v>
      </c>
    </row>
    <row r="103" spans="2:43">
      <c r="C103" s="168" t="s">
        <v>247</v>
      </c>
      <c r="R103" s="166">
        <v>29.069119999999998</v>
      </c>
      <c r="S103" s="166">
        <v>29.069119999999998</v>
      </c>
      <c r="T103" s="166">
        <v>36.336399999999998</v>
      </c>
      <c r="U103" s="166">
        <v>36.336399999999998</v>
      </c>
      <c r="V103" s="166">
        <v>40</v>
      </c>
      <c r="W103" s="166">
        <v>40</v>
      </c>
      <c r="X103" s="166">
        <v>40</v>
      </c>
      <c r="Y103" s="166"/>
      <c r="Z103" s="166">
        <v>40</v>
      </c>
      <c r="AA103" s="166"/>
      <c r="AB103" s="166">
        <v>40</v>
      </c>
      <c r="AC103" s="166"/>
      <c r="AD103" s="166">
        <v>40</v>
      </c>
      <c r="AE103" s="166"/>
      <c r="AF103" s="947">
        <v>40</v>
      </c>
      <c r="AG103" s="947">
        <v>40</v>
      </c>
      <c r="AH103" s="947">
        <v>40</v>
      </c>
      <c r="AI103" s="75">
        <v>45</v>
      </c>
      <c r="AJ103" s="75">
        <v>45</v>
      </c>
      <c r="AK103" s="75">
        <v>45</v>
      </c>
      <c r="AL103" s="946">
        <v>50</v>
      </c>
      <c r="AM103" s="946">
        <v>50</v>
      </c>
      <c r="AN103" s="946">
        <v>50</v>
      </c>
      <c r="AO103" s="946">
        <v>50</v>
      </c>
      <c r="AP103" s="946">
        <v>50</v>
      </c>
      <c r="AQ103" s="946">
        <v>50</v>
      </c>
    </row>
    <row r="104" spans="2:43">
      <c r="R104" s="166"/>
      <c r="S104" s="166"/>
      <c r="T104" s="166"/>
      <c r="U104" s="166"/>
      <c r="V104" s="166"/>
      <c r="W104" s="166"/>
      <c r="X104" s="166"/>
      <c r="Y104" s="166"/>
      <c r="Z104" s="166"/>
      <c r="AA104" s="166"/>
      <c r="AB104" s="166"/>
      <c r="AC104" s="166"/>
      <c r="AD104" s="166"/>
      <c r="AE104" s="166"/>
      <c r="AF104" s="947"/>
      <c r="AG104" s="168"/>
      <c r="AH104" s="168"/>
      <c r="AI104" s="75"/>
      <c r="AJ104" s="75"/>
      <c r="AK104" s="75"/>
      <c r="AL104" s="946"/>
      <c r="AM104" s="946"/>
    </row>
    <row r="105" spans="2:43">
      <c r="R105" s="166"/>
      <c r="S105" s="166"/>
      <c r="T105" s="166"/>
      <c r="U105" s="166"/>
      <c r="V105" s="166"/>
      <c r="W105" s="166"/>
      <c r="X105" s="166"/>
      <c r="Y105" s="168"/>
      <c r="Z105" s="168"/>
      <c r="AA105" s="168"/>
      <c r="AB105" s="168"/>
      <c r="AC105" s="168"/>
      <c r="AD105" s="168"/>
      <c r="AE105" s="168"/>
      <c r="AF105" s="168"/>
      <c r="AG105" s="168"/>
      <c r="AH105" s="168"/>
      <c r="AI105" s="75"/>
      <c r="AJ105" s="75"/>
      <c r="AK105" s="75"/>
      <c r="AL105" s="946"/>
      <c r="AM105" s="946"/>
    </row>
    <row r="106" spans="2:43">
      <c r="B106" s="217" t="s">
        <v>248</v>
      </c>
      <c r="C106" s="217"/>
      <c r="R106" s="273">
        <f t="shared" ref="R106:W106" si="23">R108</f>
        <v>32.702760000000005</v>
      </c>
      <c r="S106" s="273">
        <f t="shared" si="23"/>
        <v>14.534559999999999</v>
      </c>
      <c r="T106" s="273">
        <f t="shared" si="23"/>
        <v>14.534559999999999</v>
      </c>
      <c r="U106" s="273">
        <f t="shared" si="23"/>
        <v>14.534559999999999</v>
      </c>
      <c r="V106" s="273">
        <f t="shared" si="23"/>
        <v>20</v>
      </c>
      <c r="W106" s="273">
        <f t="shared" si="23"/>
        <v>20</v>
      </c>
      <c r="X106" s="273"/>
      <c r="Y106" s="273"/>
      <c r="Z106" s="273"/>
      <c r="AA106" s="273"/>
      <c r="AB106" s="273"/>
      <c r="AC106" s="273"/>
      <c r="AD106" s="273"/>
      <c r="AE106" s="273"/>
      <c r="AF106" s="273"/>
      <c r="AG106" s="273">
        <f>SUM(AG108:AG109)</f>
        <v>270</v>
      </c>
      <c r="AH106" s="273">
        <f>SUM(AH108:AH109)</f>
        <v>280</v>
      </c>
      <c r="AI106" s="273" t="str">
        <f>AI108</f>
        <v>n/a</v>
      </c>
      <c r="AJ106" s="273" t="str">
        <f>AJ108</f>
        <v>n/a</v>
      </c>
      <c r="AK106" s="273" t="str">
        <f>AK108</f>
        <v>n/a</v>
      </c>
      <c r="AL106" s="949" t="str">
        <f>AL108</f>
        <v>n/a</v>
      </c>
      <c r="AM106" s="949">
        <v>0</v>
      </c>
      <c r="AN106" s="949">
        <v>0</v>
      </c>
      <c r="AO106" s="949">
        <v>0</v>
      </c>
      <c r="AP106" s="949">
        <v>0</v>
      </c>
      <c r="AQ106" s="949">
        <v>0</v>
      </c>
    </row>
    <row r="107" spans="2:43">
      <c r="B107" s="217"/>
      <c r="C107" s="168"/>
      <c r="R107" s="166"/>
      <c r="S107" s="166"/>
      <c r="T107" s="166"/>
      <c r="U107" s="166"/>
      <c r="V107" s="166"/>
      <c r="W107" s="166"/>
      <c r="X107" s="166"/>
      <c r="Y107" s="166"/>
      <c r="Z107" s="166"/>
      <c r="AA107" s="166"/>
      <c r="AB107" s="166"/>
      <c r="AC107" s="166"/>
      <c r="AD107" s="166"/>
      <c r="AE107" s="166"/>
      <c r="AF107" s="166"/>
      <c r="AG107" s="168"/>
      <c r="AH107" s="950"/>
      <c r="AI107" s="75"/>
      <c r="AJ107" s="75"/>
      <c r="AK107" s="75"/>
      <c r="AL107" s="946"/>
      <c r="AM107" s="946"/>
    </row>
    <row r="108" spans="2:43">
      <c r="B108" s="951"/>
      <c r="C108" s="168" t="s">
        <v>249</v>
      </c>
      <c r="R108" s="166">
        <v>32.702760000000005</v>
      </c>
      <c r="S108" s="166">
        <v>14.534559999999999</v>
      </c>
      <c r="T108" s="166">
        <v>14.534559999999999</v>
      </c>
      <c r="U108" s="166">
        <v>14.534559999999999</v>
      </c>
      <c r="V108" s="166">
        <v>20</v>
      </c>
      <c r="W108" s="166">
        <v>20</v>
      </c>
      <c r="X108" s="166"/>
      <c r="Y108" s="166"/>
      <c r="Z108" s="166"/>
      <c r="AA108" s="166"/>
      <c r="AB108" s="166"/>
      <c r="AC108" s="166"/>
      <c r="AD108" s="166"/>
      <c r="AE108" s="166"/>
      <c r="AF108" s="952"/>
      <c r="AG108" s="947">
        <v>270</v>
      </c>
      <c r="AH108" s="947">
        <v>280</v>
      </c>
      <c r="AI108" s="75" t="s">
        <v>250</v>
      </c>
      <c r="AJ108" s="75" t="s">
        <v>250</v>
      </c>
      <c r="AK108" s="75" t="s">
        <v>250</v>
      </c>
      <c r="AL108" s="946" t="s">
        <v>250</v>
      </c>
      <c r="AM108" s="946">
        <v>0</v>
      </c>
      <c r="AN108" s="946">
        <v>0</v>
      </c>
      <c r="AO108" s="946">
        <v>0</v>
      </c>
      <c r="AP108" s="946">
        <v>0</v>
      </c>
      <c r="AQ108" s="946">
        <v>0</v>
      </c>
    </row>
    <row r="109" spans="2:43">
      <c r="B109" s="951"/>
      <c r="C109" s="168"/>
      <c r="R109" s="166"/>
      <c r="S109" s="166"/>
      <c r="T109" s="166"/>
      <c r="U109" s="166"/>
      <c r="V109" s="166"/>
      <c r="W109" s="166"/>
      <c r="X109" s="166"/>
      <c r="Y109" s="166"/>
      <c r="Z109" s="166"/>
      <c r="AA109" s="166"/>
      <c r="AB109" s="166"/>
      <c r="AC109" s="166"/>
      <c r="AD109" s="166"/>
      <c r="AE109" s="166"/>
      <c r="AF109" s="952"/>
      <c r="AG109" s="947"/>
      <c r="AH109" s="947"/>
      <c r="AI109" s="75"/>
      <c r="AJ109" s="254"/>
      <c r="AK109" s="254"/>
      <c r="AL109" s="946"/>
      <c r="AM109" s="946"/>
    </row>
    <row r="110" spans="2:43" ht="13.5">
      <c r="B110" s="925" t="s">
        <v>90</v>
      </c>
      <c r="C110" s="311"/>
      <c r="R110" s="166"/>
      <c r="S110" s="166"/>
      <c r="T110" s="166"/>
      <c r="U110" s="166"/>
      <c r="V110" s="166"/>
      <c r="W110" s="166"/>
      <c r="X110" s="166"/>
      <c r="Y110" s="166"/>
      <c r="Z110" s="166"/>
      <c r="AA110" s="166"/>
      <c r="AB110" s="166"/>
      <c r="AC110" s="166"/>
      <c r="AD110" s="166"/>
      <c r="AE110" s="166"/>
      <c r="AF110" s="166"/>
      <c r="AG110" s="947"/>
      <c r="AH110" s="947"/>
      <c r="AI110" s="75"/>
      <c r="AJ110" s="75"/>
      <c r="AK110" s="75"/>
      <c r="AL110" s="946"/>
      <c r="AM110" s="946"/>
    </row>
    <row r="111" spans="2:43" ht="15">
      <c r="B111" s="217" t="s">
        <v>91</v>
      </c>
      <c r="C111" s="217"/>
      <c r="D111" s="826"/>
      <c r="E111" s="826"/>
      <c r="F111" s="826"/>
      <c r="G111" s="826"/>
      <c r="H111" s="826"/>
      <c r="I111" s="826"/>
      <c r="J111" s="826"/>
      <c r="K111" s="826"/>
      <c r="L111" s="826"/>
      <c r="M111" s="826"/>
      <c r="N111" s="826"/>
      <c r="O111" s="826"/>
      <c r="P111" s="826"/>
      <c r="Q111" s="826"/>
      <c r="R111" s="953"/>
      <c r="S111" s="953"/>
      <c r="T111" s="953"/>
      <c r="U111" s="953"/>
      <c r="V111" s="953"/>
      <c r="W111" s="953"/>
      <c r="X111" s="273">
        <f>SUM(X113:X114)</f>
        <v>130</v>
      </c>
      <c r="Y111" s="953"/>
      <c r="Z111" s="273">
        <f>SUM(Z113:Z114)</f>
        <v>130</v>
      </c>
      <c r="AA111" s="953"/>
      <c r="AB111" s="273">
        <f>SUM(AB113:AB114)</f>
        <v>180.4</v>
      </c>
      <c r="AC111" s="273"/>
      <c r="AD111" s="273">
        <f>SUM(AD113:AD114)</f>
        <v>205.4</v>
      </c>
      <c r="AE111" s="953"/>
      <c r="AF111" s="273">
        <f t="shared" ref="AF111:AN111" si="24">SUM(AF113:AF114)</f>
        <v>229.7</v>
      </c>
      <c r="AG111" s="273">
        <f t="shared" si="24"/>
        <v>82.8</v>
      </c>
      <c r="AH111" s="273">
        <f t="shared" si="24"/>
        <v>83.9</v>
      </c>
      <c r="AI111" s="273">
        <f t="shared" si="24"/>
        <v>83</v>
      </c>
      <c r="AJ111" s="273">
        <f t="shared" si="24"/>
        <v>36</v>
      </c>
      <c r="AK111" s="273">
        <f t="shared" si="24"/>
        <v>21</v>
      </c>
      <c r="AL111" s="945">
        <f t="shared" si="24"/>
        <v>2</v>
      </c>
      <c r="AM111" s="945">
        <f t="shared" si="24"/>
        <v>4</v>
      </c>
      <c r="AN111" s="945">
        <f t="shared" si="24"/>
        <v>3</v>
      </c>
      <c r="AO111" s="945">
        <f>SUM(AO113:AO114)</f>
        <v>5</v>
      </c>
      <c r="AP111" s="945">
        <f t="shared" ref="AP111:AQ111" si="25">SUM(AP113:AP114)</f>
        <v>7</v>
      </c>
      <c r="AQ111" s="945">
        <f t="shared" si="25"/>
        <v>8</v>
      </c>
    </row>
    <row r="112" spans="2:43" ht="15">
      <c r="B112" s="217"/>
      <c r="C112" s="217"/>
      <c r="D112" s="826"/>
      <c r="E112" s="826"/>
      <c r="F112" s="826"/>
      <c r="G112" s="826"/>
      <c r="H112" s="826"/>
      <c r="I112" s="826"/>
      <c r="J112" s="826"/>
      <c r="K112" s="826"/>
      <c r="L112" s="826"/>
      <c r="M112" s="826"/>
      <c r="N112" s="826"/>
      <c r="O112" s="826"/>
      <c r="P112" s="826"/>
      <c r="Q112" s="826"/>
      <c r="R112" s="953"/>
      <c r="S112" s="953"/>
      <c r="T112" s="953"/>
      <c r="U112" s="953"/>
      <c r="V112" s="953"/>
      <c r="W112" s="953"/>
      <c r="X112" s="953"/>
      <c r="Y112" s="953"/>
      <c r="Z112" s="954"/>
      <c r="AA112" s="953"/>
      <c r="AB112" s="954"/>
      <c r="AC112" s="954"/>
      <c r="AD112" s="954"/>
      <c r="AE112" s="953"/>
      <c r="AF112" s="954"/>
      <c r="AG112" s="947"/>
      <c r="AH112" s="947"/>
      <c r="AI112" s="75"/>
      <c r="AJ112" s="75"/>
      <c r="AK112" s="75"/>
      <c r="AL112" s="946"/>
      <c r="AM112" s="946"/>
    </row>
    <row r="113" spans="2:43" ht="15">
      <c r="B113" s="217"/>
      <c r="C113" s="311" t="s">
        <v>251</v>
      </c>
      <c r="D113" s="955"/>
      <c r="E113" s="826"/>
      <c r="F113" s="826"/>
      <c r="G113" s="826"/>
      <c r="H113" s="826"/>
      <c r="I113" s="826"/>
      <c r="J113" s="826"/>
      <c r="K113" s="826"/>
      <c r="L113" s="826"/>
      <c r="M113" s="826"/>
      <c r="N113" s="826"/>
      <c r="O113" s="826"/>
      <c r="P113" s="826"/>
      <c r="Q113" s="826"/>
      <c r="R113" s="166">
        <v>327.02760000000001</v>
      </c>
      <c r="S113" s="166">
        <v>145.34559999999999</v>
      </c>
      <c r="T113" s="166">
        <v>145.34559999999999</v>
      </c>
      <c r="U113" s="166">
        <v>145.34559999999999</v>
      </c>
      <c r="V113" s="953"/>
      <c r="W113" s="953"/>
      <c r="X113" s="166">
        <v>130</v>
      </c>
      <c r="Y113" s="166"/>
      <c r="Z113" s="166">
        <v>130</v>
      </c>
      <c r="AA113" s="166"/>
      <c r="AB113" s="166">
        <v>150</v>
      </c>
      <c r="AC113" s="166"/>
      <c r="AD113" s="166">
        <v>150</v>
      </c>
      <c r="AE113" s="166"/>
      <c r="AF113" s="952">
        <v>150</v>
      </c>
      <c r="AG113" s="956"/>
      <c r="AH113" s="168"/>
      <c r="AI113" s="75"/>
      <c r="AJ113" s="75"/>
      <c r="AK113" s="75"/>
      <c r="AL113" s="946"/>
      <c r="AM113" s="946"/>
    </row>
    <row r="114" spans="2:43" ht="15">
      <c r="B114" s="957"/>
      <c r="C114" s="904" t="s">
        <v>252</v>
      </c>
      <c r="D114" s="958"/>
      <c r="E114" s="959"/>
      <c r="F114" s="959"/>
      <c r="G114" s="959"/>
      <c r="H114" s="959"/>
      <c r="I114" s="959"/>
      <c r="J114" s="959"/>
      <c r="K114" s="959"/>
      <c r="L114" s="959"/>
      <c r="M114" s="959"/>
      <c r="N114" s="959"/>
      <c r="O114" s="959"/>
      <c r="P114" s="959"/>
      <c r="Q114" s="959"/>
      <c r="R114" s="960"/>
      <c r="S114" s="960"/>
      <c r="T114" s="960"/>
      <c r="U114" s="960"/>
      <c r="V114" s="960"/>
      <c r="W114" s="960"/>
      <c r="X114" s="256"/>
      <c r="Y114" s="256"/>
      <c r="Z114" s="256"/>
      <c r="AA114" s="256"/>
      <c r="AB114" s="961">
        <v>30.4</v>
      </c>
      <c r="AC114" s="961"/>
      <c r="AD114" s="961">
        <v>55.4</v>
      </c>
      <c r="AE114" s="256"/>
      <c r="AF114" s="961">
        <v>79.7</v>
      </c>
      <c r="AG114" s="961">
        <v>82.8</v>
      </c>
      <c r="AH114" s="961">
        <v>83.9</v>
      </c>
      <c r="AI114" s="200">
        <v>83</v>
      </c>
      <c r="AJ114" s="200">
        <v>36</v>
      </c>
      <c r="AK114" s="200">
        <v>21</v>
      </c>
      <c r="AL114" s="962">
        <v>2</v>
      </c>
      <c r="AM114" s="962">
        <v>4</v>
      </c>
      <c r="AN114" s="962">
        <v>3</v>
      </c>
      <c r="AO114" s="962">
        <v>5</v>
      </c>
      <c r="AP114" s="962">
        <v>7</v>
      </c>
      <c r="AQ114" s="962">
        <v>8</v>
      </c>
    </row>
    <row r="115" spans="2:43">
      <c r="AL115" s="946"/>
      <c r="AM115" s="946"/>
    </row>
    <row r="116" spans="2:43">
      <c r="B116" s="165" t="s">
        <v>253</v>
      </c>
    </row>
    <row r="121" spans="2:43">
      <c r="B121" s="311"/>
    </row>
    <row r="125" spans="2:43">
      <c r="B125" s="951"/>
      <c r="C125" s="963"/>
      <c r="R125" s="964"/>
      <c r="S125" s="964"/>
      <c r="T125" s="964"/>
      <c r="U125" s="964"/>
      <c r="V125" s="964"/>
      <c r="W125" s="964"/>
      <c r="X125" s="964"/>
      <c r="Y125" s="964"/>
      <c r="Z125" s="964"/>
      <c r="AA125" s="964"/>
      <c r="AB125" s="964"/>
      <c r="AC125" s="964"/>
      <c r="AD125" s="964"/>
      <c r="AE125" s="964"/>
      <c r="AF125" s="964"/>
      <c r="AG125" s="965"/>
    </row>
    <row r="126" spans="2:43">
      <c r="B126" s="583"/>
      <c r="C126" s="168"/>
      <c r="R126" s="964"/>
      <c r="S126" s="964"/>
      <c r="T126" s="964"/>
      <c r="U126" s="964"/>
      <c r="V126" s="964"/>
      <c r="W126" s="964"/>
      <c r="X126" s="964"/>
      <c r="Y126" s="964"/>
      <c r="Z126" s="964"/>
      <c r="AA126" s="964"/>
      <c r="AB126" s="964"/>
      <c r="AC126" s="964"/>
      <c r="AD126" s="964"/>
      <c r="AE126" s="964"/>
      <c r="AF126" s="964"/>
      <c r="AG126" s="965"/>
    </row>
    <row r="127" spans="2:43">
      <c r="B127" s="951"/>
      <c r="C127" s="963"/>
      <c r="R127" s="964"/>
      <c r="S127" s="964"/>
      <c r="T127" s="964"/>
      <c r="U127" s="964"/>
      <c r="V127" s="964"/>
      <c r="W127" s="964"/>
      <c r="X127" s="964"/>
      <c r="Y127" s="964"/>
      <c r="Z127" s="964"/>
      <c r="AA127" s="964"/>
      <c r="AB127" s="964"/>
      <c r="AC127" s="964"/>
      <c r="AD127" s="964"/>
      <c r="AE127" s="964"/>
      <c r="AF127" s="964"/>
      <c r="AG127" s="965"/>
    </row>
    <row r="135" spans="2:33">
      <c r="C135" s="168"/>
      <c r="R135" s="244"/>
      <c r="S135" s="244"/>
      <c r="T135" s="244"/>
      <c r="U135" s="244"/>
      <c r="V135" s="244"/>
      <c r="W135" s="244"/>
      <c r="X135" s="244"/>
      <c r="Y135" s="244"/>
      <c r="Z135" s="244"/>
      <c r="AA135" s="244"/>
      <c r="AB135" s="244"/>
      <c r="AC135" s="244"/>
      <c r="AD135" s="244"/>
      <c r="AE135" s="244"/>
      <c r="AF135" s="244"/>
      <c r="AG135" s="261"/>
    </row>
    <row r="136" spans="2:33">
      <c r="C136" s="168"/>
      <c r="R136" s="244"/>
      <c r="S136" s="244"/>
      <c r="T136" s="244"/>
      <c r="U136" s="244"/>
      <c r="V136" s="244"/>
      <c r="W136" s="244"/>
      <c r="X136" s="244"/>
      <c r="Y136" s="244"/>
      <c r="Z136" s="244"/>
      <c r="AA136" s="244"/>
      <c r="AB136" s="244"/>
      <c r="AC136" s="244"/>
      <c r="AD136" s="244"/>
      <c r="AE136" s="244"/>
      <c r="AF136" s="244"/>
      <c r="AG136" s="261"/>
    </row>
    <row r="141" spans="2:33">
      <c r="B141" s="825"/>
    </row>
  </sheetData>
  <mergeCells count="5">
    <mergeCell ref="B48:Z48"/>
    <mergeCell ref="B49:Z49"/>
    <mergeCell ref="B55:Z55"/>
    <mergeCell ref="B87:AF87"/>
    <mergeCell ref="B15:AQ15"/>
  </mergeCells>
  <pageMargins left="0.70866141732283472" right="0.70866141732283472" top="0.74803149606299213" bottom="0.74803149606299213" header="0.31496062992125984" footer="0.31496062992125984"/>
  <pageSetup paperSize="9" scale="49"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N638"/>
  <sheetViews>
    <sheetView topLeftCell="B15" workbookViewId="0">
      <selection activeCell="B15" sqref="B15:AQ128"/>
    </sheetView>
  </sheetViews>
  <sheetFormatPr defaultColWidth="8.88671875" defaultRowHeight="12.75" outlineLevelRow="1"/>
  <cols>
    <col min="1" max="1" width="5.5546875" style="404" hidden="1" customWidth="1"/>
    <col min="2" max="2" width="3.88671875" style="336" customWidth="1"/>
    <col min="3" max="3" width="3.21875" style="336" customWidth="1"/>
    <col min="4" max="4" width="25.109375" style="335" customWidth="1"/>
    <col min="5" max="15" width="1.77734375" style="336" hidden="1" customWidth="1"/>
    <col min="16" max="16" width="3.6640625" style="336" hidden="1" customWidth="1"/>
    <col min="17" max="17" width="3.5546875" style="336" hidden="1" customWidth="1"/>
    <col min="18" max="18" width="4.44140625" style="336" hidden="1" customWidth="1"/>
    <col min="19" max="19" width="7.21875" style="336" hidden="1" customWidth="1"/>
    <col min="20" max="20" width="5.33203125" style="336" hidden="1" customWidth="1"/>
    <col min="21" max="21" width="9.21875" style="336" hidden="1" customWidth="1"/>
    <col min="22" max="22" width="5.88671875" style="337" hidden="1" customWidth="1"/>
    <col min="23" max="23" width="0.88671875" style="337" hidden="1" customWidth="1"/>
    <col min="24" max="24" width="7.5546875" style="365" bestFit="1" customWidth="1"/>
    <col min="25" max="25" width="3.77734375" style="365" hidden="1" customWidth="1"/>
    <col min="26" max="26" width="8.44140625" style="365" customWidth="1"/>
    <col min="27" max="27" width="3.77734375" style="365" hidden="1" customWidth="1"/>
    <col min="28" max="28" width="8.109375" style="365" customWidth="1"/>
    <col min="29" max="29" width="2.109375" style="365" hidden="1" customWidth="1"/>
    <col min="30" max="30" width="8.6640625" style="365" customWidth="1"/>
    <col min="31" max="31" width="5.21875" style="365" hidden="1" customWidth="1"/>
    <col min="32" max="32" width="6.5546875" style="365" customWidth="1"/>
    <col min="33" max="33" width="6.5546875" style="336" hidden="1" customWidth="1"/>
    <col min="34" max="34" width="6.5546875" style="336" customWidth="1"/>
    <col min="35" max="35" width="2.77734375" style="336" hidden="1" customWidth="1"/>
    <col min="36" max="43" width="6.21875" style="336" customWidth="1"/>
    <col min="44" max="48" width="7.77734375" style="336" hidden="1" customWidth="1"/>
    <col min="49" max="49" width="7.77734375" style="336" customWidth="1"/>
    <col min="50" max="51" width="0" style="336" hidden="1" customWidth="1"/>
    <col min="52" max="54" width="8.88671875" style="336"/>
    <col min="55" max="55" width="7.77734375" style="336" customWidth="1"/>
    <col min="56" max="57" width="7.77734375" style="337" customWidth="1"/>
    <col min="58" max="59" width="8.88671875" style="336"/>
    <col min="60" max="61" width="8.88671875" style="337"/>
    <col min="62" max="63" width="8.88671875" style="336"/>
    <col min="64" max="65" width="8.88671875" style="346"/>
    <col min="66" max="16384" width="8.88671875" style="336"/>
  </cols>
  <sheetData>
    <row r="1" spans="1:65" s="319" customFormat="1" ht="12" hidden="1" customHeight="1" outlineLevel="1">
      <c r="A1" s="315"/>
      <c r="B1" s="316" t="s">
        <v>1411</v>
      </c>
      <c r="C1" s="317"/>
      <c r="D1" s="318"/>
      <c r="V1" s="320"/>
      <c r="W1" s="320"/>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2"/>
      <c r="AW1" s="322"/>
      <c r="BC1" s="321"/>
      <c r="BD1" s="323"/>
      <c r="BE1" s="323"/>
      <c r="BG1" s="324"/>
      <c r="BH1" s="325"/>
      <c r="BI1" s="325"/>
      <c r="BK1" s="324"/>
      <c r="BL1" s="326"/>
      <c r="BM1" s="326"/>
    </row>
    <row r="2" spans="1:65" s="319" customFormat="1" ht="12" hidden="1" customHeight="1" outlineLevel="1">
      <c r="A2" s="327"/>
      <c r="C2" s="317"/>
      <c r="D2" s="318"/>
      <c r="V2" s="328"/>
      <c r="W2" s="328"/>
      <c r="X2" s="329"/>
      <c r="Y2" s="329"/>
      <c r="Z2" s="329"/>
      <c r="AA2" s="329"/>
      <c r="AB2" s="329"/>
      <c r="AC2" s="329"/>
      <c r="AD2" s="329"/>
      <c r="AE2" s="329"/>
      <c r="AF2" s="329"/>
      <c r="AG2" s="330"/>
      <c r="AH2" s="330"/>
      <c r="AI2" s="330"/>
      <c r="AJ2" s="330"/>
      <c r="AK2" s="330"/>
      <c r="AL2" s="330"/>
      <c r="AM2" s="330"/>
      <c r="AN2" s="330"/>
      <c r="AO2" s="330"/>
      <c r="AP2" s="330"/>
      <c r="AQ2" s="330"/>
      <c r="AR2" s="330"/>
      <c r="AS2" s="330"/>
      <c r="AT2" s="330"/>
      <c r="AU2" s="330"/>
      <c r="AV2" s="330"/>
      <c r="AW2" s="330"/>
      <c r="BC2" s="330"/>
      <c r="BD2" s="323"/>
      <c r="BE2" s="323"/>
      <c r="BG2" s="331"/>
      <c r="BH2" s="323"/>
      <c r="BI2" s="323"/>
      <c r="BK2" s="332"/>
      <c r="BL2" s="323"/>
      <c r="BM2" s="323"/>
    </row>
    <row r="3" spans="1:65" ht="12" hidden="1" customHeight="1" outlineLevel="1">
      <c r="A3" s="333"/>
      <c r="B3" s="334"/>
      <c r="C3" s="334"/>
      <c r="X3" s="338"/>
      <c r="Y3" s="338"/>
      <c r="Z3" s="338"/>
      <c r="AA3" s="338"/>
      <c r="AB3" s="338"/>
      <c r="AC3" s="338"/>
      <c r="AD3" s="338"/>
      <c r="AE3" s="338"/>
      <c r="AF3" s="338"/>
      <c r="AG3" s="339"/>
      <c r="AH3" s="339"/>
      <c r="AI3" s="339"/>
      <c r="AJ3" s="339"/>
      <c r="AK3" s="339"/>
      <c r="AL3" s="339"/>
      <c r="AM3" s="339"/>
      <c r="AN3" s="339"/>
      <c r="AO3" s="339"/>
      <c r="AP3" s="339"/>
      <c r="AQ3" s="339"/>
      <c r="AR3" s="339"/>
      <c r="AS3" s="339"/>
      <c r="AT3" s="339"/>
      <c r="AU3" s="339"/>
      <c r="AV3" s="339"/>
      <c r="AW3" s="339"/>
      <c r="BC3" s="339"/>
      <c r="BD3" s="340"/>
      <c r="BE3" s="340"/>
      <c r="BG3" s="341"/>
      <c r="BH3" s="340"/>
      <c r="BI3" s="340"/>
      <c r="BK3" s="342"/>
      <c r="BL3" s="340"/>
      <c r="BM3" s="340"/>
    </row>
    <row r="4" spans="1:65" ht="12" hidden="1" customHeight="1" outlineLevel="1">
      <c r="A4" s="343"/>
      <c r="B4" s="630" t="s">
        <v>255</v>
      </c>
      <c r="C4" s="630"/>
      <c r="D4" s="631"/>
      <c r="E4" s="344"/>
      <c r="F4" s="344"/>
      <c r="G4" s="344"/>
      <c r="H4" s="344"/>
      <c r="I4" s="344"/>
      <c r="J4" s="344"/>
      <c r="K4" s="344"/>
      <c r="L4" s="344"/>
      <c r="M4" s="344"/>
      <c r="N4" s="344"/>
      <c r="O4" s="344"/>
      <c r="P4" s="337">
        <v>1993</v>
      </c>
      <c r="Q4" s="344"/>
      <c r="R4" s="337">
        <v>1995</v>
      </c>
      <c r="S4" s="344"/>
      <c r="T4" s="337">
        <v>1997</v>
      </c>
      <c r="U4" s="344"/>
      <c r="V4" s="337">
        <v>1999</v>
      </c>
      <c r="X4" s="577">
        <v>2001</v>
      </c>
      <c r="Y4" s="577">
        <v>2002</v>
      </c>
      <c r="Z4" s="577">
        <v>2003</v>
      </c>
      <c r="AA4" s="577">
        <v>2004</v>
      </c>
      <c r="AB4" s="577">
        <v>2005</v>
      </c>
      <c r="AC4" s="577"/>
      <c r="AD4" s="577">
        <v>2007</v>
      </c>
      <c r="AE4" s="577"/>
      <c r="AF4" s="577">
        <v>2009</v>
      </c>
      <c r="AG4" s="577">
        <v>2010</v>
      </c>
      <c r="AH4" s="577">
        <v>2011</v>
      </c>
      <c r="AI4" s="577">
        <v>2012</v>
      </c>
      <c r="AJ4" s="577">
        <v>2013</v>
      </c>
      <c r="AK4" s="577">
        <v>2014</v>
      </c>
      <c r="AL4" s="577">
        <v>2015</v>
      </c>
      <c r="AM4" s="577">
        <v>2016</v>
      </c>
      <c r="AN4" s="577">
        <v>2017</v>
      </c>
      <c r="AO4" s="577">
        <v>2018</v>
      </c>
      <c r="AP4" s="577">
        <v>2019</v>
      </c>
      <c r="AQ4" s="577">
        <v>2020</v>
      </c>
      <c r="AR4" s="339"/>
      <c r="AS4" s="339"/>
      <c r="AT4" s="339"/>
      <c r="AU4" s="339"/>
      <c r="AV4" s="339"/>
      <c r="AW4" s="339"/>
      <c r="BC4" s="339"/>
      <c r="BD4" s="340"/>
      <c r="BE4" s="340"/>
      <c r="BG4" s="341"/>
      <c r="BK4" s="342"/>
    </row>
    <row r="5" spans="1:65" ht="12" hidden="1" customHeight="1" outlineLevel="1">
      <c r="A5" s="343"/>
      <c r="B5" s="347"/>
      <c r="E5" s="344"/>
      <c r="F5" s="344"/>
      <c r="G5" s="344"/>
      <c r="H5" s="344"/>
      <c r="I5" s="344"/>
      <c r="J5" s="344"/>
      <c r="K5" s="344"/>
      <c r="L5" s="344"/>
      <c r="M5" s="344"/>
      <c r="N5" s="344"/>
      <c r="O5" s="344"/>
      <c r="P5" s="344"/>
      <c r="Q5" s="344"/>
      <c r="R5" s="344"/>
      <c r="S5" s="344"/>
      <c r="T5" s="344"/>
      <c r="U5" s="344"/>
      <c r="X5" s="338"/>
      <c r="Y5" s="338"/>
      <c r="Z5" s="338"/>
      <c r="AA5" s="338"/>
      <c r="AB5" s="338"/>
      <c r="AC5" s="338"/>
      <c r="AD5" s="338"/>
      <c r="AE5" s="338"/>
      <c r="AF5" s="338"/>
      <c r="AG5" s="338"/>
      <c r="AH5" s="338"/>
      <c r="AI5" s="339"/>
      <c r="AJ5" s="339"/>
      <c r="AK5" s="339"/>
      <c r="AL5" s="339"/>
      <c r="AM5" s="339"/>
      <c r="AN5" s="339"/>
      <c r="AO5" s="339"/>
      <c r="AP5" s="339"/>
      <c r="AQ5" s="339"/>
      <c r="AR5" s="339"/>
      <c r="AS5" s="339"/>
      <c r="AT5" s="339"/>
      <c r="AU5" s="339"/>
      <c r="AV5" s="339"/>
      <c r="AW5" s="339"/>
      <c r="BC5" s="339"/>
      <c r="BD5" s="340"/>
      <c r="BE5" s="340"/>
      <c r="BG5" s="341"/>
      <c r="BK5" s="342"/>
    </row>
    <row r="6" spans="1:65" ht="12" hidden="1" customHeight="1" outlineLevel="1">
      <c r="A6" s="311" t="s">
        <v>2</v>
      </c>
      <c r="B6" s="311" t="s">
        <v>3</v>
      </c>
      <c r="C6" s="348"/>
      <c r="D6" s="336"/>
      <c r="P6" s="349">
        <f t="shared" ref="P6:W6" si="0">P94</f>
        <v>0</v>
      </c>
      <c r="Q6" s="349">
        <f t="shared" si="0"/>
        <v>0</v>
      </c>
      <c r="R6" s="349">
        <f t="shared" si="0"/>
        <v>0</v>
      </c>
      <c r="S6" s="349">
        <f t="shared" si="0"/>
        <v>0</v>
      </c>
      <c r="T6" s="349">
        <f t="shared" si="0"/>
        <v>0</v>
      </c>
      <c r="U6" s="349">
        <f t="shared" si="0"/>
        <v>0</v>
      </c>
      <c r="V6" s="349">
        <f t="shared" si="0"/>
        <v>0</v>
      </c>
      <c r="W6" s="349">
        <f t="shared" si="0"/>
        <v>0</v>
      </c>
      <c r="X6" s="350">
        <f>X94</f>
        <v>1422</v>
      </c>
      <c r="Y6" s="350"/>
      <c r="Z6" s="350">
        <f>Z94</f>
        <v>2444</v>
      </c>
      <c r="AA6" s="350"/>
      <c r="AB6" s="350">
        <f>AB94</f>
        <v>3855</v>
      </c>
      <c r="AC6" s="350"/>
      <c r="AD6" s="350">
        <f>AD94</f>
        <v>4834</v>
      </c>
      <c r="AE6" s="350"/>
      <c r="AF6" s="350">
        <f>AF94</f>
        <v>4296</v>
      </c>
      <c r="AG6" s="350"/>
      <c r="AH6" s="350">
        <f t="shared" ref="AH6:AQ6" si="1">AH94</f>
        <v>4267</v>
      </c>
      <c r="AI6" s="350">
        <f t="shared" si="1"/>
        <v>0</v>
      </c>
      <c r="AJ6" s="350">
        <f t="shared" si="1"/>
        <v>0</v>
      </c>
      <c r="AK6" s="350">
        <f t="shared" si="1"/>
        <v>0</v>
      </c>
      <c r="AL6" s="350">
        <f t="shared" si="1"/>
        <v>5203</v>
      </c>
      <c r="AM6" s="350">
        <f t="shared" si="1"/>
        <v>5790</v>
      </c>
      <c r="AN6" s="350">
        <f t="shared" si="1"/>
        <v>6092</v>
      </c>
      <c r="AO6" s="350">
        <f t="shared" si="1"/>
        <v>6366</v>
      </c>
      <c r="AP6" s="350">
        <f t="shared" si="1"/>
        <v>6553</v>
      </c>
      <c r="AQ6" s="350">
        <f t="shared" si="1"/>
        <v>6654</v>
      </c>
      <c r="AR6" s="339"/>
      <c r="AS6" s="339"/>
      <c r="AT6" s="339"/>
      <c r="AU6" s="339"/>
      <c r="AV6" s="339"/>
      <c r="AW6" s="339"/>
      <c r="BC6" s="352"/>
      <c r="BE6" s="340"/>
      <c r="BG6" s="341"/>
      <c r="BK6" s="342"/>
    </row>
    <row r="7" spans="1:65" ht="12" hidden="1" customHeight="1" outlineLevel="1">
      <c r="A7" s="311" t="s">
        <v>4</v>
      </c>
      <c r="B7" s="311" t="s">
        <v>5</v>
      </c>
      <c r="C7" s="348"/>
      <c r="D7" s="336"/>
      <c r="P7" s="349">
        <f t="shared" ref="P7:W7" si="2">P105</f>
        <v>0</v>
      </c>
      <c r="Q7" s="349">
        <f t="shared" si="2"/>
        <v>0</v>
      </c>
      <c r="R7" s="349">
        <f t="shared" si="2"/>
        <v>0</v>
      </c>
      <c r="S7" s="349">
        <f t="shared" si="2"/>
        <v>0</v>
      </c>
      <c r="T7" s="349">
        <f t="shared" si="2"/>
        <v>0</v>
      </c>
      <c r="U7" s="349">
        <f t="shared" si="2"/>
        <v>0</v>
      </c>
      <c r="V7" s="349">
        <f t="shared" si="2"/>
        <v>0</v>
      </c>
      <c r="W7" s="349">
        <f t="shared" si="2"/>
        <v>0</v>
      </c>
      <c r="X7" s="350">
        <f>X107</f>
        <v>2003</v>
      </c>
      <c r="Y7" s="350">
        <f t="shared" ref="Y7:AQ7" si="3">Y107</f>
        <v>0</v>
      </c>
      <c r="Z7" s="350">
        <f t="shared" si="3"/>
        <v>1753</v>
      </c>
      <c r="AA7" s="350">
        <f t="shared" si="3"/>
        <v>0</v>
      </c>
      <c r="AB7" s="350">
        <f t="shared" si="3"/>
        <v>811</v>
      </c>
      <c r="AC7" s="350">
        <f t="shared" si="3"/>
        <v>0</v>
      </c>
      <c r="AD7" s="350">
        <f t="shared" si="3"/>
        <v>496</v>
      </c>
      <c r="AE7" s="350">
        <f t="shared" si="3"/>
        <v>0</v>
      </c>
      <c r="AF7" s="350">
        <f t="shared" si="3"/>
        <v>496</v>
      </c>
      <c r="AG7" s="350">
        <f t="shared" si="3"/>
        <v>0</v>
      </c>
      <c r="AH7" s="350">
        <f t="shared" si="3"/>
        <v>544</v>
      </c>
      <c r="AI7" s="350">
        <f t="shared" si="3"/>
        <v>0</v>
      </c>
      <c r="AJ7" s="350">
        <f t="shared" si="3"/>
        <v>0</v>
      </c>
      <c r="AK7" s="350">
        <f t="shared" si="3"/>
        <v>0</v>
      </c>
      <c r="AL7" s="350">
        <f t="shared" si="3"/>
        <v>562</v>
      </c>
      <c r="AM7" s="350">
        <f t="shared" si="3"/>
        <v>574</v>
      </c>
      <c r="AN7" s="350">
        <f t="shared" si="3"/>
        <v>654</v>
      </c>
      <c r="AO7" s="350">
        <f t="shared" si="3"/>
        <v>713</v>
      </c>
      <c r="AP7" s="350">
        <f t="shared" si="3"/>
        <v>612</v>
      </c>
      <c r="AQ7" s="350">
        <f t="shared" si="3"/>
        <v>622</v>
      </c>
      <c r="AR7" s="339"/>
      <c r="AS7" s="339"/>
      <c r="AT7" s="339"/>
      <c r="AU7" s="339"/>
      <c r="AV7" s="339"/>
      <c r="AW7" s="339"/>
      <c r="BC7" s="352"/>
      <c r="BE7" s="340"/>
      <c r="BG7" s="341"/>
      <c r="BK7" s="342"/>
    </row>
    <row r="8" spans="1:65" ht="12" hidden="1" customHeight="1" outlineLevel="1">
      <c r="A8" s="311" t="s">
        <v>6</v>
      </c>
      <c r="B8" s="311"/>
      <c r="C8" s="348"/>
      <c r="D8" s="336"/>
      <c r="P8" s="353"/>
      <c r="Q8" s="353"/>
      <c r="R8" s="353"/>
      <c r="S8" s="353"/>
      <c r="T8" s="353"/>
      <c r="U8" s="353"/>
      <c r="V8" s="354"/>
      <c r="W8" s="354"/>
      <c r="X8" s="632">
        <f>SUM(X6:X7)</f>
        <v>3425</v>
      </c>
      <c r="Y8" s="632">
        <f t="shared" ref="Y8:AQ8" si="4">SUM(Y6:Y7)</f>
        <v>0</v>
      </c>
      <c r="Z8" s="632">
        <f t="shared" si="4"/>
        <v>4197</v>
      </c>
      <c r="AA8" s="632">
        <f t="shared" si="4"/>
        <v>0</v>
      </c>
      <c r="AB8" s="632">
        <f t="shared" si="4"/>
        <v>4666</v>
      </c>
      <c r="AC8" s="632">
        <f t="shared" si="4"/>
        <v>0</v>
      </c>
      <c r="AD8" s="632">
        <f t="shared" si="4"/>
        <v>5330</v>
      </c>
      <c r="AE8" s="632">
        <f t="shared" si="4"/>
        <v>0</v>
      </c>
      <c r="AF8" s="632">
        <f t="shared" si="4"/>
        <v>4792</v>
      </c>
      <c r="AG8" s="632">
        <f t="shared" si="4"/>
        <v>0</v>
      </c>
      <c r="AH8" s="632">
        <f t="shared" si="4"/>
        <v>4811</v>
      </c>
      <c r="AI8" s="632">
        <f t="shared" si="4"/>
        <v>0</v>
      </c>
      <c r="AJ8" s="632">
        <f t="shared" si="4"/>
        <v>0</v>
      </c>
      <c r="AK8" s="632">
        <f t="shared" si="4"/>
        <v>0</v>
      </c>
      <c r="AL8" s="632">
        <f t="shared" si="4"/>
        <v>5765</v>
      </c>
      <c r="AM8" s="632">
        <f t="shared" si="4"/>
        <v>6364</v>
      </c>
      <c r="AN8" s="632">
        <f t="shared" si="4"/>
        <v>6746</v>
      </c>
      <c r="AO8" s="632">
        <f t="shared" si="4"/>
        <v>7079</v>
      </c>
      <c r="AP8" s="632">
        <f t="shared" si="4"/>
        <v>7165</v>
      </c>
      <c r="AQ8" s="632">
        <f t="shared" si="4"/>
        <v>7276</v>
      </c>
      <c r="AR8" s="339"/>
      <c r="AS8" s="339"/>
      <c r="AT8" s="339"/>
      <c r="AU8" s="339"/>
      <c r="AV8" s="339"/>
      <c r="AW8" s="339"/>
      <c r="BC8" s="352"/>
      <c r="BE8" s="340"/>
      <c r="BG8" s="341"/>
      <c r="BK8" s="342"/>
    </row>
    <row r="9" spans="1:65" ht="12" hidden="1" customHeight="1" outlineLevel="1">
      <c r="A9" s="343"/>
      <c r="B9" s="334"/>
      <c r="E9" s="355"/>
      <c r="F9" s="355"/>
      <c r="G9" s="355"/>
      <c r="H9" s="355"/>
      <c r="I9" s="355"/>
      <c r="J9" s="355"/>
      <c r="K9" s="355"/>
      <c r="L9" s="355"/>
      <c r="M9" s="355"/>
      <c r="N9" s="355"/>
      <c r="O9" s="355"/>
      <c r="P9" s="356"/>
      <c r="Q9" s="356"/>
      <c r="R9" s="356"/>
      <c r="S9" s="356"/>
      <c r="T9" s="356"/>
      <c r="U9" s="356"/>
      <c r="V9" s="357"/>
      <c r="W9" s="354"/>
      <c r="X9" s="350"/>
      <c r="Y9" s="350"/>
      <c r="Z9" s="350"/>
      <c r="AA9" s="350"/>
      <c r="AB9" s="350"/>
      <c r="AC9" s="350"/>
      <c r="AD9" s="350"/>
      <c r="AE9" s="350"/>
      <c r="AF9" s="350"/>
      <c r="AG9" s="350"/>
      <c r="AH9" s="350"/>
      <c r="AI9" s="350"/>
      <c r="AJ9" s="350"/>
      <c r="AK9" s="350"/>
      <c r="AL9" s="350"/>
      <c r="AM9" s="350"/>
      <c r="AN9" s="350"/>
      <c r="AO9" s="350"/>
      <c r="AP9" s="350"/>
      <c r="AQ9" s="350"/>
      <c r="AR9" s="339"/>
      <c r="AS9" s="339"/>
      <c r="AT9" s="339"/>
      <c r="AU9" s="339"/>
      <c r="AV9" s="339"/>
      <c r="AW9" s="339"/>
      <c r="BC9" s="339"/>
      <c r="BD9" s="340"/>
      <c r="BE9" s="340"/>
      <c r="BG9" s="341"/>
      <c r="BK9" s="342"/>
    </row>
    <row r="10" spans="1:65" ht="12" hidden="1" customHeight="1" outlineLevel="1">
      <c r="A10" s="343"/>
      <c r="B10" s="334" t="s">
        <v>110</v>
      </c>
      <c r="E10" s="355"/>
      <c r="F10" s="355"/>
      <c r="G10" s="355"/>
      <c r="H10" s="355"/>
      <c r="I10" s="355"/>
      <c r="J10" s="355"/>
      <c r="K10" s="355"/>
      <c r="L10" s="355"/>
      <c r="M10" s="355"/>
      <c r="N10" s="355"/>
      <c r="O10" s="355"/>
      <c r="P10" s="356"/>
      <c r="Q10" s="356"/>
      <c r="R10" s="356"/>
      <c r="S10" s="356"/>
      <c r="T10" s="356"/>
      <c r="U10" s="356"/>
      <c r="V10" s="357"/>
      <c r="W10" s="354"/>
      <c r="X10" s="350">
        <f t="shared" ref="X10:AP10" si="5">X121</f>
        <v>0</v>
      </c>
      <c r="Y10" s="350">
        <f t="shared" si="5"/>
        <v>0</v>
      </c>
      <c r="Z10" s="350">
        <f t="shared" si="5"/>
        <v>0</v>
      </c>
      <c r="AA10" s="350">
        <f t="shared" si="5"/>
        <v>0</v>
      </c>
      <c r="AB10" s="350">
        <f t="shared" si="5"/>
        <v>0</v>
      </c>
      <c r="AC10" s="350">
        <f t="shared" si="5"/>
        <v>0</v>
      </c>
      <c r="AD10" s="350">
        <f t="shared" si="5"/>
        <v>10400</v>
      </c>
      <c r="AE10" s="350">
        <f t="shared" si="5"/>
        <v>0</v>
      </c>
      <c r="AF10" s="350">
        <f t="shared" si="5"/>
        <v>11329</v>
      </c>
      <c r="AG10" s="350">
        <f t="shared" si="5"/>
        <v>0</v>
      </c>
      <c r="AH10" s="350">
        <f t="shared" si="5"/>
        <v>12435</v>
      </c>
      <c r="AI10" s="350">
        <f t="shared" si="5"/>
        <v>0</v>
      </c>
      <c r="AJ10" s="350">
        <f t="shared" si="5"/>
        <v>0</v>
      </c>
      <c r="AK10" s="350">
        <f t="shared" si="5"/>
        <v>0</v>
      </c>
      <c r="AL10" s="350">
        <f t="shared" si="5"/>
        <v>12534</v>
      </c>
      <c r="AM10" s="350">
        <f t="shared" si="5"/>
        <v>12406</v>
      </c>
      <c r="AN10" s="350">
        <f t="shared" si="5"/>
        <v>12499</v>
      </c>
      <c r="AO10" s="350">
        <f t="shared" si="5"/>
        <v>13348</v>
      </c>
      <c r="AP10" s="350">
        <f t="shared" si="5"/>
        <v>14333</v>
      </c>
      <c r="AQ10" s="350">
        <f>AQ121</f>
        <v>15034</v>
      </c>
      <c r="AR10" s="339"/>
      <c r="AS10" s="339"/>
      <c r="AT10" s="339"/>
      <c r="AU10" s="339"/>
      <c r="AV10" s="339"/>
      <c r="AW10" s="339"/>
      <c r="BC10" s="339"/>
      <c r="BD10" s="340"/>
      <c r="BE10" s="340"/>
      <c r="BG10" s="341"/>
      <c r="BK10" s="342"/>
    </row>
    <row r="11" spans="1:65" ht="12" hidden="1" customHeight="1" outlineLevel="1">
      <c r="A11" s="343"/>
      <c r="B11" s="334"/>
      <c r="E11" s="355"/>
      <c r="F11" s="355"/>
      <c r="G11" s="355"/>
      <c r="H11" s="355"/>
      <c r="I11" s="355"/>
      <c r="J11" s="355"/>
      <c r="K11" s="355"/>
      <c r="L11" s="355"/>
      <c r="M11" s="355"/>
      <c r="N11" s="355"/>
      <c r="O11" s="355"/>
      <c r="P11" s="356"/>
      <c r="Q11" s="356"/>
      <c r="R11" s="356"/>
      <c r="S11" s="356"/>
      <c r="T11" s="356"/>
      <c r="U11" s="356"/>
      <c r="V11" s="357"/>
      <c r="W11" s="354"/>
      <c r="X11" s="350"/>
      <c r="Y11" s="350"/>
      <c r="Z11" s="350"/>
      <c r="AA11" s="350"/>
      <c r="AB11" s="350"/>
      <c r="AC11" s="350"/>
      <c r="AD11" s="350"/>
      <c r="AE11" s="350"/>
      <c r="AF11" s="350"/>
      <c r="AG11" s="350"/>
      <c r="AH11" s="350"/>
      <c r="AI11" s="350"/>
      <c r="AJ11" s="350"/>
      <c r="AK11" s="350"/>
      <c r="AL11" s="350"/>
      <c r="AM11" s="350"/>
      <c r="AN11" s="350"/>
      <c r="AO11" s="350"/>
      <c r="AP11" s="350"/>
      <c r="AQ11" s="350"/>
      <c r="AR11" s="339"/>
      <c r="AS11" s="339"/>
      <c r="AT11" s="339"/>
      <c r="AU11" s="339"/>
      <c r="AV11" s="339"/>
      <c r="AW11" s="339"/>
      <c r="BC11" s="339"/>
      <c r="BD11" s="340"/>
      <c r="BE11" s="340"/>
      <c r="BG11" s="341"/>
      <c r="BK11" s="342"/>
    </row>
    <row r="12" spans="1:65" ht="12" hidden="1" customHeight="1" outlineLevel="1">
      <c r="A12" s="343"/>
      <c r="B12" s="228" t="s">
        <v>8</v>
      </c>
      <c r="E12" s="355"/>
      <c r="F12" s="355"/>
      <c r="G12" s="355"/>
      <c r="H12" s="355"/>
      <c r="I12" s="355"/>
      <c r="J12" s="355"/>
      <c r="K12" s="355"/>
      <c r="L12" s="355"/>
      <c r="M12" s="355"/>
      <c r="N12" s="355"/>
      <c r="O12" s="355"/>
      <c r="P12" s="356"/>
      <c r="Q12" s="356"/>
      <c r="R12" s="356"/>
      <c r="S12" s="356"/>
      <c r="T12" s="356"/>
      <c r="U12" s="356"/>
      <c r="V12" s="357"/>
      <c r="W12" s="354"/>
      <c r="X12" s="350">
        <f>X95+X97+X98+X100+X101+X102+X110+X111</f>
        <v>1532</v>
      </c>
      <c r="Y12" s="350">
        <f t="shared" ref="Y12:AP12" si="6">Y95+Y97+Y98+Y100+Y101+Y102+Y110+Y111</f>
        <v>0</v>
      </c>
      <c r="Z12" s="350">
        <f t="shared" si="6"/>
        <v>2648</v>
      </c>
      <c r="AA12" s="350">
        <f t="shared" si="6"/>
        <v>0</v>
      </c>
      <c r="AB12" s="350">
        <f>AB95+AB97+AB98+AB100+AB101+AB102+AB110+AB111</f>
        <v>3906</v>
      </c>
      <c r="AC12" s="350">
        <f t="shared" si="6"/>
        <v>0</v>
      </c>
      <c r="AD12" s="350">
        <f t="shared" si="6"/>
        <v>4834</v>
      </c>
      <c r="AE12" s="350">
        <f t="shared" si="6"/>
        <v>0</v>
      </c>
      <c r="AF12" s="350">
        <f t="shared" si="6"/>
        <v>3180</v>
      </c>
      <c r="AG12" s="350">
        <f t="shared" si="6"/>
        <v>0</v>
      </c>
      <c r="AH12" s="350">
        <f t="shared" si="6"/>
        <v>3030</v>
      </c>
      <c r="AI12" s="350">
        <f t="shared" si="6"/>
        <v>0</v>
      </c>
      <c r="AJ12" s="350">
        <f t="shared" si="6"/>
        <v>0</v>
      </c>
      <c r="AK12" s="350">
        <f t="shared" si="6"/>
        <v>0</v>
      </c>
      <c r="AL12" s="350">
        <f t="shared" si="6"/>
        <v>2199</v>
      </c>
      <c r="AM12" s="350">
        <f t="shared" si="6"/>
        <v>2518</v>
      </c>
      <c r="AN12" s="350">
        <f t="shared" si="6"/>
        <v>2600</v>
      </c>
      <c r="AO12" s="350">
        <f t="shared" si="6"/>
        <v>2582</v>
      </c>
      <c r="AP12" s="350">
        <f t="shared" si="6"/>
        <v>2333</v>
      </c>
      <c r="AQ12" s="350">
        <f>AQ95+AQ97+AQ98+AQ100+AQ101+AQ102+AQ110+AQ111</f>
        <v>2287</v>
      </c>
      <c r="AR12" s="339"/>
      <c r="AS12" s="339"/>
      <c r="AT12" s="339"/>
      <c r="AU12" s="339"/>
      <c r="AV12" s="339"/>
      <c r="AW12" s="339"/>
      <c r="BC12" s="339"/>
      <c r="BD12" s="340"/>
      <c r="BE12" s="340"/>
      <c r="BG12" s="341"/>
      <c r="BK12" s="342"/>
    </row>
    <row r="13" spans="1:65" ht="12" hidden="1" customHeight="1" outlineLevel="1">
      <c r="A13" s="343"/>
      <c r="B13" s="228"/>
      <c r="C13" s="336" t="s">
        <v>256</v>
      </c>
      <c r="E13" s="355"/>
      <c r="F13" s="355"/>
      <c r="G13" s="355"/>
      <c r="H13" s="355"/>
      <c r="I13" s="355"/>
      <c r="J13" s="355"/>
      <c r="K13" s="355"/>
      <c r="L13" s="355"/>
      <c r="M13" s="355"/>
      <c r="N13" s="355"/>
      <c r="O13" s="355"/>
      <c r="P13" s="356"/>
      <c r="Q13" s="356"/>
      <c r="R13" s="356"/>
      <c r="S13" s="356"/>
      <c r="T13" s="356"/>
      <c r="U13" s="356"/>
      <c r="V13" s="357"/>
      <c r="W13" s="354"/>
      <c r="X13" s="350">
        <f>X97</f>
        <v>263</v>
      </c>
      <c r="Y13" s="350">
        <f t="shared" ref="Y13:AQ13" si="7">Y97</f>
        <v>0</v>
      </c>
      <c r="Z13" s="350">
        <f t="shared" si="7"/>
        <v>409</v>
      </c>
      <c r="AA13" s="350">
        <f t="shared" si="7"/>
        <v>0</v>
      </c>
      <c r="AB13" s="350">
        <f t="shared" si="7"/>
        <v>754</v>
      </c>
      <c r="AC13" s="350">
        <f t="shared" si="7"/>
        <v>0</v>
      </c>
      <c r="AD13" s="350">
        <f t="shared" si="7"/>
        <v>955</v>
      </c>
      <c r="AE13" s="350">
        <f t="shared" si="7"/>
        <v>0</v>
      </c>
      <c r="AF13" s="350">
        <f t="shared" si="7"/>
        <v>1432</v>
      </c>
      <c r="AG13" s="350">
        <f t="shared" si="7"/>
        <v>0</v>
      </c>
      <c r="AH13" s="350">
        <f t="shared" si="7"/>
        <v>1484</v>
      </c>
      <c r="AI13" s="350">
        <f t="shared" si="7"/>
        <v>0</v>
      </c>
      <c r="AJ13" s="350">
        <f t="shared" si="7"/>
        <v>0</v>
      </c>
      <c r="AK13" s="350">
        <f t="shared" si="7"/>
        <v>0</v>
      </c>
      <c r="AL13" s="350">
        <f t="shared" si="7"/>
        <v>1596</v>
      </c>
      <c r="AM13" s="350">
        <f t="shared" si="7"/>
        <v>1932</v>
      </c>
      <c r="AN13" s="350">
        <f t="shared" si="7"/>
        <v>2004</v>
      </c>
      <c r="AO13" s="350">
        <f t="shared" si="7"/>
        <v>1985</v>
      </c>
      <c r="AP13" s="350">
        <f t="shared" si="7"/>
        <v>1753</v>
      </c>
      <c r="AQ13" s="350">
        <f t="shared" si="7"/>
        <v>1735</v>
      </c>
      <c r="AR13" s="339"/>
      <c r="AS13" s="339"/>
      <c r="AT13" s="339"/>
      <c r="AU13" s="339"/>
      <c r="AV13" s="339"/>
      <c r="AW13" s="339"/>
      <c r="BC13" s="339"/>
      <c r="BD13" s="340"/>
      <c r="BE13" s="340"/>
      <c r="BG13" s="341"/>
      <c r="BK13" s="342"/>
    </row>
    <row r="14" spans="1:65" ht="12" hidden="1" customHeight="1" outlineLevel="1">
      <c r="A14" s="343"/>
      <c r="B14" s="228"/>
      <c r="C14" s="336" t="s">
        <v>257</v>
      </c>
      <c r="E14" s="355"/>
      <c r="F14" s="355"/>
      <c r="G14" s="355"/>
      <c r="H14" s="355"/>
      <c r="I14" s="355"/>
      <c r="J14" s="355"/>
      <c r="K14" s="355"/>
      <c r="L14" s="355"/>
      <c r="M14" s="355"/>
      <c r="N14" s="355"/>
      <c r="O14" s="355"/>
      <c r="P14" s="356"/>
      <c r="Q14" s="356"/>
      <c r="R14" s="356"/>
      <c r="S14" s="356"/>
      <c r="T14" s="356"/>
      <c r="U14" s="356"/>
      <c r="V14" s="357"/>
      <c r="W14" s="354"/>
      <c r="X14" s="350"/>
      <c r="Y14" s="350"/>
      <c r="Z14" s="350"/>
      <c r="AA14" s="350"/>
      <c r="AB14" s="350"/>
      <c r="AC14" s="350"/>
      <c r="AD14" s="350"/>
      <c r="AE14" s="350"/>
      <c r="AF14" s="350"/>
      <c r="AG14" s="358"/>
      <c r="AH14" s="358"/>
      <c r="AI14" s="339"/>
      <c r="AJ14" s="339"/>
      <c r="AK14" s="339"/>
      <c r="AL14" s="339"/>
      <c r="AM14" s="339"/>
      <c r="AN14" s="339"/>
      <c r="AO14" s="339"/>
      <c r="AP14" s="339"/>
      <c r="AQ14" s="339"/>
      <c r="AR14" s="339"/>
      <c r="AS14" s="339"/>
      <c r="AT14" s="339"/>
      <c r="AU14" s="339"/>
      <c r="AV14" s="339"/>
      <c r="AW14" s="339"/>
      <c r="BC14" s="339"/>
      <c r="BD14" s="340"/>
      <c r="BE14" s="340"/>
      <c r="BG14" s="341"/>
      <c r="BK14" s="342"/>
    </row>
    <row r="15" spans="1:65" ht="18.75" customHeight="1" collapsed="1">
      <c r="A15" s="343"/>
      <c r="B15" s="1957" t="s">
        <v>431</v>
      </c>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25"/>
      <c r="AQ15" s="1925"/>
      <c r="AR15" s="339"/>
      <c r="AS15" s="339"/>
      <c r="AT15" s="339"/>
      <c r="AU15" s="339"/>
      <c r="AV15" s="339"/>
      <c r="AW15" s="339"/>
      <c r="BC15" s="339"/>
      <c r="BD15" s="340"/>
      <c r="BE15" s="340"/>
      <c r="BG15" s="341"/>
      <c r="BK15" s="342"/>
    </row>
    <row r="16" spans="1:65" ht="21.75" customHeight="1">
      <c r="A16" s="343"/>
      <c r="B16" s="1957"/>
      <c r="C16" s="1957"/>
      <c r="D16" s="1957"/>
      <c r="E16" s="1957"/>
      <c r="F16" s="1957"/>
      <c r="G16" s="1957"/>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1957"/>
      <c r="AI16" s="1957"/>
      <c r="AJ16" s="1957"/>
      <c r="AK16" s="1957"/>
      <c r="AL16" s="1957"/>
      <c r="AM16" s="1957"/>
      <c r="AN16" s="1957"/>
      <c r="AO16" s="1957"/>
      <c r="AP16" s="1925"/>
      <c r="AQ16" s="1925"/>
      <c r="AR16" s="339"/>
      <c r="AS16" s="339"/>
      <c r="AT16" s="339"/>
      <c r="AU16" s="339"/>
      <c r="AV16" s="339"/>
      <c r="AW16" s="339"/>
      <c r="BC16" s="339"/>
      <c r="BD16" s="340"/>
      <c r="BE16" s="340"/>
      <c r="BG16" s="341"/>
      <c r="BK16" s="342"/>
    </row>
    <row r="17" spans="1:63" ht="15.75" customHeight="1">
      <c r="A17" s="343"/>
      <c r="B17" s="232" t="s">
        <v>1412</v>
      </c>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349"/>
      <c r="AH17" s="339"/>
      <c r="AI17" s="339"/>
      <c r="AJ17" s="339"/>
      <c r="AK17" s="339"/>
      <c r="AL17" s="339"/>
      <c r="AM17" s="339"/>
      <c r="AN17" s="339"/>
      <c r="AO17" s="339"/>
      <c r="AP17" s="339"/>
      <c r="AQ17" s="339"/>
      <c r="AR17" s="339"/>
      <c r="AS17" s="339"/>
      <c r="AT17" s="339"/>
      <c r="AU17" s="339"/>
      <c r="AV17" s="339"/>
      <c r="AW17" s="339"/>
      <c r="BC17" s="339"/>
      <c r="BD17" s="340"/>
      <c r="BE17" s="340"/>
      <c r="BG17" s="341"/>
      <c r="BK17" s="342"/>
    </row>
    <row r="18" spans="1:63" ht="12" customHeight="1">
      <c r="A18" s="343"/>
      <c r="B18" s="228"/>
      <c r="C18" s="228"/>
      <c r="D18" s="228"/>
      <c r="E18" s="228"/>
      <c r="F18" s="228"/>
      <c r="G18" s="228"/>
      <c r="H18" s="228"/>
      <c r="I18" s="228"/>
      <c r="J18" s="228"/>
      <c r="K18" s="228"/>
      <c r="L18" s="228"/>
      <c r="M18" s="228"/>
      <c r="N18" s="228"/>
      <c r="O18" s="239"/>
      <c r="P18" s="239"/>
      <c r="Q18" s="239"/>
      <c r="R18" s="239"/>
      <c r="S18" s="239"/>
      <c r="T18" s="239"/>
      <c r="U18" s="239"/>
      <c r="V18" s="239"/>
      <c r="W18" s="239"/>
      <c r="X18" s="233"/>
      <c r="Y18" s="231"/>
      <c r="Z18" s="231"/>
      <c r="AA18" s="231"/>
      <c r="AB18" s="231"/>
      <c r="AC18" s="231"/>
      <c r="AD18" s="231"/>
      <c r="AE18" s="231"/>
      <c r="AF18" s="231"/>
      <c r="AG18" s="349"/>
      <c r="AH18" s="339"/>
      <c r="AI18" s="339"/>
      <c r="AJ18" s="339"/>
      <c r="AK18" s="339"/>
      <c r="AL18" s="339"/>
      <c r="AM18" s="339"/>
      <c r="AN18" s="339"/>
      <c r="AO18" s="339"/>
      <c r="AP18" s="339"/>
      <c r="AQ18" s="339"/>
      <c r="AR18" s="339"/>
      <c r="AS18" s="339"/>
      <c r="AT18" s="339"/>
      <c r="AU18" s="339"/>
      <c r="AV18" s="339"/>
      <c r="AW18" s="339"/>
      <c r="BC18" s="339"/>
      <c r="BD18" s="340"/>
      <c r="BE18" s="340"/>
      <c r="BG18" s="341"/>
      <c r="BK18" s="342"/>
    </row>
    <row r="19" spans="1:63" ht="12" customHeight="1">
      <c r="A19" s="343"/>
      <c r="B19" s="232" t="s">
        <v>243</v>
      </c>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349"/>
      <c r="AH19" s="339"/>
      <c r="AI19" s="339"/>
      <c r="AJ19" s="339"/>
      <c r="AK19" s="339"/>
      <c r="AL19" s="339"/>
      <c r="AM19" s="339"/>
      <c r="AN19" s="339"/>
      <c r="AO19" s="339"/>
      <c r="AP19" s="339"/>
      <c r="AQ19" s="339"/>
      <c r="AR19" s="339"/>
      <c r="AS19" s="339"/>
      <c r="AT19" s="339"/>
      <c r="AU19" s="339"/>
      <c r="AV19" s="339"/>
      <c r="AW19" s="339"/>
      <c r="BC19" s="339"/>
      <c r="BD19" s="340"/>
      <c r="BE19" s="340"/>
      <c r="BG19" s="341"/>
      <c r="BK19" s="342"/>
    </row>
    <row r="20" spans="1:63" ht="12" customHeight="1">
      <c r="A20" s="343"/>
      <c r="B20" s="238"/>
      <c r="C20" s="238"/>
      <c r="D20" s="238"/>
      <c r="E20" s="238"/>
      <c r="F20" s="238"/>
      <c r="G20" s="238"/>
      <c r="H20" s="238"/>
      <c r="I20" s="238"/>
      <c r="J20" s="238"/>
      <c r="K20" s="238"/>
      <c r="L20" s="238"/>
      <c r="M20" s="238"/>
      <c r="N20" s="238"/>
      <c r="O20" s="359"/>
      <c r="P20" s="359"/>
      <c r="Q20" s="359"/>
      <c r="R20" s="359"/>
      <c r="S20" s="359"/>
      <c r="T20" s="359"/>
      <c r="U20" s="359"/>
      <c r="V20" s="359"/>
      <c r="W20" s="359"/>
      <c r="X20" s="360"/>
      <c r="Y20" s="360"/>
      <c r="Z20" s="360"/>
      <c r="AA20" s="360"/>
      <c r="AB20" s="360"/>
      <c r="AC20" s="360"/>
      <c r="AD20" s="233"/>
      <c r="AE20" s="233"/>
      <c r="AF20" s="233"/>
      <c r="AG20" s="349"/>
      <c r="AH20" s="339"/>
      <c r="AI20" s="339"/>
      <c r="AJ20" s="339"/>
      <c r="AK20" s="339"/>
      <c r="AL20" s="339"/>
      <c r="AM20" s="339"/>
      <c r="AN20" s="339"/>
      <c r="AO20" s="339"/>
      <c r="AP20" s="339"/>
      <c r="AQ20" s="339"/>
      <c r="AR20" s="339"/>
      <c r="AS20" s="339"/>
      <c r="AT20" s="339"/>
      <c r="AU20" s="339"/>
      <c r="AV20" s="339"/>
      <c r="AW20" s="339"/>
      <c r="BC20" s="339"/>
      <c r="BD20" s="340"/>
      <c r="BE20" s="340"/>
      <c r="BG20" s="341"/>
      <c r="BK20" s="342"/>
    </row>
    <row r="21" spans="1:63" ht="12" customHeight="1">
      <c r="A21" s="343"/>
      <c r="B21" s="228"/>
      <c r="C21" s="228"/>
      <c r="D21" s="228"/>
      <c r="E21" s="228"/>
      <c r="F21" s="228"/>
      <c r="G21" s="228"/>
      <c r="H21" s="228"/>
      <c r="I21" s="228"/>
      <c r="J21" s="228"/>
      <c r="K21" s="228"/>
      <c r="L21" s="228"/>
      <c r="M21" s="228"/>
      <c r="N21" s="228"/>
      <c r="O21" s="239"/>
      <c r="P21" s="239"/>
      <c r="Q21" s="239"/>
      <c r="R21" s="239"/>
      <c r="S21" s="239"/>
      <c r="T21" s="239"/>
      <c r="U21" s="239"/>
      <c r="V21" s="239"/>
      <c r="W21" s="239"/>
      <c r="X21" s="361">
        <v>2001</v>
      </c>
      <c r="Y21" s="234"/>
      <c r="Z21" s="361">
        <v>2003</v>
      </c>
      <c r="AA21" s="234"/>
      <c r="AB21" s="361">
        <v>2005</v>
      </c>
      <c r="AC21" s="234"/>
      <c r="AD21" s="362" t="s">
        <v>1416</v>
      </c>
      <c r="AE21" s="363"/>
      <c r="AF21" s="362">
        <v>2009</v>
      </c>
      <c r="AG21" s="362">
        <v>2010</v>
      </c>
      <c r="AH21" s="362">
        <v>2011</v>
      </c>
      <c r="AI21" s="362">
        <v>2012</v>
      </c>
      <c r="AJ21" s="362">
        <v>2013</v>
      </c>
      <c r="AK21" s="362">
        <v>2014</v>
      </c>
      <c r="AL21" s="362">
        <v>2015</v>
      </c>
      <c r="AM21" s="362">
        <v>2016</v>
      </c>
      <c r="AN21" s="362">
        <v>2017</v>
      </c>
      <c r="AO21" s="362">
        <v>2018</v>
      </c>
      <c r="AP21" s="362">
        <v>2019</v>
      </c>
      <c r="AQ21" s="362">
        <v>2020</v>
      </c>
      <c r="AR21" s="339"/>
      <c r="AS21" s="339"/>
      <c r="AT21" s="339"/>
      <c r="AU21" s="339"/>
      <c r="AV21" s="339"/>
      <c r="AW21" s="339"/>
      <c r="BC21" s="339"/>
      <c r="BD21" s="340"/>
      <c r="BE21" s="340"/>
      <c r="BG21" s="341"/>
      <c r="BK21" s="342"/>
    </row>
    <row r="22" spans="1:63" ht="12" customHeight="1">
      <c r="A22" s="343"/>
      <c r="B22" s="235"/>
      <c r="C22" s="237"/>
      <c r="D22" s="228"/>
      <c r="E22" s="228"/>
      <c r="F22" s="228"/>
      <c r="G22" s="228"/>
      <c r="H22" s="228"/>
      <c r="I22" s="228"/>
      <c r="J22" s="228"/>
      <c r="K22" s="228"/>
      <c r="L22" s="228"/>
      <c r="M22" s="228"/>
      <c r="N22" s="228"/>
      <c r="O22" s="239"/>
      <c r="P22" s="239"/>
      <c r="Q22" s="239"/>
      <c r="R22" s="239"/>
      <c r="S22" s="239"/>
      <c r="T22" s="239"/>
      <c r="U22" s="239"/>
      <c r="V22" s="239"/>
      <c r="W22" s="239"/>
      <c r="X22" s="229"/>
      <c r="Y22" s="229"/>
      <c r="Z22" s="229"/>
      <c r="AA22" s="229"/>
      <c r="AB22" s="229"/>
      <c r="AC22" s="229"/>
      <c r="AD22" s="229"/>
      <c r="AE22" s="229"/>
      <c r="AF22" s="229"/>
      <c r="AH22" s="349"/>
      <c r="AI22" s="339"/>
      <c r="AJ22" s="339"/>
      <c r="AK22" s="339"/>
      <c r="AL22" s="339"/>
      <c r="AM22" s="339"/>
      <c r="AN22" s="339"/>
      <c r="AO22" s="339"/>
      <c r="AP22" s="339"/>
      <c r="AQ22" s="339"/>
      <c r="AR22" s="339"/>
      <c r="AS22" s="339"/>
      <c r="AT22" s="339"/>
      <c r="AU22" s="339"/>
      <c r="AV22" s="339"/>
      <c r="AW22" s="339"/>
      <c r="BC22" s="339"/>
      <c r="BD22" s="340"/>
      <c r="BE22" s="340"/>
      <c r="BG22" s="341"/>
      <c r="BK22" s="342"/>
    </row>
    <row r="23" spans="1:63" ht="12" customHeight="1">
      <c r="A23" s="343"/>
      <c r="C23" s="364">
        <v>1</v>
      </c>
      <c r="D23" s="237" t="s">
        <v>410</v>
      </c>
      <c r="E23" s="228"/>
      <c r="F23" s="228"/>
      <c r="G23" s="228"/>
      <c r="H23" s="228"/>
      <c r="I23" s="228"/>
      <c r="J23" s="228"/>
      <c r="K23" s="228"/>
      <c r="L23" s="228"/>
      <c r="M23" s="228"/>
      <c r="N23" s="228"/>
      <c r="O23" s="239"/>
      <c r="P23" s="239"/>
      <c r="Q23" s="239"/>
      <c r="R23" s="239"/>
      <c r="S23" s="239"/>
      <c r="T23" s="239"/>
      <c r="U23" s="239"/>
      <c r="V23" s="239"/>
      <c r="W23" s="239"/>
      <c r="X23" s="633">
        <v>14.6</v>
      </c>
      <c r="Y23" s="634"/>
      <c r="Z23" s="633" t="s">
        <v>269</v>
      </c>
      <c r="AA23" s="634"/>
      <c r="AB23" s="633" t="s">
        <v>269</v>
      </c>
      <c r="AC23" s="634"/>
      <c r="AD23" s="633" t="s">
        <v>269</v>
      </c>
      <c r="AE23" s="633"/>
      <c r="AF23" s="633"/>
      <c r="AG23" s="635"/>
      <c r="AH23" s="497"/>
      <c r="AI23" s="497"/>
      <c r="AJ23" s="497"/>
      <c r="AK23" s="483"/>
      <c r="AL23" s="483"/>
      <c r="AM23" s="483"/>
      <c r="AN23" s="483"/>
      <c r="AO23" s="483"/>
      <c r="AP23" s="483"/>
      <c r="AQ23" s="483"/>
      <c r="AR23" s="339"/>
      <c r="AS23" s="339"/>
      <c r="AT23" s="339"/>
      <c r="AU23" s="339"/>
      <c r="AV23" s="339"/>
      <c r="AW23" s="339"/>
      <c r="BC23" s="339"/>
      <c r="BD23" s="340"/>
      <c r="BE23" s="340"/>
      <c r="BG23" s="341"/>
      <c r="BK23" s="342"/>
    </row>
    <row r="24" spans="1:63" ht="12" customHeight="1">
      <c r="A24" s="343"/>
      <c r="C24" s="236" t="s">
        <v>289</v>
      </c>
      <c r="D24" s="237" t="s">
        <v>12</v>
      </c>
      <c r="E24" s="228"/>
      <c r="F24" s="228"/>
      <c r="G24" s="228"/>
      <c r="H24" s="228"/>
      <c r="I24" s="228"/>
      <c r="J24" s="228"/>
      <c r="K24" s="228"/>
      <c r="L24" s="228"/>
      <c r="M24" s="228"/>
      <c r="N24" s="228"/>
      <c r="O24" s="239"/>
      <c r="P24" s="239"/>
      <c r="Q24" s="239"/>
      <c r="R24" s="239"/>
      <c r="S24" s="239"/>
      <c r="T24" s="239"/>
      <c r="U24" s="239"/>
      <c r="V24" s="239"/>
      <c r="W24" s="239"/>
      <c r="X24" s="633">
        <v>7.1</v>
      </c>
      <c r="Y24" s="634"/>
      <c r="Z24" s="633">
        <v>13.773169159406029</v>
      </c>
      <c r="AA24" s="634"/>
      <c r="AB24" s="633">
        <v>13.822758340392735</v>
      </c>
      <c r="AC24" s="634"/>
      <c r="AD24" s="633">
        <v>9.1999999999999993</v>
      </c>
      <c r="AE24" s="633"/>
      <c r="AF24" s="633">
        <v>9.3000000000000007</v>
      </c>
      <c r="AG24" s="635"/>
      <c r="AH24" s="633">
        <v>8.8000000000000007</v>
      </c>
      <c r="AI24" s="497"/>
      <c r="AJ24" s="497">
        <v>9.4</v>
      </c>
      <c r="AK24" s="497">
        <v>9</v>
      </c>
      <c r="AL24" s="497">
        <v>9.1</v>
      </c>
      <c r="AM24" s="497">
        <v>8.6999999999999993</v>
      </c>
      <c r="AN24" s="497">
        <v>8.8000000000000007</v>
      </c>
      <c r="AO24" s="497">
        <v>8.6999999999999993</v>
      </c>
      <c r="AP24" s="497">
        <v>8.1</v>
      </c>
      <c r="AQ24" s="497">
        <v>8.1999999999999993</v>
      </c>
      <c r="AR24" s="339"/>
      <c r="AS24" s="339"/>
      <c r="AT24" s="339"/>
      <c r="AU24" s="339"/>
      <c r="AV24" s="339"/>
      <c r="AW24" s="339"/>
      <c r="BC24" s="339"/>
      <c r="BD24" s="340"/>
      <c r="BE24" s="340"/>
      <c r="BG24" s="341"/>
      <c r="BK24" s="342"/>
    </row>
    <row r="25" spans="1:63" ht="12" customHeight="1">
      <c r="A25" s="343"/>
      <c r="C25" s="236" t="s">
        <v>291</v>
      </c>
      <c r="D25" s="237" t="s">
        <v>506</v>
      </c>
      <c r="E25" s="228"/>
      <c r="F25" s="228"/>
      <c r="G25" s="228"/>
      <c r="H25" s="228"/>
      <c r="I25" s="228"/>
      <c r="J25" s="228"/>
      <c r="K25" s="228"/>
      <c r="L25" s="228"/>
      <c r="M25" s="228"/>
      <c r="N25" s="228"/>
      <c r="O25" s="228"/>
      <c r="P25" s="228"/>
      <c r="Q25" s="228"/>
      <c r="R25" s="367"/>
      <c r="S25" s="367"/>
      <c r="T25" s="367"/>
      <c r="U25" s="367"/>
      <c r="V25" s="367"/>
      <c r="W25" s="367"/>
      <c r="X25" s="633">
        <v>27.9</v>
      </c>
      <c r="Y25" s="634"/>
      <c r="Z25" s="633">
        <v>32.256260129653398</v>
      </c>
      <c r="AA25" s="634"/>
      <c r="AB25" s="633">
        <v>32.938392930407019</v>
      </c>
      <c r="AC25" s="634"/>
      <c r="AD25" s="633">
        <v>26.8</v>
      </c>
      <c r="AE25" s="633"/>
      <c r="AF25" s="633">
        <v>26.1</v>
      </c>
      <c r="AG25" s="635"/>
      <c r="AH25" s="633">
        <v>25.9</v>
      </c>
      <c r="AI25" s="497"/>
      <c r="AJ25" s="497">
        <v>29.5</v>
      </c>
      <c r="AK25" s="497">
        <v>29.5</v>
      </c>
      <c r="AL25" s="497">
        <v>29.5</v>
      </c>
      <c r="AM25" s="497">
        <v>28.9</v>
      </c>
      <c r="AN25" s="497">
        <v>29.1</v>
      </c>
      <c r="AO25" s="497">
        <v>28.8</v>
      </c>
      <c r="AP25" s="497">
        <v>29.9</v>
      </c>
      <c r="AQ25" s="497">
        <v>29.5</v>
      </c>
      <c r="AR25" s="339"/>
      <c r="AS25" s="339"/>
      <c r="AT25" s="339"/>
      <c r="AU25" s="339"/>
      <c r="AV25" s="339"/>
      <c r="AW25" s="339"/>
      <c r="BC25" s="339"/>
      <c r="BD25" s="340"/>
      <c r="BE25" s="340"/>
      <c r="BG25" s="341"/>
      <c r="BK25" s="342"/>
    </row>
    <row r="26" spans="1:63" ht="12" customHeight="1">
      <c r="A26" s="343"/>
      <c r="C26" s="236" t="s">
        <v>411</v>
      </c>
      <c r="D26" s="237" t="s">
        <v>412</v>
      </c>
      <c r="E26" s="228"/>
      <c r="F26" s="228"/>
      <c r="G26" s="228"/>
      <c r="H26" s="228"/>
      <c r="I26" s="228"/>
      <c r="J26" s="228"/>
      <c r="K26" s="228"/>
      <c r="L26" s="228"/>
      <c r="M26" s="228"/>
      <c r="N26" s="228"/>
      <c r="O26" s="228"/>
      <c r="P26" s="228"/>
      <c r="Q26" s="228"/>
      <c r="R26" s="367"/>
      <c r="S26" s="367"/>
      <c r="T26" s="367"/>
      <c r="U26" s="367"/>
      <c r="V26" s="367"/>
      <c r="W26" s="367"/>
      <c r="X26" s="633">
        <v>16.8</v>
      </c>
      <c r="Y26" s="634"/>
      <c r="Z26" s="633">
        <v>21.534587472326514</v>
      </c>
      <c r="AA26" s="634"/>
      <c r="AB26" s="633">
        <v>22.063929041391642</v>
      </c>
      <c r="AC26" s="634"/>
      <c r="AD26" s="633">
        <v>17</v>
      </c>
      <c r="AE26" s="633"/>
      <c r="AF26" s="633">
        <v>17.3</v>
      </c>
      <c r="AG26" s="635"/>
      <c r="AH26" s="633">
        <v>16.8</v>
      </c>
      <c r="AI26" s="497"/>
      <c r="AJ26" s="497">
        <v>15.9</v>
      </c>
      <c r="AK26" s="497">
        <v>15.7</v>
      </c>
      <c r="AL26" s="497">
        <v>15.8</v>
      </c>
      <c r="AM26" s="497">
        <v>15.6</v>
      </c>
      <c r="AN26" s="497">
        <v>16</v>
      </c>
      <c r="AO26" s="497">
        <v>16.100000000000001</v>
      </c>
      <c r="AP26" s="497">
        <v>15.4</v>
      </c>
      <c r="AQ26" s="497">
        <v>15.4</v>
      </c>
      <c r="AR26" s="339"/>
      <c r="AS26" s="339"/>
      <c r="AT26" s="339"/>
      <c r="AU26" s="339"/>
      <c r="AV26" s="339"/>
      <c r="AW26" s="339"/>
      <c r="BC26" s="339"/>
      <c r="BD26" s="340"/>
      <c r="BE26" s="340"/>
      <c r="BG26" s="341"/>
      <c r="BK26" s="342"/>
    </row>
    <row r="27" spans="1:63" ht="12" customHeight="1">
      <c r="A27" s="343"/>
      <c r="C27" s="364">
        <v>2</v>
      </c>
      <c r="D27" s="237" t="s">
        <v>413</v>
      </c>
      <c r="E27" s="355"/>
      <c r="F27" s="355"/>
      <c r="G27" s="355"/>
      <c r="H27" s="355"/>
      <c r="I27" s="355"/>
      <c r="J27" s="355"/>
      <c r="K27" s="355"/>
      <c r="L27" s="355"/>
      <c r="M27" s="355"/>
      <c r="N27" s="355"/>
      <c r="O27" s="355"/>
      <c r="P27" s="356"/>
      <c r="Q27" s="356"/>
      <c r="R27" s="356"/>
      <c r="S27" s="356"/>
      <c r="T27" s="356"/>
      <c r="U27" s="356"/>
      <c r="V27" s="357"/>
      <c r="W27" s="354"/>
      <c r="X27" s="633">
        <v>25.3</v>
      </c>
      <c r="Y27" s="497"/>
      <c r="Z27" s="633"/>
      <c r="AA27" s="497"/>
      <c r="AB27" s="633"/>
      <c r="AC27" s="497"/>
      <c r="AD27" s="636"/>
      <c r="AE27" s="636"/>
      <c r="AF27" s="636"/>
      <c r="AG27" s="635"/>
      <c r="AH27" s="633"/>
      <c r="AI27" s="497"/>
      <c r="AJ27" s="497"/>
      <c r="AK27" s="497"/>
      <c r="AL27" s="497"/>
      <c r="AM27" s="497"/>
      <c r="AN27" s="497"/>
      <c r="AO27" s="497"/>
      <c r="AP27" s="497"/>
      <c r="AQ27" s="497"/>
      <c r="AR27" s="339"/>
      <c r="AS27" s="339"/>
      <c r="AT27" s="339"/>
      <c r="AU27" s="339"/>
      <c r="AV27" s="339"/>
      <c r="AW27" s="339"/>
      <c r="BC27" s="339"/>
      <c r="BD27" s="340"/>
      <c r="BE27" s="340"/>
      <c r="BG27" s="341"/>
      <c r="BK27" s="342"/>
    </row>
    <row r="28" spans="1:63" ht="12" customHeight="1">
      <c r="A28" s="343"/>
      <c r="C28" s="236" t="s">
        <v>414</v>
      </c>
      <c r="D28" s="237" t="s">
        <v>12</v>
      </c>
      <c r="E28" s="355"/>
      <c r="F28" s="355"/>
      <c r="G28" s="355"/>
      <c r="H28" s="355"/>
      <c r="I28" s="355"/>
      <c r="J28" s="355"/>
      <c r="K28" s="355"/>
      <c r="L28" s="355"/>
      <c r="M28" s="355"/>
      <c r="N28" s="355"/>
      <c r="O28" s="355"/>
      <c r="P28" s="356"/>
      <c r="Q28" s="356"/>
      <c r="R28" s="356"/>
      <c r="S28" s="356"/>
      <c r="T28" s="356"/>
      <c r="U28" s="356"/>
      <c r="V28" s="357"/>
      <c r="W28" s="354"/>
      <c r="X28" s="633">
        <v>23.5</v>
      </c>
      <c r="Y28" s="497"/>
      <c r="Z28" s="633">
        <v>24.06253730400503</v>
      </c>
      <c r="AA28" s="497"/>
      <c r="AB28" s="633">
        <v>24.321387868151717</v>
      </c>
      <c r="AC28" s="497"/>
      <c r="AD28" s="633">
        <v>25.5</v>
      </c>
      <c r="AE28" s="633"/>
      <c r="AF28" s="633">
        <v>25.5</v>
      </c>
      <c r="AG28" s="635"/>
      <c r="AH28" s="633">
        <v>25.5</v>
      </c>
      <c r="AI28" s="497"/>
      <c r="AJ28" s="497">
        <v>22</v>
      </c>
      <c r="AK28" s="497">
        <v>21.5</v>
      </c>
      <c r="AL28" s="497">
        <v>22.3</v>
      </c>
      <c r="AM28" s="497">
        <v>21.8</v>
      </c>
      <c r="AN28" s="497">
        <v>21.9</v>
      </c>
      <c r="AO28" s="497">
        <v>22</v>
      </c>
      <c r="AP28" s="497">
        <v>21.6</v>
      </c>
      <c r="AQ28" s="497">
        <v>21.4</v>
      </c>
      <c r="AR28" s="339"/>
      <c r="AS28" s="339"/>
      <c r="AT28" s="339"/>
      <c r="AU28" s="339"/>
      <c r="AV28" s="339"/>
      <c r="AW28" s="339"/>
      <c r="BC28" s="339"/>
      <c r="BD28" s="340"/>
      <c r="BE28" s="340"/>
      <c r="BG28" s="341"/>
      <c r="BK28" s="342"/>
    </row>
    <row r="29" spans="1:63" ht="12" customHeight="1">
      <c r="A29" s="343"/>
      <c r="C29" s="236" t="s">
        <v>507</v>
      </c>
      <c r="D29" s="237" t="s">
        <v>412</v>
      </c>
      <c r="E29" s="355"/>
      <c r="F29" s="355"/>
      <c r="G29" s="355"/>
      <c r="H29" s="355"/>
      <c r="I29" s="355"/>
      <c r="J29" s="355"/>
      <c r="K29" s="355"/>
      <c r="L29" s="355"/>
      <c r="M29" s="355"/>
      <c r="N29" s="355"/>
      <c r="O29" s="355"/>
      <c r="P29" s="356"/>
      <c r="Q29" s="356"/>
      <c r="R29" s="356"/>
      <c r="S29" s="356"/>
      <c r="T29" s="356"/>
      <c r="U29" s="356"/>
      <c r="V29" s="357"/>
      <c r="W29" s="354"/>
      <c r="X29" s="633">
        <v>29.5</v>
      </c>
      <c r="Y29" s="497"/>
      <c r="Z29" s="633">
        <v>24.06253730400503</v>
      </c>
      <c r="AA29" s="497"/>
      <c r="AB29" s="633">
        <v>24.321387868151717</v>
      </c>
      <c r="AC29" s="497"/>
      <c r="AD29" s="636">
        <v>25.5</v>
      </c>
      <c r="AE29" s="636"/>
      <c r="AF29" s="636">
        <v>25.5</v>
      </c>
      <c r="AG29" s="635"/>
      <c r="AH29" s="636">
        <v>25.5</v>
      </c>
      <c r="AI29" s="635"/>
      <c r="AJ29" s="497">
        <v>22</v>
      </c>
      <c r="AK29" s="497">
        <v>21.5</v>
      </c>
      <c r="AL29" s="497">
        <v>22.3</v>
      </c>
      <c r="AM29" s="497">
        <v>21.8</v>
      </c>
      <c r="AN29" s="497">
        <v>21.9</v>
      </c>
      <c r="AO29" s="497">
        <v>22</v>
      </c>
      <c r="AP29" s="497">
        <v>21.6</v>
      </c>
      <c r="AQ29" s="497">
        <v>21.4</v>
      </c>
      <c r="AR29" s="339"/>
      <c r="AS29" s="339"/>
      <c r="AT29" s="339"/>
      <c r="AU29" s="339"/>
      <c r="AV29" s="339"/>
      <c r="AW29" s="339"/>
      <c r="BC29" s="339"/>
      <c r="BD29" s="340"/>
      <c r="BE29" s="340"/>
      <c r="BG29" s="341"/>
      <c r="BK29" s="342"/>
    </row>
    <row r="30" spans="1:63" ht="12" customHeight="1">
      <c r="A30" s="343"/>
      <c r="C30" s="364">
        <v>3</v>
      </c>
      <c r="D30" s="237" t="s">
        <v>14</v>
      </c>
      <c r="E30" s="355"/>
      <c r="F30" s="355"/>
      <c r="G30" s="355"/>
      <c r="H30" s="355"/>
      <c r="I30" s="355"/>
      <c r="J30" s="355"/>
      <c r="K30" s="355"/>
      <c r="L30" s="355"/>
      <c r="M30" s="355"/>
      <c r="N30" s="355"/>
      <c r="O30" s="355"/>
      <c r="P30" s="356"/>
      <c r="Q30" s="356"/>
      <c r="R30" s="356"/>
      <c r="S30" s="356"/>
      <c r="T30" s="356"/>
      <c r="U30" s="356"/>
      <c r="V30" s="357"/>
      <c r="W30" s="354"/>
      <c r="X30" s="633"/>
      <c r="Y30" s="497"/>
      <c r="Z30" s="633"/>
      <c r="AA30" s="497"/>
      <c r="AB30" s="633"/>
      <c r="AC30" s="497"/>
      <c r="AD30" s="633"/>
      <c r="AE30" s="633"/>
      <c r="AF30" s="633"/>
      <c r="AG30" s="635"/>
      <c r="AH30" s="633"/>
      <c r="AI30" s="635"/>
      <c r="AJ30" s="497"/>
      <c r="AK30" s="497"/>
      <c r="AL30" s="497"/>
      <c r="AM30" s="497"/>
      <c r="AN30" s="497"/>
      <c r="AO30" s="497"/>
      <c r="AP30" s="497"/>
      <c r="AQ30" s="497"/>
      <c r="AR30" s="339"/>
      <c r="AS30" s="339"/>
      <c r="AT30" s="339"/>
      <c r="AU30" s="339"/>
      <c r="AV30" s="339"/>
      <c r="AW30" s="339"/>
      <c r="BC30" s="339"/>
      <c r="BD30" s="340"/>
      <c r="BE30" s="340"/>
      <c r="BG30" s="341"/>
      <c r="BK30" s="342"/>
    </row>
    <row r="31" spans="1:63" ht="12" customHeight="1">
      <c r="A31" s="343"/>
      <c r="C31" s="236" t="s">
        <v>415</v>
      </c>
      <c r="D31" s="237" t="s">
        <v>15</v>
      </c>
      <c r="E31" s="355"/>
      <c r="F31" s="355"/>
      <c r="G31" s="355"/>
      <c r="H31" s="355"/>
      <c r="I31" s="355"/>
      <c r="J31" s="355"/>
      <c r="K31" s="355"/>
      <c r="L31" s="355"/>
      <c r="M31" s="355"/>
      <c r="N31" s="355"/>
      <c r="O31" s="355"/>
      <c r="P31" s="356"/>
      <c r="Q31" s="356"/>
      <c r="R31" s="356"/>
      <c r="S31" s="356"/>
      <c r="T31" s="356"/>
      <c r="U31" s="356"/>
      <c r="V31" s="357"/>
      <c r="W31" s="354"/>
      <c r="X31" s="633">
        <v>20.399999999999999</v>
      </c>
      <c r="Y31" s="497"/>
      <c r="Z31" s="633">
        <v>27.129389132545917</v>
      </c>
      <c r="AA31" s="497"/>
      <c r="AB31" s="633">
        <v>27.638903035078659</v>
      </c>
      <c r="AC31" s="497"/>
      <c r="AD31" s="633">
        <v>27.638903035078659</v>
      </c>
      <c r="AE31" s="633"/>
      <c r="AF31" s="633" t="s">
        <v>1413</v>
      </c>
      <c r="AG31" s="635"/>
      <c r="AH31" s="633" t="s">
        <v>1413</v>
      </c>
      <c r="AI31" s="635"/>
      <c r="AJ31" s="497">
        <v>23.6</v>
      </c>
      <c r="AK31" s="497">
        <v>23.1</v>
      </c>
      <c r="AL31" s="497">
        <v>23.3</v>
      </c>
      <c r="AM31" s="497">
        <v>23</v>
      </c>
      <c r="AN31" s="497">
        <v>23.7</v>
      </c>
      <c r="AO31" s="497">
        <v>23.9</v>
      </c>
      <c r="AP31" s="497">
        <v>23.6</v>
      </c>
      <c r="AQ31" s="497">
        <v>24</v>
      </c>
      <c r="AR31" s="339"/>
      <c r="AS31" s="339"/>
      <c r="AT31" s="339"/>
      <c r="AU31" s="339"/>
      <c r="AV31" s="339"/>
      <c r="AW31" s="339"/>
      <c r="BC31" s="339"/>
      <c r="BD31" s="340"/>
      <c r="BE31" s="340"/>
      <c r="BG31" s="341"/>
      <c r="BK31" s="342"/>
    </row>
    <row r="32" spans="1:63" ht="12" customHeight="1">
      <c r="A32" s="343"/>
      <c r="C32" s="364">
        <v>6</v>
      </c>
      <c r="D32" s="237" t="s">
        <v>425</v>
      </c>
      <c r="E32" s="355"/>
      <c r="F32" s="355"/>
      <c r="G32" s="355"/>
      <c r="H32" s="355"/>
      <c r="I32" s="355"/>
      <c r="J32" s="355"/>
      <c r="K32" s="355"/>
      <c r="L32" s="355"/>
      <c r="M32" s="355"/>
      <c r="N32" s="355"/>
      <c r="O32" s="355"/>
      <c r="P32" s="356"/>
      <c r="Q32" s="356"/>
      <c r="R32" s="356"/>
      <c r="S32" s="356"/>
      <c r="T32" s="356"/>
      <c r="U32" s="356"/>
      <c r="V32" s="357"/>
      <c r="W32" s="354"/>
      <c r="X32" s="633"/>
      <c r="Y32" s="497"/>
      <c r="Z32" s="633"/>
      <c r="AA32" s="497"/>
      <c r="AB32" s="633"/>
      <c r="AC32" s="497"/>
      <c r="AD32" s="636"/>
      <c r="AE32" s="636"/>
      <c r="AF32" s="636"/>
      <c r="AG32" s="635"/>
      <c r="AH32" s="633"/>
      <c r="AI32" s="497"/>
      <c r="AJ32" s="497"/>
      <c r="AK32" s="497"/>
      <c r="AL32" s="497"/>
      <c r="AM32" s="497"/>
      <c r="AN32" s="497"/>
      <c r="AO32" s="497"/>
      <c r="AP32" s="497"/>
      <c r="AQ32" s="497"/>
      <c r="AR32" s="339"/>
      <c r="AS32" s="339"/>
      <c r="AT32" s="339"/>
      <c r="AU32" s="339"/>
      <c r="AV32" s="339"/>
      <c r="AW32" s="339"/>
      <c r="BC32" s="339"/>
      <c r="BD32" s="340"/>
      <c r="BE32" s="340"/>
      <c r="BG32" s="341"/>
      <c r="BK32" s="342"/>
    </row>
    <row r="33" spans="1:63" ht="12" customHeight="1">
      <c r="A33" s="343"/>
      <c r="C33" s="236" t="s">
        <v>426</v>
      </c>
      <c r="D33" s="237" t="s">
        <v>427</v>
      </c>
      <c r="E33" s="355"/>
      <c r="F33" s="355"/>
      <c r="G33" s="355"/>
      <c r="H33" s="355"/>
      <c r="I33" s="355"/>
      <c r="J33" s="355"/>
      <c r="K33" s="355"/>
      <c r="L33" s="355"/>
      <c r="M33" s="355"/>
      <c r="N33" s="355"/>
      <c r="O33" s="355"/>
      <c r="P33" s="356"/>
      <c r="Q33" s="356"/>
      <c r="R33" s="356"/>
      <c r="S33" s="356"/>
      <c r="T33" s="356"/>
      <c r="U33" s="356"/>
      <c r="V33" s="357"/>
      <c r="W33" s="354"/>
      <c r="X33" s="633">
        <v>21.6</v>
      </c>
      <c r="Y33" s="497"/>
      <c r="Z33" s="633">
        <v>25.52411766350912</v>
      </c>
      <c r="AA33" s="497"/>
      <c r="AB33" s="633">
        <v>25.779333636062962</v>
      </c>
      <c r="AC33" s="497"/>
      <c r="AD33" s="633">
        <v>24.2</v>
      </c>
      <c r="AE33" s="633"/>
      <c r="AF33" s="633">
        <v>23.7</v>
      </c>
      <c r="AG33" s="635"/>
      <c r="AH33" s="633">
        <v>22.8</v>
      </c>
      <c r="AI33" s="497"/>
      <c r="AJ33" s="497">
        <v>23.8</v>
      </c>
      <c r="AK33" s="497">
        <v>22.9</v>
      </c>
      <c r="AL33" s="497">
        <v>23.1</v>
      </c>
      <c r="AM33" s="497">
        <v>21.5</v>
      </c>
      <c r="AN33" s="497">
        <v>22.2</v>
      </c>
      <c r="AO33" s="497">
        <v>22.6</v>
      </c>
      <c r="AP33" s="497">
        <v>25.1</v>
      </c>
      <c r="AQ33" s="497">
        <v>24.2</v>
      </c>
      <c r="AR33" s="339"/>
      <c r="AS33" s="339"/>
      <c r="AT33" s="339"/>
      <c r="AU33" s="339"/>
      <c r="AV33" s="339"/>
      <c r="AW33" s="339"/>
      <c r="BC33" s="339"/>
      <c r="BD33" s="340"/>
      <c r="BE33" s="340"/>
      <c r="BG33" s="341"/>
      <c r="BK33" s="342"/>
    </row>
    <row r="34" spans="1:63" ht="12" customHeight="1">
      <c r="A34" s="343"/>
      <c r="C34" s="236" t="s">
        <v>428</v>
      </c>
      <c r="D34" s="237" t="s">
        <v>429</v>
      </c>
      <c r="E34" s="355"/>
      <c r="F34" s="355"/>
      <c r="G34" s="355"/>
      <c r="H34" s="355"/>
      <c r="I34" s="355"/>
      <c r="J34" s="355"/>
      <c r="K34" s="355"/>
      <c r="L34" s="355"/>
      <c r="M34" s="355"/>
      <c r="N34" s="355"/>
      <c r="O34" s="355"/>
      <c r="P34" s="356"/>
      <c r="Q34" s="356"/>
      <c r="R34" s="356"/>
      <c r="S34" s="356"/>
      <c r="T34" s="356"/>
      <c r="U34" s="356"/>
      <c r="V34" s="357"/>
      <c r="W34" s="354"/>
      <c r="X34" s="633">
        <v>14.6</v>
      </c>
      <c r="Y34" s="497"/>
      <c r="Z34" s="633">
        <v>16.452832423050364</v>
      </c>
      <c r="AA34" s="497"/>
      <c r="AB34" s="633">
        <v>16.4682584346337</v>
      </c>
      <c r="AC34" s="497"/>
      <c r="AD34" s="633">
        <v>16.2</v>
      </c>
      <c r="AE34" s="633"/>
      <c r="AF34" s="633">
        <v>16.2</v>
      </c>
      <c r="AG34" s="635"/>
      <c r="AH34" s="633">
        <v>16.2</v>
      </c>
      <c r="AI34" s="497"/>
      <c r="AJ34" s="497">
        <v>18.5</v>
      </c>
      <c r="AK34" s="497">
        <v>17.3</v>
      </c>
      <c r="AL34" s="497">
        <v>17.600000000000001</v>
      </c>
      <c r="AM34" s="497">
        <v>17.399999999999999</v>
      </c>
      <c r="AN34" s="497">
        <v>17.399999999999999</v>
      </c>
      <c r="AO34" s="497">
        <v>17.600000000000001</v>
      </c>
      <c r="AP34" s="497">
        <v>16.2</v>
      </c>
      <c r="AQ34" s="497">
        <v>15.6</v>
      </c>
      <c r="AR34" s="339"/>
      <c r="AS34" s="339"/>
      <c r="AT34" s="339"/>
      <c r="AU34" s="339"/>
      <c r="AV34" s="339"/>
      <c r="AW34" s="339"/>
      <c r="BC34" s="339"/>
      <c r="BD34" s="340"/>
      <c r="BE34" s="340"/>
      <c r="BG34" s="341"/>
      <c r="BK34" s="342"/>
    </row>
    <row r="35" spans="1:63" ht="12" customHeight="1">
      <c r="A35" s="343"/>
      <c r="C35" s="364">
        <v>8</v>
      </c>
      <c r="D35" s="237" t="s">
        <v>511</v>
      </c>
      <c r="E35" s="355"/>
      <c r="F35" s="355"/>
      <c r="G35" s="355"/>
      <c r="H35" s="355"/>
      <c r="I35" s="355"/>
      <c r="J35" s="355"/>
      <c r="K35" s="355"/>
      <c r="L35" s="355"/>
      <c r="M35" s="355"/>
      <c r="N35" s="355"/>
      <c r="O35" s="355"/>
      <c r="P35" s="356"/>
      <c r="Q35" s="356"/>
      <c r="R35" s="356"/>
      <c r="S35" s="356"/>
      <c r="T35" s="356"/>
      <c r="U35" s="356"/>
      <c r="V35" s="357"/>
      <c r="W35" s="354"/>
      <c r="X35" s="633"/>
      <c r="Y35" s="497"/>
      <c r="Z35" s="633"/>
      <c r="AA35" s="497"/>
      <c r="AB35" s="633"/>
      <c r="AC35" s="497"/>
      <c r="AD35" s="636"/>
      <c r="AE35" s="636"/>
      <c r="AF35" s="636"/>
      <c r="AG35" s="635"/>
      <c r="AH35" s="633"/>
      <c r="AI35" s="497"/>
      <c r="AJ35" s="497"/>
      <c r="AK35" s="497"/>
      <c r="AL35" s="497"/>
      <c r="AM35" s="497"/>
      <c r="AN35" s="497"/>
      <c r="AO35" s="497"/>
      <c r="AP35" s="497"/>
      <c r="AQ35" s="497"/>
      <c r="AR35" s="339"/>
      <c r="AS35" s="339"/>
      <c r="AT35" s="339"/>
      <c r="AU35" s="339"/>
      <c r="AV35" s="339"/>
      <c r="AW35" s="339"/>
      <c r="BC35" s="339"/>
      <c r="BD35" s="340"/>
      <c r="BE35" s="340"/>
      <c r="BG35" s="341"/>
      <c r="BK35" s="342"/>
    </row>
    <row r="36" spans="1:63" ht="12" customHeight="1">
      <c r="A36" s="343"/>
      <c r="C36" s="236" t="s">
        <v>512</v>
      </c>
      <c r="D36" s="237" t="s">
        <v>513</v>
      </c>
      <c r="E36" s="355"/>
      <c r="F36" s="355"/>
      <c r="G36" s="355"/>
      <c r="H36" s="355"/>
      <c r="I36" s="355"/>
      <c r="J36" s="355"/>
      <c r="K36" s="355"/>
      <c r="L36" s="355"/>
      <c r="M36" s="355"/>
      <c r="N36" s="355"/>
      <c r="O36" s="355"/>
      <c r="P36" s="356"/>
      <c r="Q36" s="356"/>
      <c r="R36" s="356"/>
      <c r="S36" s="356"/>
      <c r="T36" s="356"/>
      <c r="U36" s="356"/>
      <c r="V36" s="357"/>
      <c r="W36" s="354"/>
      <c r="X36" s="633">
        <v>14</v>
      </c>
      <c r="Y36" s="497"/>
      <c r="Z36" s="633">
        <v>16.452832423050364</v>
      </c>
      <c r="AA36" s="497"/>
      <c r="AB36" s="633">
        <v>16.4682584346337</v>
      </c>
      <c r="AC36" s="497"/>
      <c r="AD36" s="633">
        <v>16.2</v>
      </c>
      <c r="AE36" s="633"/>
      <c r="AF36" s="633">
        <v>16.2</v>
      </c>
      <c r="AG36" s="635"/>
      <c r="AH36" s="633">
        <v>16.2</v>
      </c>
      <c r="AI36" s="497"/>
      <c r="AJ36" s="497">
        <v>18.5</v>
      </c>
      <c r="AK36" s="497">
        <v>17.600000000000001</v>
      </c>
      <c r="AL36" s="497">
        <v>17.5</v>
      </c>
      <c r="AM36" s="497">
        <v>17.3</v>
      </c>
      <c r="AN36" s="497">
        <v>17.600000000000001</v>
      </c>
      <c r="AO36" s="497">
        <v>17.600000000000001</v>
      </c>
      <c r="AP36" s="497">
        <v>18.5</v>
      </c>
      <c r="AQ36" s="497">
        <v>18.2</v>
      </c>
      <c r="AR36" s="339"/>
      <c r="AS36" s="339"/>
      <c r="AT36" s="339"/>
      <c r="AU36" s="339"/>
      <c r="AV36" s="339"/>
      <c r="AW36" s="339"/>
      <c r="BC36" s="339"/>
      <c r="BD36" s="340"/>
      <c r="BE36" s="340"/>
      <c r="BG36" s="341"/>
      <c r="BK36" s="342"/>
    </row>
    <row r="37" spans="1:63" ht="12" customHeight="1">
      <c r="A37" s="343"/>
      <c r="B37" s="237"/>
      <c r="C37" s="236">
        <v>9</v>
      </c>
      <c r="D37" s="237" t="s">
        <v>1022</v>
      </c>
      <c r="E37" s="237"/>
      <c r="F37" s="237"/>
      <c r="G37" s="237"/>
      <c r="H37" s="237"/>
      <c r="I37" s="237"/>
      <c r="J37" s="237"/>
      <c r="K37" s="237"/>
      <c r="L37" s="237"/>
      <c r="M37" s="237"/>
      <c r="N37" s="237"/>
      <c r="O37" s="237"/>
      <c r="P37" s="237"/>
      <c r="Q37" s="237"/>
      <c r="R37" s="237"/>
      <c r="S37" s="237"/>
      <c r="T37" s="237"/>
      <c r="U37" s="237"/>
      <c r="V37" s="237"/>
      <c r="W37" s="237"/>
      <c r="X37" s="633">
        <v>25.5</v>
      </c>
      <c r="Y37" s="633"/>
      <c r="Z37" s="633">
        <v>32.517846605963207</v>
      </c>
      <c r="AA37" s="633"/>
      <c r="AB37" s="633">
        <v>33.4</v>
      </c>
      <c r="AC37" s="633"/>
      <c r="AD37" s="633">
        <v>27</v>
      </c>
      <c r="AE37" s="633"/>
      <c r="AF37" s="633">
        <v>26.7</v>
      </c>
      <c r="AG37" s="635"/>
      <c r="AH37" s="633">
        <v>26.7</v>
      </c>
      <c r="AI37" s="497"/>
      <c r="AJ37" s="497">
        <v>26.1</v>
      </c>
      <c r="AK37" s="497">
        <v>25.9</v>
      </c>
      <c r="AL37" s="497">
        <v>26.2</v>
      </c>
      <c r="AM37" s="497">
        <v>25.3</v>
      </c>
      <c r="AN37" s="497">
        <v>26.3</v>
      </c>
      <c r="AO37" s="497">
        <v>26.3</v>
      </c>
      <c r="AP37" s="497">
        <v>24.9</v>
      </c>
      <c r="AQ37" s="497">
        <v>24.6</v>
      </c>
      <c r="AR37" s="339"/>
      <c r="AS37" s="339"/>
      <c r="AT37" s="339"/>
      <c r="AU37" s="339"/>
      <c r="AV37" s="339"/>
      <c r="AW37" s="339"/>
      <c r="BC37" s="339"/>
      <c r="BD37" s="340"/>
      <c r="BE37" s="340"/>
      <c r="BG37" s="341"/>
      <c r="BK37" s="342"/>
    </row>
    <row r="38" spans="1:63" ht="12" customHeight="1">
      <c r="A38" s="343"/>
      <c r="B38" s="238"/>
      <c r="C38" s="238"/>
      <c r="D38" s="238"/>
      <c r="E38" s="238"/>
      <c r="F38" s="238"/>
      <c r="G38" s="238"/>
      <c r="H38" s="238"/>
      <c r="I38" s="238"/>
      <c r="J38" s="238"/>
      <c r="K38" s="238"/>
      <c r="L38" s="238"/>
      <c r="M38" s="238"/>
      <c r="N38" s="238"/>
      <c r="O38" s="238"/>
      <c r="P38" s="238"/>
      <c r="Q38" s="238"/>
      <c r="R38" s="238"/>
      <c r="S38" s="238"/>
      <c r="T38" s="238"/>
      <c r="U38" s="238"/>
      <c r="V38" s="238"/>
      <c r="W38" s="238"/>
      <c r="X38" s="230"/>
      <c r="Y38" s="230"/>
      <c r="Z38" s="230"/>
      <c r="AA38" s="230"/>
      <c r="AB38" s="230"/>
      <c r="AC38" s="230"/>
      <c r="AD38" s="230"/>
      <c r="AE38" s="230"/>
      <c r="AF38" s="230"/>
      <c r="AG38" s="368"/>
      <c r="AH38" s="368"/>
      <c r="AI38" s="368"/>
      <c r="AJ38" s="368"/>
      <c r="AK38" s="368"/>
      <c r="AL38" s="368"/>
      <c r="AM38" s="368"/>
      <c r="AN38" s="368"/>
      <c r="AO38" s="368"/>
      <c r="AP38" s="368"/>
      <c r="AQ38" s="368"/>
      <c r="AR38" s="339"/>
      <c r="AS38" s="339"/>
      <c r="AT38" s="339"/>
      <c r="AU38" s="339"/>
      <c r="AV38" s="339"/>
      <c r="AW38" s="339"/>
      <c r="BC38" s="339"/>
      <c r="BD38" s="340"/>
      <c r="BE38" s="340"/>
      <c r="BG38" s="341"/>
      <c r="BK38" s="342"/>
    </row>
    <row r="39" spans="1:63" ht="5.25" customHeight="1">
      <c r="A39" s="343"/>
      <c r="B39" s="369"/>
      <c r="E39" s="355"/>
      <c r="F39" s="355"/>
      <c r="G39" s="355"/>
      <c r="H39" s="355"/>
      <c r="I39" s="355"/>
      <c r="J39" s="355"/>
      <c r="K39" s="355"/>
      <c r="L39" s="355"/>
      <c r="M39" s="355"/>
      <c r="N39" s="355"/>
      <c r="O39" s="355"/>
      <c r="P39" s="356"/>
      <c r="Q39" s="356"/>
      <c r="R39" s="356"/>
      <c r="S39" s="356"/>
      <c r="T39" s="356"/>
      <c r="U39" s="356"/>
      <c r="V39" s="357"/>
      <c r="W39" s="354"/>
      <c r="X39" s="366"/>
      <c r="Y39" s="366"/>
      <c r="Z39" s="366"/>
      <c r="AA39" s="366"/>
      <c r="AB39" s="366"/>
      <c r="AC39" s="366"/>
      <c r="AD39" s="366"/>
      <c r="AE39" s="366"/>
      <c r="AF39" s="366"/>
      <c r="AG39" s="349"/>
      <c r="AH39" s="339"/>
      <c r="AI39" s="339"/>
      <c r="AJ39" s="339"/>
      <c r="AK39" s="339"/>
      <c r="AL39" s="339"/>
      <c r="AM39" s="339"/>
      <c r="AN39" s="339"/>
      <c r="AO39" s="339"/>
      <c r="AP39" s="339"/>
      <c r="AQ39" s="339"/>
      <c r="AR39" s="339"/>
      <c r="AS39" s="339"/>
      <c r="AT39" s="339"/>
      <c r="AU39" s="339"/>
      <c r="AV39" s="339"/>
      <c r="AW39" s="339"/>
      <c r="BC39" s="339"/>
      <c r="BD39" s="340"/>
      <c r="BE39" s="340"/>
      <c r="BG39" s="341"/>
      <c r="BK39" s="342"/>
    </row>
    <row r="40" spans="1:63" ht="12" customHeight="1">
      <c r="A40" s="343"/>
      <c r="B40" s="228" t="s">
        <v>1414</v>
      </c>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339"/>
      <c r="AQ40" s="339"/>
      <c r="AR40" s="339"/>
      <c r="AS40" s="339"/>
      <c r="AT40" s="339"/>
      <c r="AU40" s="339"/>
      <c r="AV40" s="339"/>
      <c r="AW40" s="339"/>
      <c r="BC40" s="339"/>
      <c r="BD40" s="340"/>
      <c r="BE40" s="340"/>
      <c r="BG40" s="341"/>
      <c r="BK40" s="342"/>
    </row>
    <row r="41" spans="1:63" ht="39.75" customHeight="1">
      <c r="A41" s="343"/>
      <c r="B41" s="1955" t="s">
        <v>1538</v>
      </c>
      <c r="C41" s="1955"/>
      <c r="D41" s="1955"/>
      <c r="E41" s="1955"/>
      <c r="F41" s="1955"/>
      <c r="G41" s="1955"/>
      <c r="H41" s="1955"/>
      <c r="I41" s="1955"/>
      <c r="J41" s="1955"/>
      <c r="K41" s="1955"/>
      <c r="L41" s="1955"/>
      <c r="M41" s="1955"/>
      <c r="N41" s="1955"/>
      <c r="O41" s="1955"/>
      <c r="P41" s="1955"/>
      <c r="Q41" s="1955"/>
      <c r="R41" s="1955"/>
      <c r="S41" s="1955"/>
      <c r="T41" s="1955"/>
      <c r="U41" s="1955"/>
      <c r="V41" s="1955"/>
      <c r="W41" s="1955"/>
      <c r="X41" s="1955"/>
      <c r="Y41" s="1955"/>
      <c r="Z41" s="1955"/>
      <c r="AA41" s="1955"/>
      <c r="AB41" s="1955"/>
      <c r="AC41" s="1955"/>
      <c r="AD41" s="1955"/>
      <c r="AE41" s="1955"/>
      <c r="AF41" s="1955"/>
      <c r="AG41" s="1955"/>
      <c r="AH41" s="1955"/>
      <c r="AI41" s="1955"/>
      <c r="AJ41" s="1955"/>
      <c r="AK41" s="1955"/>
      <c r="AL41" s="1955"/>
      <c r="AM41" s="1955"/>
      <c r="AN41" s="1955"/>
      <c r="AO41" s="1955"/>
      <c r="AP41" s="339"/>
      <c r="AQ41" s="339"/>
      <c r="AR41" s="339"/>
      <c r="AS41" s="339"/>
      <c r="AT41" s="339"/>
      <c r="AU41" s="339"/>
      <c r="AV41" s="339"/>
      <c r="AW41" s="339"/>
      <c r="BC41" s="339"/>
      <c r="BD41" s="340"/>
      <c r="BE41" s="340"/>
      <c r="BG41" s="341"/>
      <c r="BK41" s="342"/>
    </row>
    <row r="42" spans="1:63" ht="3.75" customHeight="1">
      <c r="A42" s="343"/>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339"/>
      <c r="AQ42" s="339"/>
      <c r="AR42" s="339"/>
      <c r="AS42" s="339"/>
      <c r="AT42" s="339"/>
      <c r="AU42" s="339"/>
      <c r="AV42" s="339"/>
      <c r="AW42" s="339"/>
      <c r="BC42" s="339"/>
      <c r="BD42" s="340"/>
      <c r="BE42" s="340"/>
      <c r="BG42" s="341"/>
      <c r="BK42" s="342"/>
    </row>
    <row r="43" spans="1:63" ht="12" customHeight="1">
      <c r="A43" s="343"/>
      <c r="B43" s="228" t="s">
        <v>1415</v>
      </c>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339"/>
      <c r="AQ43" s="339"/>
      <c r="AR43" s="339"/>
      <c r="AS43" s="339"/>
      <c r="AT43" s="339"/>
      <c r="AU43" s="339"/>
      <c r="AV43" s="339"/>
      <c r="AW43" s="339"/>
      <c r="BC43" s="339"/>
      <c r="BD43" s="340"/>
      <c r="BE43" s="340"/>
      <c r="BG43" s="341"/>
      <c r="BK43" s="342"/>
    </row>
    <row r="44" spans="1:63" ht="12" customHeight="1">
      <c r="A44" s="343"/>
      <c r="B44" s="228"/>
      <c r="E44" s="355"/>
      <c r="F44" s="355"/>
      <c r="G44" s="355"/>
      <c r="H44" s="355"/>
      <c r="I44" s="355"/>
      <c r="J44" s="355"/>
      <c r="K44" s="355"/>
      <c r="L44" s="355"/>
      <c r="M44" s="355"/>
      <c r="N44" s="355"/>
      <c r="O44" s="355"/>
      <c r="P44" s="356"/>
      <c r="Q44" s="356"/>
      <c r="R44" s="356"/>
      <c r="S44" s="356"/>
      <c r="T44" s="356"/>
      <c r="U44" s="356"/>
      <c r="V44" s="357"/>
      <c r="W44" s="354"/>
      <c r="X44" s="366"/>
      <c r="Y44" s="366"/>
      <c r="Z44" s="366"/>
      <c r="AA44" s="366"/>
      <c r="AB44" s="366"/>
      <c r="AC44" s="366"/>
      <c r="AD44" s="366"/>
      <c r="AE44" s="366"/>
      <c r="AF44" s="366"/>
      <c r="AG44" s="349"/>
      <c r="AH44" s="339"/>
      <c r="AI44" s="339"/>
      <c r="AJ44" s="339"/>
      <c r="AK44" s="339"/>
      <c r="AL44" s="339"/>
      <c r="AM44" s="339"/>
      <c r="AN44" s="339"/>
      <c r="AO44" s="339"/>
      <c r="AP44" s="339"/>
      <c r="AQ44" s="339"/>
      <c r="AR44" s="339"/>
      <c r="AS44" s="339"/>
      <c r="AT44" s="339"/>
      <c r="AU44" s="339"/>
      <c r="AV44" s="339"/>
      <c r="AW44" s="339"/>
      <c r="BC44" s="339"/>
      <c r="BD44" s="340"/>
      <c r="BE44" s="340"/>
      <c r="BG44" s="341"/>
      <c r="BK44" s="342"/>
    </row>
    <row r="45" spans="1:63" ht="12" hidden="1" customHeight="1">
      <c r="A45" s="343"/>
      <c r="B45" s="228"/>
      <c r="E45" s="355"/>
      <c r="F45" s="355"/>
      <c r="G45" s="355"/>
      <c r="H45" s="355"/>
      <c r="I45" s="355"/>
      <c r="J45" s="355"/>
      <c r="K45" s="355"/>
      <c r="L45" s="355"/>
      <c r="M45" s="355"/>
      <c r="N45" s="355"/>
      <c r="O45" s="355"/>
      <c r="P45" s="356"/>
      <c r="Q45" s="356"/>
      <c r="R45" s="356"/>
      <c r="S45" s="356"/>
      <c r="T45" s="356"/>
      <c r="U45" s="356"/>
      <c r="V45" s="357"/>
      <c r="W45" s="354"/>
      <c r="X45" s="366"/>
      <c r="Y45" s="366"/>
      <c r="Z45" s="366"/>
      <c r="AA45" s="366"/>
      <c r="AB45" s="366"/>
      <c r="AC45" s="366"/>
      <c r="AD45" s="366"/>
      <c r="AE45" s="366"/>
      <c r="AF45" s="366"/>
      <c r="AG45" s="349"/>
      <c r="AH45" s="339"/>
      <c r="AI45" s="339"/>
      <c r="AJ45" s="339"/>
      <c r="AK45" s="339"/>
      <c r="AL45" s="339"/>
      <c r="AM45" s="339"/>
      <c r="AN45" s="339"/>
      <c r="AO45" s="339"/>
      <c r="AP45" s="339"/>
      <c r="AQ45" s="339"/>
      <c r="AR45" s="339"/>
      <c r="AS45" s="339"/>
      <c r="AT45" s="339"/>
      <c r="AU45" s="339"/>
      <c r="AV45" s="339"/>
      <c r="AW45" s="339"/>
      <c r="BC45" s="339"/>
      <c r="BD45" s="340"/>
      <c r="BE45" s="340"/>
      <c r="BG45" s="341"/>
      <c r="BK45" s="342"/>
    </row>
    <row r="46" spans="1:63" ht="12" hidden="1" customHeight="1">
      <c r="A46" s="343"/>
      <c r="B46" s="228"/>
      <c r="E46" s="355"/>
      <c r="F46" s="355"/>
      <c r="G46" s="355"/>
      <c r="H46" s="355"/>
      <c r="I46" s="355"/>
      <c r="J46" s="355"/>
      <c r="K46" s="355"/>
      <c r="L46" s="355"/>
      <c r="M46" s="355"/>
      <c r="N46" s="355"/>
      <c r="O46" s="355"/>
      <c r="P46" s="356"/>
      <c r="Q46" s="356"/>
      <c r="R46" s="356"/>
      <c r="S46" s="356"/>
      <c r="T46" s="356"/>
      <c r="U46" s="356"/>
      <c r="V46" s="357"/>
      <c r="W46" s="354"/>
      <c r="X46" s="366"/>
      <c r="Y46" s="366"/>
      <c r="Z46" s="366"/>
      <c r="AA46" s="366"/>
      <c r="AB46" s="366"/>
      <c r="AC46" s="366"/>
      <c r="AD46" s="366"/>
      <c r="AE46" s="366"/>
      <c r="AF46" s="366"/>
      <c r="AG46" s="349"/>
      <c r="AH46" s="339"/>
      <c r="AI46" s="339"/>
      <c r="AJ46" s="339"/>
      <c r="AK46" s="339"/>
      <c r="AL46" s="339"/>
      <c r="AM46" s="339"/>
      <c r="AN46" s="339"/>
      <c r="AO46" s="339"/>
      <c r="AP46" s="339"/>
      <c r="AQ46" s="339"/>
      <c r="AR46" s="339"/>
      <c r="AS46" s="339"/>
      <c r="AT46" s="339"/>
      <c r="AU46" s="339"/>
      <c r="AV46" s="339"/>
      <c r="AW46" s="339"/>
      <c r="BC46" s="339"/>
      <c r="BD46" s="340"/>
      <c r="BE46" s="340"/>
      <c r="BG46" s="341"/>
      <c r="BK46" s="342"/>
    </row>
    <row r="47" spans="1:63" ht="12" hidden="1" customHeight="1">
      <c r="A47" s="343"/>
      <c r="B47" s="228"/>
      <c r="E47" s="355"/>
      <c r="F47" s="355"/>
      <c r="G47" s="355"/>
      <c r="H47" s="355"/>
      <c r="I47" s="355"/>
      <c r="J47" s="355"/>
      <c r="K47" s="355"/>
      <c r="L47" s="355"/>
      <c r="M47" s="355"/>
      <c r="N47" s="355"/>
      <c r="O47" s="355"/>
      <c r="P47" s="356"/>
      <c r="Q47" s="356"/>
      <c r="R47" s="356"/>
      <c r="S47" s="356"/>
      <c r="T47" s="356"/>
      <c r="U47" s="356"/>
      <c r="V47" s="357"/>
      <c r="W47" s="354"/>
      <c r="X47" s="366"/>
      <c r="Y47" s="366"/>
      <c r="Z47" s="366"/>
      <c r="AA47" s="366"/>
      <c r="AB47" s="366"/>
      <c r="AC47" s="366"/>
      <c r="AD47" s="366"/>
      <c r="AE47" s="366"/>
      <c r="AF47" s="366"/>
      <c r="AG47" s="349"/>
      <c r="AH47" s="339"/>
      <c r="AI47" s="339"/>
      <c r="AJ47" s="339"/>
      <c r="AK47" s="339"/>
      <c r="AL47" s="339"/>
      <c r="AM47" s="339"/>
      <c r="AN47" s="339"/>
      <c r="AO47" s="339"/>
      <c r="AP47" s="339"/>
      <c r="AQ47" s="339"/>
      <c r="AR47" s="339"/>
      <c r="AS47" s="339"/>
      <c r="AT47" s="339"/>
      <c r="AU47" s="339"/>
      <c r="AV47" s="339"/>
      <c r="AW47" s="339"/>
      <c r="BC47" s="339"/>
      <c r="BD47" s="340"/>
      <c r="BE47" s="340"/>
      <c r="BG47" s="341"/>
      <c r="BK47" s="342"/>
    </row>
    <row r="48" spans="1:63" ht="12" hidden="1" customHeight="1">
      <c r="A48" s="343"/>
      <c r="B48" s="228"/>
      <c r="E48" s="355"/>
      <c r="F48" s="355"/>
      <c r="G48" s="355"/>
      <c r="H48" s="355"/>
      <c r="I48" s="355"/>
      <c r="J48" s="355"/>
      <c r="K48" s="355"/>
      <c r="L48" s="355"/>
      <c r="M48" s="355"/>
      <c r="N48" s="355"/>
      <c r="O48" s="355"/>
      <c r="P48" s="356"/>
      <c r="Q48" s="356"/>
      <c r="R48" s="356"/>
      <c r="S48" s="356"/>
      <c r="T48" s="356"/>
      <c r="U48" s="356"/>
      <c r="V48" s="357"/>
      <c r="W48" s="354"/>
      <c r="X48" s="366"/>
      <c r="Y48" s="366"/>
      <c r="Z48" s="366"/>
      <c r="AA48" s="366"/>
      <c r="AB48" s="366"/>
      <c r="AC48" s="366"/>
      <c r="AD48" s="366"/>
      <c r="AE48" s="366"/>
      <c r="AF48" s="366"/>
      <c r="AG48" s="349"/>
      <c r="AH48" s="339"/>
      <c r="AI48" s="339"/>
      <c r="AJ48" s="339"/>
      <c r="AK48" s="339"/>
      <c r="AL48" s="339"/>
      <c r="AM48" s="339"/>
      <c r="AN48" s="339"/>
      <c r="AO48" s="339"/>
      <c r="AP48" s="339"/>
      <c r="AQ48" s="339"/>
      <c r="AR48" s="339"/>
      <c r="AS48" s="339"/>
      <c r="AT48" s="339"/>
      <c r="AU48" s="339"/>
      <c r="AV48" s="339"/>
      <c r="AW48" s="339"/>
      <c r="BC48" s="339"/>
      <c r="BD48" s="340"/>
      <c r="BE48" s="340"/>
      <c r="BG48" s="341"/>
      <c r="BK48" s="342"/>
    </row>
    <row r="49" spans="1:63" ht="12" hidden="1" customHeight="1">
      <c r="A49" s="343"/>
      <c r="B49" s="228"/>
      <c r="E49" s="355"/>
      <c r="F49" s="355"/>
      <c r="G49" s="355"/>
      <c r="H49" s="355"/>
      <c r="I49" s="355"/>
      <c r="J49" s="355"/>
      <c r="K49" s="355"/>
      <c r="L49" s="355"/>
      <c r="M49" s="355"/>
      <c r="N49" s="355"/>
      <c r="O49" s="355"/>
      <c r="P49" s="356"/>
      <c r="Q49" s="356"/>
      <c r="R49" s="356"/>
      <c r="S49" s="356"/>
      <c r="T49" s="356"/>
      <c r="U49" s="356"/>
      <c r="V49" s="357"/>
      <c r="W49" s="354"/>
      <c r="X49" s="366"/>
      <c r="Y49" s="366"/>
      <c r="Z49" s="366"/>
      <c r="AA49" s="366"/>
      <c r="AB49" s="366"/>
      <c r="AC49" s="366"/>
      <c r="AD49" s="366"/>
      <c r="AE49" s="366"/>
      <c r="AF49" s="366"/>
      <c r="AG49" s="349"/>
      <c r="AH49" s="339"/>
      <c r="AI49" s="339"/>
      <c r="AJ49" s="339"/>
      <c r="AK49" s="339"/>
      <c r="AL49" s="339"/>
      <c r="AM49" s="339"/>
      <c r="AN49" s="339"/>
      <c r="AO49" s="339"/>
      <c r="AP49" s="339"/>
      <c r="AQ49" s="339"/>
      <c r="AR49" s="339"/>
      <c r="AS49" s="339"/>
      <c r="AT49" s="339"/>
      <c r="AU49" s="339"/>
      <c r="AV49" s="339"/>
      <c r="AW49" s="339"/>
      <c r="BC49" s="339"/>
      <c r="BD49" s="340"/>
      <c r="BE49" s="340"/>
      <c r="BG49" s="341"/>
      <c r="BK49" s="342"/>
    </row>
    <row r="50" spans="1:63" ht="12" hidden="1" customHeight="1">
      <c r="A50" s="343"/>
      <c r="B50" s="228"/>
      <c r="E50" s="355"/>
      <c r="F50" s="355"/>
      <c r="G50" s="355"/>
      <c r="H50" s="355"/>
      <c r="I50" s="355"/>
      <c r="J50" s="355"/>
      <c r="K50" s="355"/>
      <c r="L50" s="355"/>
      <c r="M50" s="355"/>
      <c r="N50" s="355"/>
      <c r="O50" s="355"/>
      <c r="P50" s="356"/>
      <c r="Q50" s="356"/>
      <c r="R50" s="356"/>
      <c r="S50" s="356"/>
      <c r="T50" s="356"/>
      <c r="U50" s="356"/>
      <c r="V50" s="357"/>
      <c r="W50" s="354"/>
      <c r="X50" s="366"/>
      <c r="Y50" s="366"/>
      <c r="Z50" s="366"/>
      <c r="AA50" s="366"/>
      <c r="AB50" s="366"/>
      <c r="AC50" s="366"/>
      <c r="AD50" s="366"/>
      <c r="AE50" s="366"/>
      <c r="AF50" s="366"/>
      <c r="AG50" s="349"/>
      <c r="AH50" s="339"/>
      <c r="AI50" s="339"/>
      <c r="AJ50" s="339"/>
      <c r="AK50" s="339"/>
      <c r="AL50" s="339"/>
      <c r="AM50" s="339"/>
      <c r="AN50" s="339"/>
      <c r="AO50" s="339"/>
      <c r="AP50" s="339"/>
      <c r="AQ50" s="339"/>
      <c r="AR50" s="339"/>
      <c r="AS50" s="339"/>
      <c r="AT50" s="339"/>
      <c r="AU50" s="339"/>
      <c r="AV50" s="339"/>
      <c r="AW50" s="339"/>
      <c r="BC50" s="339"/>
      <c r="BD50" s="340"/>
      <c r="BE50" s="340"/>
      <c r="BG50" s="341"/>
      <c r="BK50" s="342"/>
    </row>
    <row r="51" spans="1:63" ht="12" hidden="1" customHeight="1">
      <c r="A51" s="343"/>
      <c r="B51" s="228"/>
      <c r="E51" s="355"/>
      <c r="F51" s="355"/>
      <c r="G51" s="355"/>
      <c r="H51" s="355"/>
      <c r="I51" s="355"/>
      <c r="J51" s="355"/>
      <c r="K51" s="355"/>
      <c r="L51" s="355"/>
      <c r="M51" s="355"/>
      <c r="N51" s="355"/>
      <c r="O51" s="355"/>
      <c r="P51" s="356"/>
      <c r="Q51" s="356"/>
      <c r="R51" s="356"/>
      <c r="S51" s="356"/>
      <c r="T51" s="356"/>
      <c r="U51" s="356"/>
      <c r="V51" s="357"/>
      <c r="W51" s="354"/>
      <c r="X51" s="366"/>
      <c r="Y51" s="366"/>
      <c r="Z51" s="366"/>
      <c r="AA51" s="366"/>
      <c r="AB51" s="366"/>
      <c r="AC51" s="366"/>
      <c r="AD51" s="366"/>
      <c r="AE51" s="366"/>
      <c r="AF51" s="366"/>
      <c r="AG51" s="349"/>
      <c r="AH51" s="339"/>
      <c r="AI51" s="339"/>
      <c r="AJ51" s="339"/>
      <c r="AK51" s="339"/>
      <c r="AL51" s="339"/>
      <c r="AM51" s="339"/>
      <c r="AN51" s="339"/>
      <c r="AO51" s="339"/>
      <c r="AP51" s="339"/>
      <c r="AQ51" s="339"/>
      <c r="AR51" s="339"/>
      <c r="AS51" s="339"/>
      <c r="AT51" s="339"/>
      <c r="AU51" s="339"/>
      <c r="AV51" s="339"/>
      <c r="AW51" s="339"/>
      <c r="BC51" s="339"/>
      <c r="BD51" s="340"/>
      <c r="BE51" s="340"/>
      <c r="BG51" s="341"/>
      <c r="BK51" s="342"/>
    </row>
    <row r="52" spans="1:63" ht="12" hidden="1" customHeight="1">
      <c r="A52" s="343"/>
      <c r="B52" s="228"/>
      <c r="E52" s="355"/>
      <c r="F52" s="355"/>
      <c r="G52" s="355"/>
      <c r="H52" s="355"/>
      <c r="I52" s="355"/>
      <c r="J52" s="355"/>
      <c r="K52" s="355"/>
      <c r="L52" s="355"/>
      <c r="M52" s="355"/>
      <c r="N52" s="355"/>
      <c r="O52" s="355"/>
      <c r="P52" s="356"/>
      <c r="Q52" s="356"/>
      <c r="R52" s="356"/>
      <c r="S52" s="356"/>
      <c r="T52" s="356"/>
      <c r="U52" s="356"/>
      <c r="V52" s="357"/>
      <c r="W52" s="354"/>
      <c r="X52" s="366"/>
      <c r="Y52" s="366"/>
      <c r="Z52" s="366"/>
      <c r="AA52" s="366"/>
      <c r="AB52" s="366"/>
      <c r="AC52" s="366"/>
      <c r="AD52" s="366"/>
      <c r="AE52" s="366"/>
      <c r="AF52" s="366"/>
      <c r="AG52" s="349"/>
      <c r="AH52" s="339"/>
      <c r="AI52" s="339"/>
      <c r="AJ52" s="339"/>
      <c r="AK52" s="339"/>
      <c r="AL52" s="339"/>
      <c r="AM52" s="339"/>
      <c r="AN52" s="339"/>
      <c r="AO52" s="339"/>
      <c r="AP52" s="339"/>
      <c r="AQ52" s="339"/>
      <c r="AR52" s="339"/>
      <c r="AS52" s="339"/>
      <c r="AT52" s="339"/>
      <c r="AU52" s="339"/>
      <c r="AV52" s="339"/>
      <c r="AW52" s="339"/>
      <c r="BC52" s="339"/>
      <c r="BD52" s="340"/>
      <c r="BE52" s="340"/>
      <c r="BG52" s="341"/>
      <c r="BK52" s="342"/>
    </row>
    <row r="53" spans="1:63" ht="12" hidden="1" customHeight="1">
      <c r="A53" s="343"/>
      <c r="B53" s="228"/>
      <c r="E53" s="355"/>
      <c r="F53" s="355"/>
      <c r="G53" s="355"/>
      <c r="H53" s="355"/>
      <c r="I53" s="355"/>
      <c r="J53" s="355"/>
      <c r="K53" s="355"/>
      <c r="L53" s="355"/>
      <c r="M53" s="355"/>
      <c r="N53" s="355"/>
      <c r="O53" s="355"/>
      <c r="P53" s="356"/>
      <c r="Q53" s="356"/>
      <c r="R53" s="356"/>
      <c r="S53" s="356"/>
      <c r="T53" s="356"/>
      <c r="U53" s="356"/>
      <c r="V53" s="357"/>
      <c r="W53" s="354"/>
      <c r="X53" s="366"/>
      <c r="Y53" s="366"/>
      <c r="Z53" s="366"/>
      <c r="AA53" s="366"/>
      <c r="AB53" s="366"/>
      <c r="AC53" s="366"/>
      <c r="AD53" s="366"/>
      <c r="AE53" s="366"/>
      <c r="AF53" s="366"/>
      <c r="AG53" s="349"/>
      <c r="AH53" s="339"/>
      <c r="AI53" s="339"/>
      <c r="AJ53" s="339"/>
      <c r="AK53" s="339"/>
      <c r="AL53" s="339"/>
      <c r="AM53" s="339"/>
      <c r="AN53" s="339"/>
      <c r="AO53" s="339"/>
      <c r="AP53" s="339"/>
      <c r="AQ53" s="339"/>
      <c r="AR53" s="339"/>
      <c r="AS53" s="339"/>
      <c r="AT53" s="339"/>
      <c r="AU53" s="339"/>
      <c r="AV53" s="339"/>
      <c r="AW53" s="339"/>
      <c r="BC53" s="339"/>
      <c r="BD53" s="340"/>
      <c r="BE53" s="340"/>
      <c r="BG53" s="341"/>
      <c r="BK53" s="342"/>
    </row>
    <row r="54" spans="1:63" ht="12" hidden="1" customHeight="1">
      <c r="A54" s="343"/>
      <c r="B54" s="228"/>
      <c r="E54" s="355"/>
      <c r="F54" s="355"/>
      <c r="G54" s="355"/>
      <c r="H54" s="355"/>
      <c r="I54" s="355"/>
      <c r="J54" s="355"/>
      <c r="K54" s="355"/>
      <c r="L54" s="355"/>
      <c r="M54" s="355"/>
      <c r="N54" s="355"/>
      <c r="O54" s="355"/>
      <c r="P54" s="356"/>
      <c r="Q54" s="356"/>
      <c r="R54" s="356"/>
      <c r="S54" s="356"/>
      <c r="T54" s="356"/>
      <c r="U54" s="356"/>
      <c r="V54" s="357"/>
      <c r="W54" s="354"/>
      <c r="X54" s="366"/>
      <c r="Y54" s="366"/>
      <c r="Z54" s="366"/>
      <c r="AA54" s="366"/>
      <c r="AB54" s="366"/>
      <c r="AC54" s="366"/>
      <c r="AD54" s="366"/>
      <c r="AE54" s="366"/>
      <c r="AF54" s="366"/>
      <c r="AG54" s="349"/>
      <c r="AH54" s="339"/>
      <c r="AI54" s="339"/>
      <c r="AJ54" s="339"/>
      <c r="AK54" s="339"/>
      <c r="AL54" s="339"/>
      <c r="AM54" s="339"/>
      <c r="AN54" s="339"/>
      <c r="AO54" s="339"/>
      <c r="AP54" s="339"/>
      <c r="AQ54" s="339"/>
      <c r="AR54" s="339"/>
      <c r="AS54" s="339"/>
      <c r="AT54" s="339"/>
      <c r="AU54" s="339"/>
      <c r="AV54" s="339"/>
      <c r="AW54" s="339"/>
      <c r="BC54" s="339"/>
      <c r="BD54" s="340"/>
      <c r="BE54" s="340"/>
      <c r="BG54" s="341"/>
      <c r="BK54" s="342"/>
    </row>
    <row r="55" spans="1:63" ht="12" hidden="1" customHeight="1">
      <c r="A55" s="343"/>
      <c r="B55" s="228"/>
      <c r="E55" s="355"/>
      <c r="F55" s="355"/>
      <c r="G55" s="355"/>
      <c r="H55" s="355"/>
      <c r="I55" s="355"/>
      <c r="J55" s="355"/>
      <c r="K55" s="355"/>
      <c r="L55" s="355"/>
      <c r="M55" s="355"/>
      <c r="N55" s="355"/>
      <c r="O55" s="355"/>
      <c r="P55" s="356"/>
      <c r="Q55" s="356"/>
      <c r="R55" s="356"/>
      <c r="S55" s="356"/>
      <c r="T55" s="356"/>
      <c r="U55" s="356"/>
      <c r="V55" s="357"/>
      <c r="W55" s="354"/>
      <c r="X55" s="366"/>
      <c r="Y55" s="366"/>
      <c r="Z55" s="366"/>
      <c r="AA55" s="366"/>
      <c r="AB55" s="366"/>
      <c r="AC55" s="366"/>
      <c r="AD55" s="366"/>
      <c r="AE55" s="366"/>
      <c r="AF55" s="366"/>
      <c r="AG55" s="349"/>
      <c r="AH55" s="339"/>
      <c r="AI55" s="339"/>
      <c r="AJ55" s="339"/>
      <c r="AK55" s="339"/>
      <c r="AL55" s="339"/>
      <c r="AM55" s="339"/>
      <c r="AN55" s="339"/>
      <c r="AO55" s="339"/>
      <c r="AP55" s="339"/>
      <c r="AQ55" s="339"/>
      <c r="AR55" s="339"/>
      <c r="AS55" s="339"/>
      <c r="AT55" s="339"/>
      <c r="AU55" s="339"/>
      <c r="AV55" s="339"/>
      <c r="AW55" s="339"/>
      <c r="BC55" s="339"/>
      <c r="BD55" s="340"/>
      <c r="BE55" s="340"/>
      <c r="BG55" s="341"/>
      <c r="BK55" s="342"/>
    </row>
    <row r="56" spans="1:63" ht="12" hidden="1" customHeight="1">
      <c r="A56" s="343"/>
      <c r="B56" s="228"/>
      <c r="E56" s="355"/>
      <c r="F56" s="355"/>
      <c r="G56" s="355"/>
      <c r="H56" s="355"/>
      <c r="I56" s="355"/>
      <c r="J56" s="355"/>
      <c r="K56" s="355"/>
      <c r="L56" s="355"/>
      <c r="M56" s="355"/>
      <c r="N56" s="355"/>
      <c r="O56" s="355"/>
      <c r="P56" s="356"/>
      <c r="Q56" s="356"/>
      <c r="R56" s="356"/>
      <c r="S56" s="356"/>
      <c r="T56" s="356"/>
      <c r="U56" s="356"/>
      <c r="V56" s="357"/>
      <c r="W56" s="354"/>
      <c r="X56" s="366"/>
      <c r="Y56" s="366"/>
      <c r="Z56" s="366"/>
      <c r="AA56" s="366"/>
      <c r="AB56" s="366"/>
      <c r="AC56" s="366"/>
      <c r="AD56" s="366"/>
      <c r="AE56" s="366"/>
      <c r="AF56" s="366"/>
      <c r="AG56" s="349"/>
      <c r="AH56" s="339"/>
      <c r="AI56" s="339"/>
      <c r="AJ56" s="339"/>
      <c r="AK56" s="339"/>
      <c r="AL56" s="339"/>
      <c r="AM56" s="339"/>
      <c r="AN56" s="339"/>
      <c r="AO56" s="339"/>
      <c r="AP56" s="339"/>
      <c r="AQ56" s="339"/>
      <c r="AR56" s="339"/>
      <c r="AS56" s="339"/>
      <c r="AT56" s="339"/>
      <c r="AU56" s="339"/>
      <c r="AV56" s="339"/>
      <c r="AW56" s="339"/>
      <c r="BC56" s="339"/>
      <c r="BD56" s="340"/>
      <c r="BE56" s="340"/>
      <c r="BG56" s="341"/>
      <c r="BK56" s="342"/>
    </row>
    <row r="57" spans="1:63" ht="12" hidden="1" customHeight="1">
      <c r="A57" s="343"/>
      <c r="B57" s="228"/>
      <c r="E57" s="355"/>
      <c r="F57" s="355"/>
      <c r="G57" s="355"/>
      <c r="H57" s="355"/>
      <c r="I57" s="355"/>
      <c r="J57" s="355"/>
      <c r="K57" s="355"/>
      <c r="L57" s="355"/>
      <c r="M57" s="355"/>
      <c r="N57" s="355"/>
      <c r="O57" s="355"/>
      <c r="P57" s="356"/>
      <c r="Q57" s="356"/>
      <c r="R57" s="356"/>
      <c r="S57" s="356"/>
      <c r="T57" s="356"/>
      <c r="U57" s="356"/>
      <c r="V57" s="357"/>
      <c r="W57" s="354"/>
      <c r="X57" s="366"/>
      <c r="Y57" s="366"/>
      <c r="Z57" s="366"/>
      <c r="AA57" s="366"/>
      <c r="AB57" s="366"/>
      <c r="AC57" s="366"/>
      <c r="AD57" s="366"/>
      <c r="AE57" s="366"/>
      <c r="AF57" s="366"/>
      <c r="AG57" s="349"/>
      <c r="AH57" s="339"/>
      <c r="AI57" s="339"/>
      <c r="AJ57" s="339"/>
      <c r="AK57" s="339"/>
      <c r="AL57" s="339"/>
      <c r="AM57" s="339"/>
      <c r="AN57" s="339"/>
      <c r="AO57" s="339"/>
      <c r="AP57" s="339"/>
      <c r="AQ57" s="339"/>
      <c r="AR57" s="339"/>
      <c r="AS57" s="339"/>
      <c r="AT57" s="339"/>
      <c r="AU57" s="339"/>
      <c r="AV57" s="339"/>
      <c r="AW57" s="339"/>
      <c r="BC57" s="339"/>
      <c r="BD57" s="340"/>
      <c r="BE57" s="340"/>
      <c r="BG57" s="341"/>
      <c r="BK57" s="342"/>
    </row>
    <row r="58" spans="1:63" ht="12" hidden="1" customHeight="1">
      <c r="A58" s="343"/>
      <c r="B58" s="228"/>
      <c r="E58" s="355"/>
      <c r="F58" s="355"/>
      <c r="G58" s="355"/>
      <c r="H58" s="355"/>
      <c r="I58" s="355"/>
      <c r="J58" s="355"/>
      <c r="K58" s="355"/>
      <c r="L58" s="355"/>
      <c r="M58" s="355"/>
      <c r="N58" s="355"/>
      <c r="O58" s="355"/>
      <c r="P58" s="356"/>
      <c r="Q58" s="356"/>
      <c r="R58" s="356"/>
      <c r="S58" s="356"/>
      <c r="T58" s="356"/>
      <c r="U58" s="356"/>
      <c r="V58" s="357"/>
      <c r="W58" s="354"/>
      <c r="X58" s="366"/>
      <c r="Y58" s="366"/>
      <c r="Z58" s="366"/>
      <c r="AA58" s="366"/>
      <c r="AB58" s="366"/>
      <c r="AC58" s="366"/>
      <c r="AD58" s="366"/>
      <c r="AE58" s="366"/>
      <c r="AF58" s="366"/>
      <c r="AG58" s="349"/>
      <c r="AH58" s="339"/>
      <c r="AI58" s="339"/>
      <c r="AJ58" s="339"/>
      <c r="AK58" s="339"/>
      <c r="AL58" s="339"/>
      <c r="AM58" s="339"/>
      <c r="AN58" s="339"/>
      <c r="AO58" s="339"/>
      <c r="AP58" s="339"/>
      <c r="AQ58" s="339"/>
      <c r="AR58" s="339"/>
      <c r="AS58" s="339"/>
      <c r="AT58" s="339"/>
      <c r="AU58" s="339"/>
      <c r="AV58" s="339"/>
      <c r="AW58" s="339"/>
      <c r="BC58" s="339"/>
      <c r="BD58" s="340"/>
      <c r="BE58" s="340"/>
      <c r="BG58" s="341"/>
      <c r="BK58" s="342"/>
    </row>
    <row r="59" spans="1:63" ht="12" customHeight="1">
      <c r="A59" s="343"/>
      <c r="B59" s="228"/>
      <c r="E59" s="355"/>
      <c r="F59" s="355"/>
      <c r="G59" s="355"/>
      <c r="H59" s="355"/>
      <c r="I59" s="355"/>
      <c r="J59" s="355"/>
      <c r="K59" s="355"/>
      <c r="L59" s="355"/>
      <c r="M59" s="355"/>
      <c r="N59" s="355"/>
      <c r="O59" s="355"/>
      <c r="P59" s="356"/>
      <c r="Q59" s="356"/>
      <c r="R59" s="356"/>
      <c r="S59" s="356"/>
      <c r="T59" s="356"/>
      <c r="U59" s="356"/>
      <c r="V59" s="357"/>
      <c r="W59" s="354"/>
      <c r="X59" s="366"/>
      <c r="Y59" s="366"/>
      <c r="Z59" s="366"/>
      <c r="AA59" s="366"/>
      <c r="AB59" s="366"/>
      <c r="AC59" s="366"/>
      <c r="AD59" s="366"/>
      <c r="AE59" s="366"/>
      <c r="AF59" s="366"/>
      <c r="AG59" s="349"/>
      <c r="AH59" s="339"/>
      <c r="AI59" s="339"/>
      <c r="AJ59" s="339"/>
      <c r="AK59" s="339"/>
      <c r="AL59" s="339"/>
      <c r="AM59" s="339"/>
      <c r="AN59" s="339"/>
      <c r="AO59" s="339"/>
      <c r="AP59" s="339"/>
      <c r="AQ59" s="339"/>
      <c r="AR59" s="339"/>
      <c r="AS59" s="339"/>
      <c r="AT59" s="339"/>
      <c r="AU59" s="339"/>
      <c r="AV59" s="339"/>
      <c r="AW59" s="339"/>
      <c r="BC59" s="339"/>
      <c r="BD59" s="340"/>
      <c r="BE59" s="340"/>
      <c r="BG59" s="341"/>
      <c r="BK59" s="342"/>
    </row>
    <row r="60" spans="1:63" ht="12" customHeight="1" outlineLevel="1">
      <c r="A60" s="343"/>
      <c r="B60" s="232" t="s">
        <v>26</v>
      </c>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349"/>
      <c r="AH60" s="339"/>
      <c r="AI60" s="339"/>
      <c r="AJ60" s="339"/>
      <c r="AK60" s="339"/>
      <c r="AL60" s="339"/>
      <c r="AM60" s="339"/>
      <c r="AN60" s="339"/>
      <c r="AO60" s="339"/>
      <c r="AP60" s="339"/>
      <c r="AQ60" s="339"/>
      <c r="AR60" s="339"/>
      <c r="AS60" s="339"/>
      <c r="AT60" s="339"/>
      <c r="AU60" s="339"/>
      <c r="AV60" s="339"/>
      <c r="AW60" s="339"/>
      <c r="BC60" s="339"/>
      <c r="BD60" s="340"/>
      <c r="BE60" s="340"/>
      <c r="BG60" s="341"/>
      <c r="BK60" s="342"/>
    </row>
    <row r="61" spans="1:63" ht="12" customHeight="1" outlineLevel="1">
      <c r="A61" s="343"/>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349"/>
      <c r="AH61" s="339"/>
      <c r="AI61" s="339"/>
      <c r="AJ61" s="339"/>
      <c r="AK61" s="339"/>
      <c r="AL61" s="339"/>
      <c r="AM61" s="339"/>
      <c r="AN61" s="339"/>
      <c r="AO61" s="339"/>
      <c r="AP61" s="339"/>
      <c r="AQ61" s="339"/>
      <c r="AR61" s="339"/>
      <c r="AS61" s="339"/>
      <c r="AT61" s="339"/>
      <c r="AU61" s="339"/>
      <c r="AV61" s="339"/>
      <c r="AW61" s="339"/>
      <c r="BC61" s="339"/>
      <c r="BD61" s="340"/>
      <c r="BE61" s="340"/>
      <c r="BG61" s="341"/>
      <c r="BK61" s="342"/>
    </row>
    <row r="62" spans="1:63" ht="12" customHeight="1" outlineLevel="1">
      <c r="A62" s="343"/>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349"/>
      <c r="AH62" s="339"/>
      <c r="AI62" s="339"/>
      <c r="AJ62" s="339"/>
      <c r="AK62" s="339"/>
      <c r="AL62" s="339"/>
      <c r="AM62" s="339"/>
      <c r="AN62" s="339"/>
      <c r="AO62" s="339"/>
      <c r="AP62" s="339"/>
      <c r="AQ62" s="339"/>
      <c r="AR62" s="339"/>
      <c r="AS62" s="339"/>
      <c r="AT62" s="339"/>
      <c r="AU62" s="339"/>
      <c r="AV62" s="339"/>
      <c r="AW62" s="339"/>
      <c r="BC62" s="339"/>
      <c r="BD62" s="340"/>
      <c r="BE62" s="340"/>
      <c r="BG62" s="341"/>
      <c r="BK62" s="342"/>
    </row>
    <row r="63" spans="1:63" ht="12" customHeight="1" outlineLevel="1">
      <c r="A63" s="343"/>
      <c r="B63" s="228" t="s">
        <v>1411</v>
      </c>
      <c r="C63" s="228"/>
      <c r="D63" s="228"/>
      <c r="E63" s="167"/>
      <c r="F63" s="167"/>
      <c r="G63" s="167"/>
      <c r="H63" s="167"/>
      <c r="I63" s="167"/>
      <c r="J63" s="167"/>
      <c r="K63" s="167"/>
      <c r="L63" s="167"/>
      <c r="M63" s="167"/>
      <c r="N63" s="167"/>
      <c r="O63" s="197"/>
      <c r="P63" s="198"/>
      <c r="Q63" s="199"/>
      <c r="R63" s="198"/>
      <c r="S63" s="198"/>
      <c r="T63" s="198"/>
      <c r="U63" s="198"/>
      <c r="V63" s="198"/>
      <c r="W63" s="198"/>
      <c r="X63" s="230">
        <v>2001</v>
      </c>
      <c r="Y63" s="370"/>
      <c r="Z63" s="371">
        <v>2003</v>
      </c>
      <c r="AA63" s="370"/>
      <c r="AB63" s="371">
        <v>2005</v>
      </c>
      <c r="AC63" s="370"/>
      <c r="AD63" s="371">
        <v>2007</v>
      </c>
      <c r="AE63" s="370"/>
      <c r="AF63" s="371">
        <v>2009</v>
      </c>
      <c r="AG63" s="371">
        <v>2010</v>
      </c>
      <c r="AH63" s="371">
        <v>2011</v>
      </c>
      <c r="AI63" s="371">
        <v>2012</v>
      </c>
      <c r="AJ63" s="371">
        <v>2013</v>
      </c>
      <c r="AK63" s="371">
        <v>2014</v>
      </c>
      <c r="AL63" s="371">
        <v>2015</v>
      </c>
      <c r="AM63" s="371">
        <v>2016</v>
      </c>
      <c r="AN63" s="371">
        <v>2017</v>
      </c>
      <c r="AO63" s="371">
        <v>2018</v>
      </c>
      <c r="AP63" s="371">
        <v>2019</v>
      </c>
      <c r="AQ63" s="371">
        <v>2020</v>
      </c>
      <c r="AR63" s="339"/>
      <c r="AS63" s="339"/>
      <c r="AT63" s="339"/>
      <c r="AU63" s="339"/>
      <c r="AV63" s="339"/>
      <c r="AW63" s="339"/>
      <c r="BC63" s="339"/>
      <c r="BD63" s="340"/>
      <c r="BE63" s="340"/>
      <c r="BG63" s="341"/>
      <c r="BK63" s="342"/>
    </row>
    <row r="64" spans="1:63" ht="12" customHeight="1" outlineLevel="1">
      <c r="A64" s="343"/>
      <c r="B64" s="228" t="s">
        <v>1708</v>
      </c>
      <c r="C64" s="228"/>
      <c r="D64" s="228"/>
      <c r="E64" s="167"/>
      <c r="F64" s="167"/>
      <c r="G64" s="167"/>
      <c r="H64" s="167"/>
      <c r="I64" s="167"/>
      <c r="J64" s="167"/>
      <c r="K64" s="167"/>
      <c r="L64" s="167"/>
      <c r="M64" s="167"/>
      <c r="N64" s="167"/>
      <c r="O64" s="197"/>
      <c r="P64" s="198"/>
      <c r="Q64" s="199"/>
      <c r="R64" s="198"/>
      <c r="S64" s="198"/>
      <c r="T64" s="198"/>
      <c r="U64" s="198"/>
      <c r="V64" s="198"/>
      <c r="W64" s="198"/>
      <c r="X64" s="229"/>
      <c r="Y64" s="236"/>
      <c r="Z64" s="229"/>
      <c r="AA64" s="236"/>
      <c r="AB64" s="236"/>
      <c r="AC64" s="236"/>
      <c r="AD64" s="229"/>
      <c r="AE64" s="236"/>
      <c r="AF64" s="229"/>
      <c r="AG64" s="229"/>
      <c r="AH64" s="229"/>
      <c r="AI64" s="338"/>
      <c r="AJ64" s="338"/>
      <c r="AK64" s="339"/>
      <c r="AL64" s="339"/>
      <c r="AM64" s="339"/>
      <c r="AN64" s="339"/>
      <c r="AO64" s="339"/>
      <c r="AP64" s="339"/>
      <c r="AQ64" s="339"/>
      <c r="AR64" s="339"/>
      <c r="AS64" s="339"/>
      <c r="AT64" s="339"/>
      <c r="AU64" s="339"/>
      <c r="AV64" s="339"/>
      <c r="AW64" s="339"/>
      <c r="BC64" s="339"/>
      <c r="BD64" s="340"/>
      <c r="BE64" s="340"/>
      <c r="BG64" s="341"/>
      <c r="BK64" s="342"/>
    </row>
    <row r="65" spans="1:63" ht="12" customHeight="1" outlineLevel="1">
      <c r="A65" s="343"/>
      <c r="B65" s="372" t="s">
        <v>28</v>
      </c>
      <c r="C65" s="228" t="s">
        <v>29</v>
      </c>
      <c r="D65" s="228"/>
      <c r="E65" s="167"/>
      <c r="F65" s="167"/>
      <c r="G65" s="167"/>
      <c r="H65" s="167"/>
      <c r="I65" s="167"/>
      <c r="J65" s="167"/>
      <c r="K65" s="167"/>
      <c r="L65" s="167"/>
      <c r="M65" s="167"/>
      <c r="N65" s="167"/>
      <c r="O65" s="197"/>
      <c r="P65" s="198"/>
      <c r="Q65" s="199"/>
      <c r="R65" s="198"/>
      <c r="S65" s="198"/>
      <c r="T65" s="198"/>
      <c r="U65" s="198"/>
      <c r="V65" s="198"/>
      <c r="W65" s="198"/>
      <c r="X65" s="231">
        <v>239644</v>
      </c>
      <c r="Y65" s="229">
        <v>250713</v>
      </c>
      <c r="Z65" s="231">
        <v>256214</v>
      </c>
      <c r="AA65" s="229">
        <v>261633</v>
      </c>
      <c r="AB65" s="231">
        <v>268879</v>
      </c>
      <c r="AC65" s="229">
        <v>275889</v>
      </c>
      <c r="AD65" s="231">
        <v>286818</v>
      </c>
      <c r="AE65" s="231">
        <v>295433</v>
      </c>
      <c r="AF65" s="231">
        <v>285532</v>
      </c>
      <c r="AG65" s="231">
        <v>290509</v>
      </c>
      <c r="AH65" s="231">
        <v>296819</v>
      </c>
      <c r="AI65" s="338">
        <v>297167</v>
      </c>
      <c r="AJ65" s="338">
        <v>300441</v>
      </c>
      <c r="AK65" s="339">
        <v>304244</v>
      </c>
      <c r="AL65" s="339">
        <v>310816</v>
      </c>
      <c r="AM65" s="339">
        <v>316041</v>
      </c>
      <c r="AN65" s="339">
        <v>327261</v>
      </c>
      <c r="AO65" s="339">
        <v>341560</v>
      </c>
      <c r="AP65" s="339">
        <v>353547</v>
      </c>
      <c r="AQ65" s="339">
        <v>335225</v>
      </c>
      <c r="AR65" s="339"/>
      <c r="AS65" s="339"/>
      <c r="AT65" s="339"/>
      <c r="AU65" s="339"/>
      <c r="AV65" s="339"/>
      <c r="AW65" s="339"/>
      <c r="BC65" s="339"/>
      <c r="BD65" s="340"/>
      <c r="BE65" s="340"/>
      <c r="BG65" s="341"/>
      <c r="BK65" s="342"/>
    </row>
    <row r="66" spans="1:63" ht="5.0999999999999996" customHeight="1" outlineLevel="1">
      <c r="A66" s="343"/>
      <c r="B66" s="229"/>
      <c r="C66" s="228"/>
      <c r="D66" s="228"/>
      <c r="E66" s="167"/>
      <c r="F66" s="167"/>
      <c r="G66" s="167"/>
      <c r="H66" s="167"/>
      <c r="I66" s="167"/>
      <c r="J66" s="167"/>
      <c r="K66" s="167"/>
      <c r="L66" s="167"/>
      <c r="M66" s="167"/>
      <c r="N66" s="167"/>
      <c r="O66" s="197"/>
      <c r="P66" s="198"/>
      <c r="Q66" s="199"/>
      <c r="R66" s="198"/>
      <c r="S66" s="198"/>
      <c r="T66" s="198"/>
      <c r="U66" s="198"/>
      <c r="V66" s="198"/>
      <c r="W66" s="198"/>
      <c r="X66" s="231"/>
      <c r="Y66" s="229"/>
      <c r="Z66" s="231"/>
      <c r="AA66" s="229"/>
      <c r="AB66" s="231"/>
      <c r="AC66" s="229"/>
      <c r="AD66" s="231"/>
      <c r="AE66" s="231"/>
      <c r="AF66" s="231"/>
      <c r="AG66" s="231"/>
      <c r="AH66" s="231"/>
      <c r="AI66" s="338"/>
      <c r="AJ66" s="338"/>
      <c r="AK66" s="339"/>
      <c r="AL66" s="339"/>
      <c r="AM66" s="339"/>
      <c r="AN66" s="339"/>
      <c r="AO66" s="339"/>
      <c r="AP66" s="339"/>
      <c r="AQ66" s="339"/>
      <c r="AR66" s="339"/>
      <c r="AS66" s="339"/>
      <c r="AT66" s="339"/>
      <c r="AU66" s="339"/>
      <c r="AV66" s="339"/>
      <c r="AW66" s="339"/>
      <c r="BC66" s="339"/>
      <c r="BD66" s="340"/>
      <c r="BE66" s="340"/>
      <c r="BG66" s="341"/>
      <c r="BK66" s="342"/>
    </row>
    <row r="67" spans="1:63" ht="12" customHeight="1" outlineLevel="1">
      <c r="A67" s="343"/>
      <c r="B67" s="372" t="s">
        <v>30</v>
      </c>
      <c r="C67" s="228" t="s">
        <v>31</v>
      </c>
      <c r="D67" s="228"/>
      <c r="E67" s="167"/>
      <c r="F67" s="167"/>
      <c r="G67" s="167"/>
      <c r="H67" s="167"/>
      <c r="I67" s="167"/>
      <c r="J67" s="167"/>
      <c r="K67" s="167"/>
      <c r="L67" s="167"/>
      <c r="M67" s="167"/>
      <c r="N67" s="167"/>
      <c r="O67" s="197"/>
      <c r="P67" s="198"/>
      <c r="Q67" s="199"/>
      <c r="R67" s="198"/>
      <c r="S67" s="198"/>
      <c r="T67" s="198"/>
      <c r="U67" s="198"/>
      <c r="V67" s="198"/>
      <c r="W67" s="198"/>
      <c r="X67" s="231">
        <v>299672</v>
      </c>
      <c r="Y67" s="229">
        <v>317563</v>
      </c>
      <c r="Z67" s="231">
        <v>327255</v>
      </c>
      <c r="AA67" s="229">
        <v>333495</v>
      </c>
      <c r="AB67" s="231">
        <v>343687</v>
      </c>
      <c r="AC67" s="229">
        <v>362412</v>
      </c>
      <c r="AD67" s="231">
        <v>379866</v>
      </c>
      <c r="AE67" s="231">
        <v>393662</v>
      </c>
      <c r="AF67" s="231">
        <v>391322</v>
      </c>
      <c r="AG67" s="231">
        <v>400105</v>
      </c>
      <c r="AH67" s="231">
        <v>406466</v>
      </c>
      <c r="AI67" s="338">
        <v>408713</v>
      </c>
      <c r="AJ67" s="338">
        <v>412503</v>
      </c>
      <c r="AK67" s="339">
        <v>418349</v>
      </c>
      <c r="AL67" s="339">
        <v>424520</v>
      </c>
      <c r="AM67" s="339">
        <v>430707</v>
      </c>
      <c r="AN67" s="339">
        <v>444925</v>
      </c>
      <c r="AO67" s="339">
        <v>466225</v>
      </c>
      <c r="AP67" s="339">
        <v>486660</v>
      </c>
      <c r="AQ67" s="339">
        <v>472209</v>
      </c>
      <c r="AR67" s="339"/>
      <c r="AS67" s="339"/>
      <c r="AT67" s="339"/>
      <c r="AU67" s="339"/>
      <c r="AV67" s="339"/>
      <c r="AW67" s="339"/>
      <c r="BC67" s="339"/>
      <c r="BD67" s="340"/>
      <c r="BE67" s="340"/>
      <c r="BG67" s="341"/>
      <c r="BK67" s="342"/>
    </row>
    <row r="68" spans="1:63" ht="5.0999999999999996" customHeight="1" outlineLevel="1">
      <c r="A68" s="343"/>
      <c r="B68" s="229"/>
      <c r="C68" s="228"/>
      <c r="D68" s="228"/>
      <c r="E68" s="167"/>
      <c r="F68" s="167"/>
      <c r="G68" s="167"/>
      <c r="H68" s="167"/>
      <c r="I68" s="167"/>
      <c r="J68" s="167"/>
      <c r="K68" s="167"/>
      <c r="L68" s="167"/>
      <c r="M68" s="167"/>
      <c r="N68" s="167"/>
      <c r="O68" s="197"/>
      <c r="P68" s="198"/>
      <c r="Q68" s="199"/>
      <c r="R68" s="198"/>
      <c r="S68" s="198"/>
      <c r="T68" s="198"/>
      <c r="U68" s="198"/>
      <c r="V68" s="198"/>
      <c r="W68" s="198"/>
      <c r="X68" s="229"/>
      <c r="Y68" s="229"/>
      <c r="Z68" s="229"/>
      <c r="AA68" s="229"/>
      <c r="AB68" s="229"/>
      <c r="AC68" s="229"/>
      <c r="AD68" s="229"/>
      <c r="AE68" s="229"/>
      <c r="AF68" s="229"/>
      <c r="AG68" s="229"/>
      <c r="AH68" s="229"/>
      <c r="AI68" s="338"/>
      <c r="AJ68" s="338"/>
      <c r="AK68" s="339"/>
      <c r="AL68" s="339"/>
      <c r="AM68" s="339"/>
      <c r="AN68" s="339"/>
      <c r="AO68" s="339"/>
      <c r="AP68" s="339"/>
      <c r="AQ68" s="339"/>
      <c r="AR68" s="339"/>
      <c r="AS68" s="339"/>
      <c r="AT68" s="339"/>
      <c r="AU68" s="339"/>
      <c r="AV68" s="339"/>
      <c r="AW68" s="339"/>
      <c r="BC68" s="339"/>
      <c r="BD68" s="340"/>
      <c r="BE68" s="340"/>
      <c r="BG68" s="341"/>
      <c r="BK68" s="342"/>
    </row>
    <row r="69" spans="1:63" ht="12" customHeight="1" outlineLevel="1">
      <c r="A69" s="343"/>
      <c r="B69" s="372" t="s">
        <v>32</v>
      </c>
      <c r="C69" s="228" t="s">
        <v>33</v>
      </c>
      <c r="D69" s="228"/>
      <c r="E69" s="167"/>
      <c r="F69" s="167"/>
      <c r="G69" s="167"/>
      <c r="H69" s="167"/>
      <c r="I69" s="167"/>
      <c r="J69" s="167"/>
      <c r="K69" s="167"/>
      <c r="L69" s="167"/>
      <c r="M69" s="167"/>
      <c r="N69" s="167"/>
      <c r="O69" s="197"/>
      <c r="P69" s="198"/>
      <c r="Q69" s="199"/>
      <c r="R69" s="198"/>
      <c r="S69" s="198"/>
      <c r="T69" s="198"/>
      <c r="U69" s="198"/>
      <c r="V69" s="198"/>
      <c r="W69" s="198"/>
      <c r="X69" s="231">
        <f>SUM(X71:X72)</f>
        <v>47064</v>
      </c>
      <c r="Y69" s="229">
        <f t="shared" ref="Y69:AQ69" si="8">SUM(Y71:Y72)</f>
        <v>47947</v>
      </c>
      <c r="Z69" s="231">
        <f t="shared" si="8"/>
        <v>49573</v>
      </c>
      <c r="AA69" s="229">
        <f t="shared" si="8"/>
        <v>51729</v>
      </c>
      <c r="AB69" s="231">
        <f t="shared" si="8"/>
        <v>53826</v>
      </c>
      <c r="AC69" s="229">
        <f t="shared" si="8"/>
        <v>58023</v>
      </c>
      <c r="AD69" s="231">
        <f t="shared" si="8"/>
        <v>60608</v>
      </c>
      <c r="AE69" s="231">
        <f t="shared" si="8"/>
        <v>61881</v>
      </c>
      <c r="AF69" s="231">
        <f t="shared" si="8"/>
        <v>57966</v>
      </c>
      <c r="AG69" s="231">
        <f t="shared" si="8"/>
        <v>61066</v>
      </c>
      <c r="AH69" s="231">
        <f t="shared" si="8"/>
        <v>59841</v>
      </c>
      <c r="AI69" s="338">
        <f t="shared" si="8"/>
        <v>59077</v>
      </c>
      <c r="AJ69" s="338">
        <f t="shared" si="8"/>
        <v>59768</v>
      </c>
      <c r="AK69" s="339">
        <f t="shared" si="8"/>
        <v>60613</v>
      </c>
      <c r="AL69" s="339">
        <f t="shared" si="8"/>
        <v>62942</v>
      </c>
      <c r="AM69" s="339">
        <f t="shared" si="8"/>
        <v>66869</v>
      </c>
      <c r="AN69" s="339">
        <f t="shared" si="8"/>
        <v>69585</v>
      </c>
      <c r="AO69" s="339">
        <f t="shared" si="8"/>
        <v>73777</v>
      </c>
      <c r="AP69" s="339">
        <f t="shared" si="8"/>
        <v>80225</v>
      </c>
      <c r="AQ69" s="339">
        <f t="shared" si="8"/>
        <v>78688</v>
      </c>
      <c r="AR69" s="339"/>
      <c r="AS69" s="339"/>
      <c r="AT69" s="339"/>
      <c r="AU69" s="339"/>
      <c r="AV69" s="339"/>
      <c r="AW69" s="339"/>
      <c r="BC69" s="339"/>
      <c r="BD69" s="340"/>
      <c r="BE69" s="340"/>
      <c r="BG69" s="341"/>
      <c r="BK69" s="342"/>
    </row>
    <row r="70" spans="1:63" ht="5.0999999999999996" customHeight="1" outlineLevel="1">
      <c r="A70" s="343"/>
      <c r="B70" s="229"/>
      <c r="C70" s="228"/>
      <c r="D70" s="228"/>
      <c r="E70" s="167"/>
      <c r="F70" s="167"/>
      <c r="G70" s="167"/>
      <c r="H70" s="167"/>
      <c r="I70" s="167"/>
      <c r="J70" s="167"/>
      <c r="K70" s="167"/>
      <c r="L70" s="167"/>
      <c r="M70" s="167"/>
      <c r="N70" s="167"/>
      <c r="O70" s="197"/>
      <c r="P70" s="198"/>
      <c r="Q70" s="199"/>
      <c r="R70" s="198"/>
      <c r="S70" s="198"/>
      <c r="T70" s="198"/>
      <c r="U70" s="198"/>
      <c r="V70" s="198"/>
      <c r="W70" s="198"/>
      <c r="X70" s="229"/>
      <c r="Y70" s="229"/>
      <c r="Z70" s="229"/>
      <c r="AA70" s="229"/>
      <c r="AB70" s="229"/>
      <c r="AC70" s="229"/>
      <c r="AD70" s="229"/>
      <c r="AE70" s="229"/>
      <c r="AF70" s="229"/>
      <c r="AG70" s="229"/>
      <c r="AH70" s="229"/>
      <c r="AI70" s="338"/>
      <c r="AJ70" s="338"/>
      <c r="AK70" s="339"/>
      <c r="AL70" s="339"/>
      <c r="AM70" s="339"/>
      <c r="AN70" s="339"/>
      <c r="AO70" s="339"/>
      <c r="AP70" s="339"/>
      <c r="AQ70" s="339"/>
      <c r="AR70" s="339"/>
      <c r="AS70" s="339"/>
      <c r="AT70" s="339"/>
      <c r="AU70" s="339"/>
      <c r="AV70" s="339"/>
      <c r="AW70" s="339"/>
      <c r="BC70" s="339"/>
      <c r="BD70" s="340"/>
      <c r="BE70" s="340"/>
      <c r="BG70" s="341"/>
      <c r="BK70" s="342"/>
    </row>
    <row r="71" spans="1:63" ht="12" customHeight="1" outlineLevel="1">
      <c r="A71" s="343"/>
      <c r="B71" s="229"/>
      <c r="C71" s="228" t="s">
        <v>34</v>
      </c>
      <c r="D71" s="228"/>
      <c r="E71" s="167"/>
      <c r="F71" s="167"/>
      <c r="G71" s="167"/>
      <c r="H71" s="167"/>
      <c r="I71" s="167"/>
      <c r="J71" s="167"/>
      <c r="K71" s="167"/>
      <c r="L71" s="167"/>
      <c r="M71" s="167"/>
      <c r="N71" s="167"/>
      <c r="O71" s="197"/>
      <c r="P71" s="198"/>
      <c r="Q71" s="199"/>
      <c r="R71" s="198"/>
      <c r="S71" s="198"/>
      <c r="T71" s="198"/>
      <c r="U71" s="198"/>
      <c r="V71" s="198"/>
      <c r="W71" s="198"/>
      <c r="X71" s="231">
        <v>32518</v>
      </c>
      <c r="Y71" s="229">
        <v>33502</v>
      </c>
      <c r="Z71" s="231">
        <v>34764</v>
      </c>
      <c r="AA71" s="229">
        <v>35821</v>
      </c>
      <c r="AB71" s="231">
        <v>36960</v>
      </c>
      <c r="AC71" s="229">
        <v>39898</v>
      </c>
      <c r="AD71" s="231">
        <v>42884</v>
      </c>
      <c r="AE71" s="231">
        <v>43231</v>
      </c>
      <c r="AF71" s="231">
        <v>40102</v>
      </c>
      <c r="AG71" s="231">
        <v>42674</v>
      </c>
      <c r="AH71" s="231">
        <v>41636</v>
      </c>
      <c r="AI71" s="338">
        <v>41733</v>
      </c>
      <c r="AJ71" s="338">
        <v>42459</v>
      </c>
      <c r="AK71" s="339">
        <v>42741</v>
      </c>
      <c r="AL71" s="339">
        <v>44922</v>
      </c>
      <c r="AM71" s="339">
        <v>47896</v>
      </c>
      <c r="AN71" s="339">
        <v>49893</v>
      </c>
      <c r="AO71" s="339">
        <v>52782</v>
      </c>
      <c r="AP71" s="339">
        <v>58186</v>
      </c>
      <c r="AQ71" s="339">
        <v>58278</v>
      </c>
      <c r="AR71" s="339"/>
      <c r="AS71" s="339"/>
      <c r="AT71" s="339"/>
      <c r="AU71" s="339"/>
      <c r="AV71" s="339"/>
      <c r="AW71" s="339"/>
      <c r="BC71" s="339"/>
      <c r="BD71" s="340"/>
      <c r="BE71" s="340"/>
      <c r="BG71" s="341"/>
      <c r="BK71" s="342"/>
    </row>
    <row r="72" spans="1:63" ht="12" customHeight="1" outlineLevel="1">
      <c r="A72" s="343"/>
      <c r="B72" s="229"/>
      <c r="C72" s="228" t="s">
        <v>35</v>
      </c>
      <c r="D72" s="228"/>
      <c r="E72" s="167"/>
      <c r="F72" s="167"/>
      <c r="G72" s="167"/>
      <c r="H72" s="167"/>
      <c r="I72" s="167"/>
      <c r="J72" s="167"/>
      <c r="K72" s="167"/>
      <c r="L72" s="167"/>
      <c r="M72" s="167"/>
      <c r="N72" s="167"/>
      <c r="O72" s="197"/>
      <c r="P72" s="198"/>
      <c r="Q72" s="199"/>
      <c r="R72" s="198"/>
      <c r="S72" s="198"/>
      <c r="T72" s="198"/>
      <c r="U72" s="198"/>
      <c r="V72" s="198"/>
      <c r="W72" s="198"/>
      <c r="X72" s="231">
        <v>14546</v>
      </c>
      <c r="Y72" s="229">
        <v>14445</v>
      </c>
      <c r="Z72" s="231">
        <v>14809</v>
      </c>
      <c r="AA72" s="229">
        <v>15908</v>
      </c>
      <c r="AB72" s="231">
        <v>16866</v>
      </c>
      <c r="AC72" s="229">
        <v>18125</v>
      </c>
      <c r="AD72" s="231">
        <v>17724</v>
      </c>
      <c r="AE72" s="231">
        <v>18650</v>
      </c>
      <c r="AF72" s="231">
        <v>17864</v>
      </c>
      <c r="AG72" s="231">
        <v>18392</v>
      </c>
      <c r="AH72" s="231">
        <v>18205</v>
      </c>
      <c r="AI72" s="338">
        <v>17344</v>
      </c>
      <c r="AJ72" s="338">
        <v>17309</v>
      </c>
      <c r="AK72" s="339">
        <v>17872</v>
      </c>
      <c r="AL72" s="339">
        <v>18020</v>
      </c>
      <c r="AM72" s="339">
        <v>18973</v>
      </c>
      <c r="AN72" s="339">
        <v>19692</v>
      </c>
      <c r="AO72" s="339">
        <v>20995</v>
      </c>
      <c r="AP72" s="339">
        <v>22039</v>
      </c>
      <c r="AQ72" s="339">
        <v>20410</v>
      </c>
      <c r="AR72" s="339"/>
      <c r="AS72" s="339"/>
      <c r="AT72" s="339"/>
      <c r="AU72" s="339"/>
      <c r="AV72" s="339"/>
      <c r="AW72" s="339"/>
      <c r="BC72" s="339"/>
      <c r="BD72" s="340"/>
      <c r="BE72" s="340"/>
      <c r="BG72" s="341"/>
      <c r="BK72" s="342"/>
    </row>
    <row r="73" spans="1:63" ht="5.0999999999999996" customHeight="1" outlineLevel="1">
      <c r="A73" s="343"/>
      <c r="B73" s="229"/>
      <c r="C73" s="228"/>
      <c r="D73" s="228"/>
      <c r="E73" s="167"/>
      <c r="F73" s="167"/>
      <c r="G73" s="167"/>
      <c r="H73" s="167"/>
      <c r="I73" s="167"/>
      <c r="J73" s="167"/>
      <c r="K73" s="167"/>
      <c r="L73" s="167"/>
      <c r="M73" s="167"/>
      <c r="N73" s="167"/>
      <c r="O73" s="197"/>
      <c r="P73" s="198"/>
      <c r="Q73" s="199"/>
      <c r="R73" s="198"/>
      <c r="S73" s="198"/>
      <c r="T73" s="198"/>
      <c r="U73" s="198"/>
      <c r="V73" s="198"/>
      <c r="W73" s="198"/>
      <c r="X73" s="231"/>
      <c r="Y73" s="229"/>
      <c r="Z73" s="231"/>
      <c r="AA73" s="229"/>
      <c r="AB73" s="231"/>
      <c r="AC73" s="229"/>
      <c r="AD73" s="231"/>
      <c r="AE73" s="231"/>
      <c r="AF73" s="231"/>
      <c r="AG73" s="231"/>
      <c r="AH73" s="231"/>
      <c r="AI73" s="338"/>
      <c r="AJ73" s="338"/>
      <c r="AK73" s="339"/>
      <c r="AL73" s="339"/>
      <c r="AM73" s="339"/>
      <c r="AN73" s="339"/>
      <c r="AO73" s="339"/>
      <c r="AP73" s="339"/>
      <c r="AQ73" s="339"/>
      <c r="AR73" s="339"/>
      <c r="AS73" s="339"/>
      <c r="AT73" s="339"/>
      <c r="AU73" s="339"/>
      <c r="AV73" s="339"/>
      <c r="AW73" s="339"/>
      <c r="BC73" s="339"/>
      <c r="BD73" s="340"/>
      <c r="BE73" s="340"/>
      <c r="BG73" s="341"/>
      <c r="BK73" s="342"/>
    </row>
    <row r="74" spans="1:63" ht="12" customHeight="1" outlineLevel="1">
      <c r="A74" s="343"/>
      <c r="B74" s="372" t="s">
        <v>36</v>
      </c>
      <c r="C74" s="228" t="s">
        <v>37</v>
      </c>
      <c r="D74" s="228"/>
      <c r="E74" s="167"/>
      <c r="F74" s="167"/>
      <c r="G74" s="167"/>
      <c r="H74" s="167"/>
      <c r="I74" s="167"/>
      <c r="J74" s="167"/>
      <c r="K74" s="167"/>
      <c r="L74" s="167"/>
      <c r="M74" s="167"/>
      <c r="N74" s="167"/>
      <c r="O74" s="197"/>
      <c r="P74" s="198"/>
      <c r="Q74" s="199"/>
      <c r="R74" s="198"/>
      <c r="S74" s="198"/>
      <c r="T74" s="198"/>
      <c r="U74" s="198"/>
      <c r="V74" s="198"/>
      <c r="W74" s="198"/>
      <c r="X74" s="231">
        <v>49384</v>
      </c>
      <c r="Y74" s="229">
        <v>50159</v>
      </c>
      <c r="Z74" s="231">
        <v>51932</v>
      </c>
      <c r="AA74" s="229">
        <v>54254</v>
      </c>
      <c r="AB74" s="231">
        <v>56459</v>
      </c>
      <c r="AC74" s="229">
        <v>60777</v>
      </c>
      <c r="AD74" s="231">
        <v>63673</v>
      </c>
      <c r="AE74" s="231">
        <v>65312</v>
      </c>
      <c r="AF74" s="231">
        <v>61096</v>
      </c>
      <c r="AG74" s="231">
        <v>64247</v>
      </c>
      <c r="AH74" s="231">
        <v>63433</v>
      </c>
      <c r="AI74" s="338">
        <v>63194</v>
      </c>
      <c r="AJ74" s="338">
        <v>65030</v>
      </c>
      <c r="AK74" s="339">
        <v>67248</v>
      </c>
      <c r="AL74" s="339">
        <v>69315</v>
      </c>
      <c r="AM74" s="339">
        <v>73912</v>
      </c>
      <c r="AN74" s="339">
        <v>76819</v>
      </c>
      <c r="AO74" s="339">
        <v>81470</v>
      </c>
      <c r="AP74" s="339">
        <v>88461</v>
      </c>
      <c r="AQ74" s="339">
        <v>86705</v>
      </c>
      <c r="AR74" s="339"/>
      <c r="AS74" s="339"/>
      <c r="AT74" s="339"/>
      <c r="AU74" s="339"/>
      <c r="AV74" s="339"/>
      <c r="AW74" s="339"/>
      <c r="BC74" s="339"/>
      <c r="BD74" s="340"/>
      <c r="BE74" s="340"/>
      <c r="BG74" s="341"/>
      <c r="BK74" s="342"/>
    </row>
    <row r="75" spans="1:63" ht="5.0999999999999996" customHeight="1" outlineLevel="1">
      <c r="A75" s="343"/>
      <c r="B75" s="229"/>
      <c r="C75" s="228"/>
      <c r="D75" s="228"/>
      <c r="E75" s="167"/>
      <c r="F75" s="167"/>
      <c r="G75" s="167"/>
      <c r="H75" s="167"/>
      <c r="I75" s="167"/>
      <c r="J75" s="167"/>
      <c r="K75" s="167"/>
      <c r="L75" s="167"/>
      <c r="M75" s="167"/>
      <c r="N75" s="167"/>
      <c r="O75" s="197"/>
      <c r="P75" s="198"/>
      <c r="Q75" s="199"/>
      <c r="R75" s="198"/>
      <c r="S75" s="198"/>
      <c r="T75" s="198"/>
      <c r="U75" s="198"/>
      <c r="V75" s="198"/>
      <c r="W75" s="198"/>
      <c r="X75" s="231"/>
      <c r="Y75" s="229"/>
      <c r="Z75" s="231"/>
      <c r="AA75" s="229"/>
      <c r="AB75" s="231"/>
      <c r="AC75" s="229"/>
      <c r="AD75" s="231"/>
      <c r="AE75" s="231"/>
      <c r="AF75" s="231"/>
      <c r="AG75" s="231"/>
      <c r="AH75" s="231"/>
      <c r="AI75" s="338"/>
      <c r="AJ75" s="338"/>
      <c r="AK75" s="339"/>
      <c r="AL75" s="339"/>
      <c r="AM75" s="339"/>
      <c r="AN75" s="339"/>
      <c r="AO75" s="339"/>
      <c r="AP75" s="339"/>
      <c r="AQ75" s="339"/>
      <c r="AR75" s="339"/>
      <c r="AS75" s="339"/>
      <c r="AT75" s="339"/>
      <c r="AU75" s="339"/>
      <c r="AV75" s="339"/>
      <c r="AW75" s="339"/>
      <c r="BC75" s="339"/>
      <c r="BD75" s="340"/>
      <c r="BE75" s="340"/>
      <c r="BG75" s="341"/>
      <c r="BK75" s="342"/>
    </row>
    <row r="76" spans="1:63" ht="12" customHeight="1" outlineLevel="1">
      <c r="A76" s="343"/>
      <c r="B76" s="372" t="s">
        <v>38</v>
      </c>
      <c r="C76" s="228" t="s">
        <v>39</v>
      </c>
      <c r="D76" s="228"/>
      <c r="E76" s="167"/>
      <c r="F76" s="167"/>
      <c r="G76" s="167"/>
      <c r="H76" s="167"/>
      <c r="I76" s="167"/>
      <c r="J76" s="167"/>
      <c r="K76" s="167"/>
      <c r="L76" s="167"/>
      <c r="M76" s="167"/>
      <c r="N76" s="167"/>
      <c r="O76" s="197"/>
      <c r="P76" s="198"/>
      <c r="Q76" s="199"/>
      <c r="R76" s="198"/>
      <c r="S76" s="198"/>
      <c r="T76" s="198"/>
      <c r="U76" s="198"/>
      <c r="V76" s="198"/>
      <c r="W76" s="198"/>
      <c r="X76" s="231">
        <v>54010</v>
      </c>
      <c r="Y76" s="229">
        <v>54890</v>
      </c>
      <c r="Z76" s="231">
        <v>56934</v>
      </c>
      <c r="AA76" s="229">
        <v>59576</v>
      </c>
      <c r="AB76" s="231">
        <v>62129</v>
      </c>
      <c r="AC76" s="229">
        <v>66900</v>
      </c>
      <c r="AD76" s="231">
        <v>70084</v>
      </c>
      <c r="AE76" s="231">
        <v>72274</v>
      </c>
      <c r="AF76" s="231">
        <v>68325</v>
      </c>
      <c r="AG76" s="231">
        <v>71866</v>
      </c>
      <c r="AH76" s="231">
        <v>71221</v>
      </c>
      <c r="AI76" s="338">
        <v>70991</v>
      </c>
      <c r="AJ76" s="338">
        <v>72824</v>
      </c>
      <c r="AK76" s="339">
        <v>75663</v>
      </c>
      <c r="AL76" s="339">
        <v>77889</v>
      </c>
      <c r="AM76" s="339">
        <v>82665</v>
      </c>
      <c r="AN76" s="339">
        <v>85653</v>
      </c>
      <c r="AO76" s="339">
        <v>90531</v>
      </c>
      <c r="AP76" s="339">
        <v>97978</v>
      </c>
      <c r="AQ76" s="339">
        <v>96166</v>
      </c>
      <c r="AR76" s="339"/>
      <c r="AS76" s="339"/>
      <c r="AT76" s="339"/>
      <c r="AU76" s="339"/>
      <c r="AV76" s="339"/>
      <c r="AW76" s="339"/>
      <c r="BC76" s="339"/>
      <c r="BD76" s="340"/>
      <c r="BE76" s="340"/>
      <c r="BG76" s="341"/>
      <c r="BK76" s="342"/>
    </row>
    <row r="77" spans="1:63" ht="12" customHeight="1" outlineLevel="1">
      <c r="A77" s="343"/>
      <c r="B77" s="372"/>
      <c r="C77" s="228"/>
      <c r="D77" s="228"/>
      <c r="E77" s="167"/>
      <c r="F77" s="167"/>
      <c r="G77" s="167"/>
      <c r="H77" s="167"/>
      <c r="I77" s="167"/>
      <c r="J77" s="167"/>
      <c r="K77" s="167"/>
      <c r="L77" s="167"/>
      <c r="M77" s="167"/>
      <c r="N77" s="167"/>
      <c r="O77" s="197"/>
      <c r="P77" s="198"/>
      <c r="Q77" s="199"/>
      <c r="R77" s="198"/>
      <c r="S77" s="198"/>
      <c r="T77" s="198"/>
      <c r="U77" s="198"/>
      <c r="V77" s="198"/>
      <c r="W77" s="198"/>
      <c r="X77" s="231"/>
      <c r="Y77" s="229"/>
      <c r="Z77" s="231"/>
      <c r="AA77" s="229"/>
      <c r="AB77" s="231"/>
      <c r="AC77" s="229"/>
      <c r="AD77" s="231"/>
      <c r="AE77" s="231"/>
      <c r="AF77" s="231"/>
      <c r="AG77" s="231"/>
      <c r="AH77" s="231"/>
      <c r="AI77" s="338"/>
      <c r="AJ77" s="338"/>
      <c r="AK77" s="339"/>
      <c r="AL77" s="339"/>
      <c r="AM77" s="339"/>
      <c r="AN77" s="339"/>
      <c r="AO77" s="339"/>
      <c r="AP77" s="339"/>
      <c r="AQ77" s="339"/>
      <c r="AR77" s="339"/>
      <c r="AS77" s="339"/>
      <c r="AT77" s="339"/>
      <c r="AU77" s="339"/>
      <c r="AV77" s="339"/>
      <c r="AW77" s="339"/>
      <c r="BC77" s="339"/>
      <c r="BD77" s="340"/>
      <c r="BE77" s="340"/>
      <c r="BG77" s="341"/>
      <c r="BK77" s="342"/>
    </row>
    <row r="78" spans="1:63" ht="12" customHeight="1" outlineLevel="1">
      <c r="A78" s="343"/>
      <c r="B78" s="228" t="s">
        <v>40</v>
      </c>
      <c r="D78" s="228"/>
      <c r="E78" s="167"/>
      <c r="F78" s="167"/>
      <c r="G78" s="167"/>
      <c r="H78" s="167"/>
      <c r="I78" s="167"/>
      <c r="J78" s="167"/>
      <c r="K78" s="167"/>
      <c r="L78" s="167"/>
      <c r="M78" s="167"/>
      <c r="N78" s="167"/>
      <c r="O78" s="197"/>
      <c r="P78" s="198"/>
      <c r="Q78" s="199"/>
      <c r="R78" s="198"/>
      <c r="S78" s="198"/>
      <c r="T78" s="198"/>
      <c r="U78" s="198"/>
      <c r="V78" s="198"/>
      <c r="W78" s="198"/>
      <c r="X78" s="231"/>
      <c r="Y78" s="229"/>
      <c r="Z78" s="231"/>
      <c r="AA78" s="229"/>
      <c r="AB78" s="231"/>
      <c r="AC78" s="229"/>
      <c r="AD78" s="231"/>
      <c r="AE78" s="231"/>
      <c r="AF78" s="231"/>
      <c r="AG78" s="231"/>
      <c r="AH78" s="231"/>
      <c r="AI78" s="338"/>
      <c r="AJ78" s="338"/>
      <c r="AK78" s="339"/>
      <c r="AL78" s="339"/>
      <c r="AM78" s="339"/>
      <c r="AN78" s="339"/>
      <c r="AO78" s="339"/>
      <c r="AP78" s="339"/>
      <c r="AQ78" s="339"/>
      <c r="AR78" s="339"/>
      <c r="AS78" s="339"/>
      <c r="AT78" s="339"/>
      <c r="AU78" s="339"/>
      <c r="AV78" s="339"/>
      <c r="AW78" s="339"/>
      <c r="BC78" s="339"/>
      <c r="BD78" s="340"/>
      <c r="BE78" s="340"/>
      <c r="BG78" s="341"/>
      <c r="BK78" s="342"/>
    </row>
    <row r="79" spans="1:63" ht="6" customHeight="1" outlineLevel="1">
      <c r="A79" s="343"/>
      <c r="B79" s="229"/>
      <c r="C79" s="228"/>
      <c r="D79" s="228"/>
      <c r="E79" s="167"/>
      <c r="F79" s="167"/>
      <c r="G79" s="167"/>
      <c r="H79" s="167"/>
      <c r="I79" s="167"/>
      <c r="J79" s="167"/>
      <c r="K79" s="167"/>
      <c r="L79" s="167"/>
      <c r="M79" s="167"/>
      <c r="N79" s="167"/>
      <c r="O79" s="197"/>
      <c r="P79" s="198"/>
      <c r="Q79" s="199"/>
      <c r="R79" s="198"/>
      <c r="S79" s="198"/>
      <c r="T79" s="198"/>
      <c r="U79" s="198"/>
      <c r="V79" s="198"/>
      <c r="W79" s="198"/>
      <c r="X79" s="231"/>
      <c r="Y79" s="229"/>
      <c r="Z79" s="231"/>
      <c r="AA79" s="229"/>
      <c r="AB79" s="231"/>
      <c r="AC79" s="229"/>
      <c r="AD79" s="231"/>
      <c r="AE79" s="231"/>
      <c r="AF79" s="231"/>
      <c r="AG79" s="231"/>
      <c r="AH79" s="231"/>
      <c r="AI79" s="338"/>
      <c r="AJ79" s="338"/>
      <c r="AK79" s="339"/>
      <c r="AL79" s="339"/>
      <c r="AM79" s="339"/>
      <c r="AN79" s="339"/>
      <c r="AO79" s="339"/>
      <c r="AP79" s="339"/>
      <c r="AQ79" s="339"/>
      <c r="AR79" s="339"/>
      <c r="AS79" s="339"/>
      <c r="AT79" s="339"/>
      <c r="AU79" s="339"/>
      <c r="AV79" s="339"/>
      <c r="AW79" s="339"/>
      <c r="BC79" s="339"/>
      <c r="BD79" s="340"/>
      <c r="BE79" s="340"/>
      <c r="BG79" s="341"/>
      <c r="BK79" s="342"/>
    </row>
    <row r="80" spans="1:63" ht="12" customHeight="1" outlineLevel="1">
      <c r="A80" s="343"/>
      <c r="B80" s="373" t="s">
        <v>41</v>
      </c>
      <c r="C80" s="240" t="s">
        <v>42</v>
      </c>
      <c r="D80" s="240"/>
      <c r="E80" s="167"/>
      <c r="F80" s="167"/>
      <c r="G80" s="167"/>
      <c r="H80" s="167"/>
      <c r="I80" s="167"/>
      <c r="J80" s="167"/>
      <c r="K80" s="167"/>
      <c r="L80" s="167"/>
      <c r="M80" s="167"/>
      <c r="N80" s="167"/>
      <c r="O80" s="197"/>
      <c r="P80" s="198"/>
      <c r="Q80" s="199"/>
      <c r="R80" s="198"/>
      <c r="S80" s="198"/>
      <c r="T80" s="198"/>
      <c r="U80" s="198"/>
      <c r="V80" s="198"/>
      <c r="W80" s="198"/>
      <c r="X80" s="374">
        <f>X69/X67</f>
        <v>0.15705170986945727</v>
      </c>
      <c r="Y80" s="242">
        <f t="shared" ref="Y80:AQ80" si="9">Y69/Y67</f>
        <v>0.15098421415593127</v>
      </c>
      <c r="Z80" s="374">
        <f t="shared" si="9"/>
        <v>0.15148126079051505</v>
      </c>
      <c r="AA80" s="242">
        <f t="shared" si="9"/>
        <v>0.15511177079116628</v>
      </c>
      <c r="AB80" s="374">
        <f t="shared" si="9"/>
        <v>0.15661343024321547</v>
      </c>
      <c r="AC80" s="242">
        <f t="shared" si="9"/>
        <v>0.16010231449289758</v>
      </c>
      <c r="AD80" s="374">
        <f t="shared" si="9"/>
        <v>0.15955099956300381</v>
      </c>
      <c r="AE80" s="374">
        <f t="shared" si="9"/>
        <v>0.15719322667669219</v>
      </c>
      <c r="AF80" s="374">
        <f t="shared" si="9"/>
        <v>0.14812865108529549</v>
      </c>
      <c r="AG80" s="374">
        <f t="shared" si="9"/>
        <v>0.15262493595431198</v>
      </c>
      <c r="AH80" s="374">
        <f t="shared" si="9"/>
        <v>0.14722264592856474</v>
      </c>
      <c r="AI80" s="375">
        <f t="shared" si="9"/>
        <v>0.14454397095272234</v>
      </c>
      <c r="AJ80" s="375">
        <f t="shared" si="9"/>
        <v>0.14489106745890332</v>
      </c>
      <c r="AK80" s="376">
        <f t="shared" si="9"/>
        <v>0.1448862074488047</v>
      </c>
      <c r="AL80" s="376">
        <f t="shared" si="9"/>
        <v>0.14826627720719873</v>
      </c>
      <c r="AM80" s="376">
        <f t="shared" si="9"/>
        <v>0.15525403580624414</v>
      </c>
      <c r="AN80" s="376">
        <f t="shared" si="9"/>
        <v>0.15639714558633477</v>
      </c>
      <c r="AO80" s="376">
        <f t="shared" si="9"/>
        <v>0.158243337444367</v>
      </c>
      <c r="AP80" s="376">
        <f t="shared" si="9"/>
        <v>0.1648481486047754</v>
      </c>
      <c r="AQ80" s="376">
        <f t="shared" si="9"/>
        <v>0.16663807763087954</v>
      </c>
      <c r="AR80" s="339"/>
      <c r="AS80" s="339"/>
      <c r="AT80" s="339"/>
      <c r="AU80" s="339"/>
      <c r="AV80" s="339"/>
      <c r="AW80" s="339"/>
      <c r="BC80" s="339"/>
      <c r="BD80" s="340"/>
      <c r="BE80" s="340"/>
      <c r="BG80" s="341"/>
      <c r="BK80" s="342"/>
    </row>
    <row r="81" spans="1:63" ht="5.0999999999999996" customHeight="1" outlineLevel="1">
      <c r="A81" s="343"/>
      <c r="B81" s="229"/>
      <c r="C81" s="228"/>
      <c r="D81" s="228"/>
      <c r="E81" s="167"/>
      <c r="F81" s="167"/>
      <c r="G81" s="167"/>
      <c r="H81" s="167"/>
      <c r="I81" s="167"/>
      <c r="J81" s="167"/>
      <c r="K81" s="167"/>
      <c r="L81" s="167"/>
      <c r="M81" s="167"/>
      <c r="N81" s="167"/>
      <c r="O81" s="197"/>
      <c r="P81" s="198"/>
      <c r="Q81" s="199"/>
      <c r="R81" s="198"/>
      <c r="S81" s="198"/>
      <c r="T81" s="198"/>
      <c r="U81" s="198"/>
      <c r="V81" s="198"/>
      <c r="W81" s="198"/>
      <c r="X81" s="231"/>
      <c r="Y81" s="229"/>
      <c r="Z81" s="231"/>
      <c r="AA81" s="229"/>
      <c r="AB81" s="231"/>
      <c r="AC81" s="229"/>
      <c r="AD81" s="231"/>
      <c r="AE81" s="231"/>
      <c r="AF81" s="231"/>
      <c r="AG81" s="231"/>
      <c r="AH81" s="231"/>
      <c r="AI81" s="377"/>
      <c r="AJ81" s="377"/>
      <c r="AK81" s="378"/>
      <c r="AL81" s="378"/>
      <c r="AM81" s="378"/>
      <c r="AN81" s="378"/>
      <c r="AO81" s="378"/>
      <c r="AP81" s="378"/>
      <c r="AQ81" s="378"/>
      <c r="AR81" s="339"/>
      <c r="AS81" s="339"/>
      <c r="AT81" s="339"/>
      <c r="AU81" s="339"/>
      <c r="AV81" s="339"/>
      <c r="AW81" s="339"/>
      <c r="BC81" s="339"/>
      <c r="BD81" s="340"/>
      <c r="BE81" s="340"/>
      <c r="BG81" s="341"/>
      <c r="BK81" s="342"/>
    </row>
    <row r="82" spans="1:63" ht="12" customHeight="1" outlineLevel="1">
      <c r="A82" s="343"/>
      <c r="B82" s="372" t="s">
        <v>43</v>
      </c>
      <c r="C82" s="228" t="s">
        <v>44</v>
      </c>
      <c r="D82" s="228"/>
      <c r="E82" s="167"/>
      <c r="F82" s="167"/>
      <c r="G82" s="167"/>
      <c r="H82" s="167"/>
      <c r="I82" s="167"/>
      <c r="J82" s="167"/>
      <c r="K82" s="167"/>
      <c r="L82" s="167"/>
      <c r="M82" s="167"/>
      <c r="N82" s="167"/>
      <c r="O82" s="197"/>
      <c r="P82" s="198"/>
      <c r="Q82" s="199"/>
      <c r="R82" s="198"/>
      <c r="S82" s="198"/>
      <c r="T82" s="198"/>
      <c r="U82" s="198"/>
      <c r="V82" s="198"/>
      <c r="W82" s="198"/>
      <c r="X82" s="379">
        <f>X76/X67</f>
        <v>0.18023038522117515</v>
      </c>
      <c r="Y82" s="229">
        <f t="shared" ref="Y82:AQ82" si="10">Y76/Y67</f>
        <v>0.17284759244622327</v>
      </c>
      <c r="Z82" s="379">
        <f t="shared" si="10"/>
        <v>0.17397442361461246</v>
      </c>
      <c r="AA82" s="229">
        <f t="shared" si="10"/>
        <v>0.17864135894091365</v>
      </c>
      <c r="AB82" s="379">
        <f t="shared" si="10"/>
        <v>0.1807720396756351</v>
      </c>
      <c r="AC82" s="229">
        <f t="shared" si="10"/>
        <v>0.1845965365385252</v>
      </c>
      <c r="AD82" s="379">
        <f t="shared" si="10"/>
        <v>0.18449663828823848</v>
      </c>
      <c r="AE82" s="379">
        <f t="shared" si="10"/>
        <v>0.18359404768557799</v>
      </c>
      <c r="AF82" s="379">
        <f t="shared" si="10"/>
        <v>0.1746004569127215</v>
      </c>
      <c r="AG82" s="379">
        <f t="shared" si="10"/>
        <v>0.1796178503142925</v>
      </c>
      <c r="AH82" s="379">
        <f t="shared" si="10"/>
        <v>0.17522006760713074</v>
      </c>
      <c r="AI82" s="377">
        <f t="shared" si="10"/>
        <v>0.17369401022233205</v>
      </c>
      <c r="AJ82" s="377">
        <f t="shared" si="10"/>
        <v>0.17654174636305675</v>
      </c>
      <c r="AK82" s="378">
        <f t="shared" si="10"/>
        <v>0.18086095580484238</v>
      </c>
      <c r="AL82" s="378">
        <f t="shared" si="10"/>
        <v>0.18347545463111278</v>
      </c>
      <c r="AM82" s="378">
        <f t="shared" si="10"/>
        <v>0.19192861968809422</v>
      </c>
      <c r="AN82" s="378">
        <f t="shared" si="10"/>
        <v>0.19251109737596225</v>
      </c>
      <c r="AO82" s="378">
        <f t="shared" si="10"/>
        <v>0.19417877634189501</v>
      </c>
      <c r="AP82" s="378">
        <f t="shared" si="10"/>
        <v>0.20132741544404717</v>
      </c>
      <c r="AQ82" s="378">
        <f t="shared" si="10"/>
        <v>0.20365134929660383</v>
      </c>
      <c r="AR82" s="339"/>
      <c r="AS82" s="339"/>
      <c r="AT82" s="339"/>
      <c r="AU82" s="339"/>
      <c r="AV82" s="339"/>
      <c r="AW82" s="339"/>
      <c r="BC82" s="339"/>
      <c r="BD82" s="340"/>
      <c r="BE82" s="340"/>
      <c r="BG82" s="341"/>
      <c r="BK82" s="342"/>
    </row>
    <row r="83" spans="1:63" ht="5.0999999999999996" customHeight="1" outlineLevel="1">
      <c r="A83" s="343"/>
      <c r="B83" s="229"/>
      <c r="C83" s="228"/>
      <c r="D83" s="228"/>
      <c r="E83" s="167"/>
      <c r="F83" s="167"/>
      <c r="G83" s="167"/>
      <c r="H83" s="167"/>
      <c r="I83" s="167"/>
      <c r="J83" s="167"/>
      <c r="K83" s="167"/>
      <c r="L83" s="167"/>
      <c r="M83" s="167"/>
      <c r="N83" s="167"/>
      <c r="O83" s="197"/>
      <c r="P83" s="198"/>
      <c r="Q83" s="199"/>
      <c r="R83" s="198"/>
      <c r="S83" s="198"/>
      <c r="T83" s="198"/>
      <c r="U83" s="198"/>
      <c r="V83" s="198"/>
      <c r="W83" s="198"/>
      <c r="X83" s="231"/>
      <c r="Y83" s="229"/>
      <c r="Z83" s="231"/>
      <c r="AA83" s="229"/>
      <c r="AB83" s="231"/>
      <c r="AC83" s="229"/>
      <c r="AD83" s="231"/>
      <c r="AE83" s="231"/>
      <c r="AF83" s="231"/>
      <c r="AG83" s="231"/>
      <c r="AH83" s="231"/>
      <c r="AI83" s="377"/>
      <c r="AJ83" s="377"/>
      <c r="AK83" s="378"/>
      <c r="AL83" s="378"/>
      <c r="AM83" s="378"/>
      <c r="AN83" s="378"/>
      <c r="AO83" s="378"/>
      <c r="AP83" s="378"/>
      <c r="AQ83" s="378"/>
      <c r="AR83" s="339"/>
      <c r="AS83" s="339"/>
      <c r="AT83" s="339"/>
      <c r="AU83" s="339"/>
      <c r="AV83" s="339"/>
      <c r="AW83" s="339"/>
      <c r="BC83" s="339"/>
      <c r="BD83" s="340"/>
      <c r="BE83" s="340"/>
      <c r="BG83" s="341"/>
      <c r="BK83" s="342"/>
    </row>
    <row r="84" spans="1:63" ht="12" customHeight="1" outlineLevel="1">
      <c r="A84" s="343"/>
      <c r="B84" s="372" t="s">
        <v>45</v>
      </c>
      <c r="C84" s="228" t="s">
        <v>46</v>
      </c>
      <c r="D84" s="228"/>
      <c r="E84" s="167"/>
      <c r="F84" s="167"/>
      <c r="G84" s="167"/>
      <c r="H84" s="167"/>
      <c r="I84" s="167"/>
      <c r="J84" s="167"/>
      <c r="K84" s="167"/>
      <c r="L84" s="167"/>
      <c r="M84" s="167"/>
      <c r="N84" s="167"/>
      <c r="O84" s="197"/>
      <c r="P84" s="198"/>
      <c r="Q84" s="199"/>
      <c r="R84" s="198"/>
      <c r="S84" s="198"/>
      <c r="T84" s="198"/>
      <c r="U84" s="198"/>
      <c r="V84" s="198"/>
      <c r="W84" s="198"/>
      <c r="X84" s="379">
        <f>X76/X65</f>
        <v>0.22537597436197027</v>
      </c>
      <c r="Y84" s="229">
        <f t="shared" ref="Y84:AQ84" si="11">Y76/Y65</f>
        <v>0.21893559568111745</v>
      </c>
      <c r="Z84" s="379">
        <f t="shared" si="11"/>
        <v>0.2222126815864863</v>
      </c>
      <c r="AA84" s="229">
        <f t="shared" si="11"/>
        <v>0.22770827838995844</v>
      </c>
      <c r="AB84" s="379">
        <f t="shared" si="11"/>
        <v>0.23106676237266577</v>
      </c>
      <c r="AC84" s="229">
        <f t="shared" si="11"/>
        <v>0.24248882702826136</v>
      </c>
      <c r="AD84" s="379">
        <f t="shared" si="11"/>
        <v>0.24435007565773417</v>
      </c>
      <c r="AE84" s="229">
        <f t="shared" si="11"/>
        <v>0.24463753202925875</v>
      </c>
      <c r="AF84" s="379">
        <f t="shared" si="11"/>
        <v>0.23929016712662679</v>
      </c>
      <c r="AG84" s="379">
        <f t="shared" si="11"/>
        <v>0.24737959925510053</v>
      </c>
      <c r="AH84" s="379">
        <f t="shared" si="11"/>
        <v>0.2399475774798783</v>
      </c>
      <c r="AI84" s="377">
        <f t="shared" si="11"/>
        <v>0.23889260920627123</v>
      </c>
      <c r="AJ84" s="377">
        <f t="shared" si="11"/>
        <v>0.24239035284798013</v>
      </c>
      <c r="AK84" s="378">
        <f t="shared" si="11"/>
        <v>0.24869183944465625</v>
      </c>
      <c r="AL84" s="378">
        <f t="shared" si="11"/>
        <v>0.25059520745392772</v>
      </c>
      <c r="AM84" s="378">
        <f t="shared" si="11"/>
        <v>0.26156416414325989</v>
      </c>
      <c r="AN84" s="378">
        <f t="shared" si="11"/>
        <v>0.26172687854648125</v>
      </c>
      <c r="AO84" s="378">
        <f t="shared" si="11"/>
        <v>0.26505152828200024</v>
      </c>
      <c r="AP84" s="378">
        <f t="shared" si="11"/>
        <v>0.2771286420193072</v>
      </c>
      <c r="AQ84" s="378">
        <f t="shared" si="11"/>
        <v>0.28687001267805207</v>
      </c>
      <c r="AR84" s="339"/>
      <c r="AS84" s="339"/>
      <c r="AT84" s="339"/>
      <c r="AU84" s="339"/>
      <c r="AV84" s="339"/>
      <c r="AW84" s="339"/>
      <c r="BC84" s="339"/>
      <c r="BD84" s="340"/>
      <c r="BE84" s="340"/>
      <c r="BG84" s="341"/>
      <c r="BK84" s="342"/>
    </row>
    <row r="85" spans="1:63" ht="5.0999999999999996" customHeight="1" outlineLevel="1">
      <c r="A85" s="343"/>
      <c r="B85" s="238"/>
      <c r="C85" s="238"/>
      <c r="D85" s="238"/>
      <c r="E85" s="562"/>
      <c r="F85" s="562"/>
      <c r="G85" s="562"/>
      <c r="H85" s="562"/>
      <c r="I85" s="562"/>
      <c r="J85" s="562"/>
      <c r="K85" s="562"/>
      <c r="L85" s="562"/>
      <c r="M85" s="562"/>
      <c r="N85" s="562"/>
      <c r="O85" s="561"/>
      <c r="P85" s="194"/>
      <c r="Q85" s="194"/>
      <c r="R85" s="194"/>
      <c r="S85" s="194"/>
      <c r="T85" s="194"/>
      <c r="U85" s="194"/>
      <c r="V85" s="194"/>
      <c r="W85" s="194"/>
      <c r="X85" s="230"/>
      <c r="Y85" s="230"/>
      <c r="Z85" s="230"/>
      <c r="AA85" s="230"/>
      <c r="AB85" s="230"/>
      <c r="AC85" s="230"/>
      <c r="AD85" s="230"/>
      <c r="AE85" s="230"/>
      <c r="AF85" s="230"/>
      <c r="AG85" s="230"/>
      <c r="AH85" s="230"/>
      <c r="AI85" s="230"/>
      <c r="AJ85" s="230"/>
      <c r="AK85" s="230"/>
      <c r="AL85" s="230"/>
      <c r="AM85" s="230"/>
      <c r="AN85" s="230"/>
      <c r="AO85" s="230"/>
      <c r="AP85" s="230"/>
      <c r="AQ85" s="230"/>
      <c r="AR85" s="339"/>
      <c r="AS85" s="339"/>
      <c r="AT85" s="339"/>
      <c r="AU85" s="339"/>
      <c r="AV85" s="339"/>
      <c r="AW85" s="339"/>
      <c r="BC85" s="339"/>
      <c r="BD85" s="340"/>
      <c r="BE85" s="340"/>
      <c r="BG85" s="341"/>
      <c r="BK85" s="342"/>
    </row>
    <row r="86" spans="1:63" ht="6" customHeight="1" outlineLevel="1">
      <c r="A86" s="343"/>
      <c r="B86" s="228"/>
      <c r="C86" s="228"/>
      <c r="D86" s="228"/>
      <c r="E86" s="167"/>
      <c r="F86" s="167"/>
      <c r="G86" s="167"/>
      <c r="H86" s="167"/>
      <c r="I86" s="167"/>
      <c r="J86" s="167"/>
      <c r="K86" s="167"/>
      <c r="L86" s="167"/>
      <c r="M86" s="167"/>
      <c r="N86" s="167"/>
      <c r="O86" s="197"/>
      <c r="P86" s="198"/>
      <c r="Q86" s="199"/>
      <c r="R86" s="198"/>
      <c r="S86" s="198"/>
      <c r="T86" s="198"/>
      <c r="U86" s="198"/>
      <c r="V86" s="198"/>
      <c r="W86" s="198"/>
      <c r="X86" s="229"/>
      <c r="Y86" s="229"/>
      <c r="Z86" s="229"/>
      <c r="AA86" s="229"/>
      <c r="AB86" s="229"/>
      <c r="AC86" s="229"/>
      <c r="AD86" s="229"/>
      <c r="AE86" s="229"/>
      <c r="AF86" s="229"/>
      <c r="AG86" s="349"/>
      <c r="AH86" s="339"/>
      <c r="AI86" s="339"/>
      <c r="AJ86" s="339"/>
      <c r="AK86" s="339"/>
      <c r="AL86" s="339"/>
      <c r="AM86" s="339"/>
      <c r="AN86" s="339"/>
      <c r="AO86" s="339"/>
      <c r="AP86" s="339"/>
      <c r="AQ86" s="339"/>
      <c r="AR86" s="339"/>
      <c r="AS86" s="339"/>
      <c r="AT86" s="339"/>
      <c r="AU86" s="339"/>
      <c r="AV86" s="339"/>
      <c r="AW86" s="339"/>
      <c r="BC86" s="339"/>
      <c r="BD86" s="340"/>
      <c r="BE86" s="340"/>
      <c r="BG86" s="341"/>
      <c r="BK86" s="342"/>
    </row>
    <row r="87" spans="1:63" ht="39" customHeight="1" outlineLevel="1">
      <c r="A87" s="343"/>
      <c r="B87" s="1955" t="s">
        <v>47</v>
      </c>
      <c r="C87" s="2031"/>
      <c r="D87" s="2031"/>
      <c r="E87" s="2031"/>
      <c r="F87" s="2031"/>
      <c r="G87" s="2031"/>
      <c r="H87" s="2031"/>
      <c r="I87" s="2031"/>
      <c r="J87" s="2031"/>
      <c r="K87" s="2031"/>
      <c r="L87" s="2031"/>
      <c r="M87" s="2031"/>
      <c r="N87" s="2031"/>
      <c r="O87" s="2031"/>
      <c r="P87" s="2031"/>
      <c r="Q87" s="2031"/>
      <c r="R87" s="2031"/>
      <c r="S87" s="2031"/>
      <c r="T87" s="2031"/>
      <c r="U87" s="2031"/>
      <c r="V87" s="2031"/>
      <c r="W87" s="2031"/>
      <c r="X87" s="2031"/>
      <c r="Y87" s="2031"/>
      <c r="Z87" s="2031"/>
      <c r="AA87" s="2031"/>
      <c r="AB87" s="2031"/>
      <c r="AC87" s="2031"/>
      <c r="AD87" s="2031"/>
      <c r="AE87" s="629"/>
      <c r="AF87" s="629"/>
      <c r="AG87" s="349"/>
      <c r="AH87" s="339"/>
      <c r="AI87" s="339"/>
      <c r="AJ87" s="339"/>
      <c r="AK87" s="339"/>
      <c r="AL87" s="339"/>
      <c r="AM87" s="339"/>
      <c r="AN87" s="339"/>
      <c r="AO87" s="339"/>
      <c r="AP87" s="339"/>
      <c r="AQ87" s="339"/>
      <c r="AR87" s="339"/>
      <c r="AS87" s="339"/>
      <c r="AT87" s="339"/>
      <c r="AU87" s="339"/>
      <c r="AV87" s="339"/>
      <c r="AW87" s="339"/>
      <c r="BC87" s="339"/>
      <c r="BD87" s="340"/>
      <c r="BE87" s="340"/>
      <c r="BG87" s="341"/>
      <c r="BK87" s="342"/>
    </row>
    <row r="88" spans="1:63" ht="12" customHeight="1">
      <c r="A88" s="343"/>
      <c r="B88" s="228"/>
      <c r="E88" s="355"/>
      <c r="F88" s="355"/>
      <c r="G88" s="355"/>
      <c r="H88" s="355"/>
      <c r="I88" s="355"/>
      <c r="J88" s="355"/>
      <c r="K88" s="355"/>
      <c r="L88" s="355"/>
      <c r="M88" s="355"/>
      <c r="N88" s="355"/>
      <c r="O88" s="355"/>
      <c r="P88" s="356"/>
      <c r="Q88" s="356"/>
      <c r="R88" s="356"/>
      <c r="S88" s="356"/>
      <c r="T88" s="356"/>
      <c r="U88" s="356"/>
      <c r="V88" s="357"/>
      <c r="W88" s="354"/>
      <c r="X88" s="366"/>
      <c r="Y88" s="366"/>
      <c r="Z88" s="366"/>
      <c r="AA88" s="366"/>
      <c r="AB88" s="366"/>
      <c r="AC88" s="366"/>
      <c r="AD88" s="366"/>
      <c r="AE88" s="366"/>
      <c r="AF88" s="366"/>
      <c r="AG88" s="349"/>
      <c r="AH88" s="339"/>
      <c r="AI88" s="339"/>
      <c r="AJ88" s="339"/>
      <c r="AK88" s="339"/>
      <c r="AL88" s="339"/>
      <c r="AM88" s="339"/>
      <c r="AN88" s="339"/>
      <c r="AO88" s="339"/>
      <c r="AP88" s="339"/>
      <c r="AQ88" s="339"/>
      <c r="AR88" s="339"/>
      <c r="AS88" s="339"/>
      <c r="AT88" s="339"/>
      <c r="AU88" s="339"/>
      <c r="AV88" s="339"/>
      <c r="AW88" s="339"/>
      <c r="BC88" s="339"/>
      <c r="BD88" s="340"/>
      <c r="BE88" s="340"/>
      <c r="BG88" s="341"/>
      <c r="BK88" s="342"/>
    </row>
    <row r="89" spans="1:63" ht="12" customHeight="1">
      <c r="A89" s="343"/>
      <c r="B89" s="228"/>
      <c r="E89" s="355"/>
      <c r="F89" s="355"/>
      <c r="G89" s="355"/>
      <c r="H89" s="355"/>
      <c r="I89" s="355"/>
      <c r="J89" s="355"/>
      <c r="K89" s="355"/>
      <c r="L89" s="355"/>
      <c r="M89" s="355"/>
      <c r="N89" s="355"/>
      <c r="O89" s="355"/>
      <c r="P89" s="356"/>
      <c r="Q89" s="356"/>
      <c r="R89" s="356"/>
      <c r="S89" s="356"/>
      <c r="T89" s="356"/>
      <c r="U89" s="356"/>
      <c r="V89" s="357"/>
      <c r="W89" s="354"/>
      <c r="X89" s="366"/>
      <c r="Y89" s="366"/>
      <c r="Z89" s="366"/>
      <c r="AA89" s="366"/>
      <c r="AB89" s="366"/>
      <c r="AC89" s="366"/>
      <c r="AD89" s="366"/>
      <c r="AE89" s="366"/>
      <c r="AF89" s="366"/>
      <c r="AG89" s="349"/>
      <c r="AH89" s="339"/>
      <c r="AI89" s="339"/>
      <c r="AJ89" s="339"/>
      <c r="AK89" s="339"/>
      <c r="AL89" s="339"/>
      <c r="AM89" s="339"/>
      <c r="AN89" s="339"/>
      <c r="AO89" s="339"/>
      <c r="AP89" s="339"/>
      <c r="AQ89" s="339"/>
      <c r="AR89" s="339"/>
      <c r="AS89" s="339"/>
      <c r="AT89" s="339"/>
      <c r="AU89" s="339"/>
      <c r="AV89" s="339"/>
      <c r="AW89" s="339"/>
      <c r="BC89" s="339"/>
      <c r="BD89" s="340"/>
      <c r="BE89" s="340"/>
      <c r="BG89" s="341"/>
      <c r="BK89" s="342"/>
    </row>
    <row r="90" spans="1:63" ht="12" customHeight="1">
      <c r="A90" s="343"/>
      <c r="B90" s="232" t="s">
        <v>48</v>
      </c>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49"/>
      <c r="AH90" s="339"/>
      <c r="AI90" s="339"/>
      <c r="AJ90" s="339"/>
      <c r="AK90" s="339"/>
      <c r="AL90" s="339"/>
      <c r="AM90" s="339"/>
      <c r="AN90" s="339"/>
      <c r="AO90" s="339"/>
      <c r="AP90" s="339"/>
      <c r="AQ90" s="339"/>
      <c r="AR90" s="339"/>
      <c r="AS90" s="339"/>
      <c r="AT90" s="339"/>
      <c r="AU90" s="339"/>
      <c r="AV90" s="339"/>
      <c r="AW90" s="339"/>
      <c r="BC90" s="339"/>
      <c r="BD90" s="340"/>
      <c r="BE90" s="340"/>
      <c r="BG90" s="341"/>
      <c r="BK90" s="342"/>
    </row>
    <row r="91" spans="1:63" ht="12" customHeight="1">
      <c r="A91" s="343"/>
      <c r="B91" s="562"/>
      <c r="C91" s="381"/>
      <c r="D91" s="381"/>
      <c r="E91" s="381"/>
      <c r="F91" s="381"/>
      <c r="G91" s="381"/>
      <c r="H91" s="381"/>
      <c r="I91" s="381"/>
      <c r="J91" s="381"/>
      <c r="K91" s="381"/>
      <c r="L91" s="381"/>
      <c r="M91" s="381"/>
      <c r="N91" s="381"/>
      <c r="O91" s="382"/>
      <c r="P91" s="383"/>
      <c r="Q91" s="383"/>
      <c r="R91" s="383"/>
      <c r="S91" s="383"/>
      <c r="T91" s="383"/>
      <c r="U91" s="383"/>
      <c r="V91" s="383"/>
      <c r="W91" s="383"/>
      <c r="X91" s="384"/>
      <c r="Y91" s="384"/>
      <c r="Z91" s="384"/>
      <c r="AA91" s="384"/>
      <c r="AB91" s="384"/>
      <c r="AC91" s="384"/>
      <c r="AD91" s="385"/>
      <c r="AE91" s="385"/>
      <c r="AF91" s="385"/>
      <c r="AG91" s="349"/>
      <c r="AH91" s="339"/>
      <c r="AI91" s="339"/>
      <c r="AJ91" s="339"/>
      <c r="AN91" s="339"/>
      <c r="AO91" s="339"/>
      <c r="AP91" s="339"/>
      <c r="AQ91" s="339"/>
      <c r="AR91" s="339"/>
      <c r="AS91" s="339"/>
      <c r="AT91" s="339"/>
      <c r="AU91" s="339"/>
      <c r="AV91" s="339"/>
      <c r="AW91" s="339"/>
      <c r="BC91" s="339"/>
      <c r="BD91" s="340"/>
      <c r="BE91" s="340"/>
      <c r="BG91" s="341"/>
      <c r="BK91" s="342"/>
    </row>
    <row r="92" spans="1:63" ht="12" customHeight="1">
      <c r="A92" s="343"/>
      <c r="B92" s="209"/>
      <c r="C92" s="386"/>
      <c r="D92" s="386"/>
      <c r="E92" s="386"/>
      <c r="F92" s="386"/>
      <c r="G92" s="386"/>
      <c r="H92" s="386"/>
      <c r="I92" s="386"/>
      <c r="J92" s="386"/>
      <c r="K92" s="386"/>
      <c r="L92" s="386"/>
      <c r="M92" s="386"/>
      <c r="N92" s="386"/>
      <c r="O92" s="387"/>
      <c r="P92" s="388"/>
      <c r="Q92" s="388"/>
      <c r="R92" s="388"/>
      <c r="S92" s="388"/>
      <c r="T92" s="388"/>
      <c r="U92" s="388"/>
      <c r="V92" s="388"/>
      <c r="W92" s="388"/>
      <c r="X92" s="211">
        <v>2001</v>
      </c>
      <c r="Y92" s="196"/>
      <c r="Z92" s="211">
        <v>2003</v>
      </c>
      <c r="AA92" s="211"/>
      <c r="AB92" s="211">
        <v>2005</v>
      </c>
      <c r="AC92" s="211"/>
      <c r="AD92" s="211" t="s">
        <v>1416</v>
      </c>
      <c r="AE92" s="211"/>
      <c r="AF92" s="211">
        <v>2009</v>
      </c>
      <c r="AG92" s="211">
        <v>2010</v>
      </c>
      <c r="AH92" s="211">
        <v>2011</v>
      </c>
      <c r="AI92" s="211">
        <v>2012</v>
      </c>
      <c r="AJ92" s="211">
        <v>2013</v>
      </c>
      <c r="AK92" s="211">
        <v>2014</v>
      </c>
      <c r="AL92" s="211">
        <v>2015</v>
      </c>
      <c r="AM92" s="211">
        <v>2016</v>
      </c>
      <c r="AN92" s="211">
        <v>2017</v>
      </c>
      <c r="AO92" s="211">
        <v>2018</v>
      </c>
      <c r="AP92" s="211">
        <v>2019</v>
      </c>
      <c r="AQ92" s="211">
        <v>2020</v>
      </c>
      <c r="AR92" s="339"/>
      <c r="AS92" s="339"/>
      <c r="AT92" s="339"/>
      <c r="AU92" s="339"/>
      <c r="AV92" s="339"/>
      <c r="AW92" s="339"/>
      <c r="AX92" s="574">
        <v>2005</v>
      </c>
      <c r="AY92" s="339"/>
      <c r="BC92" s="339"/>
      <c r="BD92" s="340"/>
      <c r="BE92" s="340"/>
      <c r="BG92" s="341"/>
      <c r="BK92" s="342"/>
    </row>
    <row r="93" spans="1:63" ht="12" customHeight="1">
      <c r="A93" s="343"/>
      <c r="B93" s="228"/>
      <c r="C93" s="228"/>
      <c r="D93" s="228"/>
      <c r="E93" s="228"/>
      <c r="F93" s="228"/>
      <c r="G93" s="228"/>
      <c r="H93" s="228"/>
      <c r="I93" s="228"/>
      <c r="J93" s="228"/>
      <c r="K93" s="228"/>
      <c r="L93" s="228"/>
      <c r="M93" s="228"/>
      <c r="N93" s="228"/>
      <c r="O93" s="228"/>
      <c r="P93" s="228"/>
      <c r="Q93" s="228"/>
      <c r="R93" s="367"/>
      <c r="S93" s="367"/>
      <c r="T93" s="367"/>
      <c r="U93" s="367"/>
      <c r="V93" s="367"/>
      <c r="W93" s="367"/>
      <c r="X93" s="241"/>
      <c r="Y93" s="241"/>
      <c r="Z93" s="241"/>
      <c r="AA93" s="241"/>
      <c r="AB93" s="241"/>
      <c r="AC93" s="241"/>
      <c r="AD93" s="241"/>
      <c r="AE93" s="241"/>
      <c r="AF93" s="241"/>
      <c r="AH93" s="349"/>
      <c r="AN93" s="339"/>
      <c r="AO93" s="339"/>
      <c r="AP93" s="339"/>
      <c r="AQ93" s="339"/>
      <c r="AR93" s="339"/>
      <c r="AS93" s="339"/>
      <c r="AT93" s="339"/>
      <c r="AU93" s="339"/>
      <c r="AV93" s="339"/>
      <c r="AW93" s="339"/>
      <c r="AX93" s="574"/>
      <c r="AY93" s="339"/>
      <c r="BC93" s="339"/>
      <c r="BD93" s="340"/>
      <c r="BE93" s="340"/>
      <c r="BG93" s="341"/>
      <c r="BK93" s="342"/>
    </row>
    <row r="94" spans="1:63" ht="12" customHeight="1">
      <c r="A94" s="343"/>
      <c r="B94" s="389" t="s">
        <v>49</v>
      </c>
      <c r="C94" s="335"/>
      <c r="E94" s="355"/>
      <c r="F94" s="355"/>
      <c r="G94" s="355"/>
      <c r="H94" s="355"/>
      <c r="I94" s="355"/>
      <c r="J94" s="355"/>
      <c r="K94" s="355"/>
      <c r="L94" s="355"/>
      <c r="M94" s="355"/>
      <c r="N94" s="355"/>
      <c r="O94" s="355"/>
      <c r="P94" s="390">
        <v>0</v>
      </c>
      <c r="Q94" s="390">
        <v>0</v>
      </c>
      <c r="R94" s="390">
        <v>0</v>
      </c>
      <c r="S94" s="390">
        <v>0</v>
      </c>
      <c r="T94" s="390">
        <v>0</v>
      </c>
      <c r="U94" s="390">
        <v>0</v>
      </c>
      <c r="V94" s="390">
        <v>0</v>
      </c>
      <c r="W94" s="390">
        <v>0</v>
      </c>
      <c r="X94" s="391">
        <v>1422</v>
      </c>
      <c r="Y94" s="391"/>
      <c r="Z94" s="391">
        <v>2444</v>
      </c>
      <c r="AA94" s="391"/>
      <c r="AB94" s="391">
        <v>3855</v>
      </c>
      <c r="AC94" s="391"/>
      <c r="AD94" s="391">
        <v>4834</v>
      </c>
      <c r="AE94" s="391"/>
      <c r="AF94" s="391">
        <v>4296</v>
      </c>
      <c r="AG94" s="392"/>
      <c r="AH94" s="391">
        <v>4267</v>
      </c>
      <c r="AI94" s="365"/>
      <c r="AJ94" s="365"/>
      <c r="AK94" s="365"/>
      <c r="AL94" s="433">
        <f t="shared" ref="AL94:AM94" si="12">SUM(AL95:AL105)</f>
        <v>5203</v>
      </c>
      <c r="AM94" s="433">
        <f t="shared" si="12"/>
        <v>5790</v>
      </c>
      <c r="AN94" s="433">
        <f>SUM(AN95:AN105)</f>
        <v>6092</v>
      </c>
      <c r="AO94" s="433">
        <f t="shared" ref="AO94:AQ94" si="13">SUM(AO95:AO105)</f>
        <v>6366</v>
      </c>
      <c r="AP94" s="433">
        <f t="shared" si="13"/>
        <v>6553</v>
      </c>
      <c r="AQ94" s="433">
        <f t="shared" si="13"/>
        <v>6654</v>
      </c>
      <c r="AR94" s="339"/>
      <c r="AS94" s="339"/>
      <c r="AT94" s="339"/>
      <c r="AU94" s="339"/>
      <c r="AV94" s="339"/>
      <c r="AW94" s="339"/>
      <c r="AX94" s="574"/>
      <c r="AY94" s="339"/>
      <c r="BC94" s="339"/>
      <c r="BD94" s="340"/>
      <c r="BE94" s="340"/>
      <c r="BG94" s="341"/>
      <c r="BK94" s="342"/>
    </row>
    <row r="95" spans="1:63" ht="12" customHeight="1">
      <c r="A95" s="343"/>
      <c r="C95" s="335" t="s">
        <v>1417</v>
      </c>
      <c r="E95" s="355"/>
      <c r="F95" s="355"/>
      <c r="G95" s="355"/>
      <c r="H95" s="355"/>
      <c r="I95" s="355"/>
      <c r="J95" s="355"/>
      <c r="K95" s="355"/>
      <c r="L95" s="355"/>
      <c r="M95" s="355"/>
      <c r="N95" s="355"/>
      <c r="O95" s="355"/>
      <c r="P95" s="356"/>
      <c r="Q95" s="356"/>
      <c r="R95" s="356"/>
      <c r="S95" s="356"/>
      <c r="T95" s="356"/>
      <c r="U95" s="356"/>
      <c r="V95" s="357"/>
      <c r="W95" s="354"/>
      <c r="X95" s="350">
        <v>155</v>
      </c>
      <c r="Y95" s="350"/>
      <c r="Z95" s="351">
        <v>352</v>
      </c>
      <c r="AA95" s="350"/>
      <c r="AB95" s="392">
        <v>621</v>
      </c>
      <c r="AC95" s="350"/>
      <c r="AD95" s="392">
        <v>727</v>
      </c>
      <c r="AE95" s="392"/>
      <c r="AF95" s="393" t="s">
        <v>1709</v>
      </c>
      <c r="AG95" s="392"/>
      <c r="AH95" s="393" t="s">
        <v>1709</v>
      </c>
      <c r="AI95" s="365"/>
      <c r="AJ95" s="365"/>
      <c r="AK95" s="365"/>
      <c r="AL95" s="365"/>
      <c r="AM95" s="365"/>
      <c r="AN95" s="338"/>
      <c r="AO95" s="338"/>
      <c r="AP95" s="338"/>
      <c r="AQ95" s="338"/>
      <c r="AR95" s="339"/>
      <c r="AS95" s="394" t="s">
        <v>1418</v>
      </c>
      <c r="AT95" s="394"/>
      <c r="AU95" s="394"/>
      <c r="AV95" s="394"/>
      <c r="AW95" s="394"/>
      <c r="AX95" s="574"/>
      <c r="AY95" s="394"/>
      <c r="BC95" s="339"/>
      <c r="BD95" s="340"/>
      <c r="BE95" s="340"/>
      <c r="BG95" s="341"/>
      <c r="BK95" s="342"/>
    </row>
    <row r="96" spans="1:63" ht="12" customHeight="1">
      <c r="A96" s="343"/>
      <c r="C96" s="336" t="s">
        <v>1419</v>
      </c>
      <c r="X96" s="392"/>
      <c r="Y96" s="392"/>
      <c r="Z96" s="392"/>
      <c r="AA96" s="392"/>
      <c r="AB96" s="392"/>
      <c r="AC96" s="392"/>
      <c r="AD96" s="392"/>
      <c r="AE96" s="392"/>
      <c r="AF96" s="392">
        <v>863</v>
      </c>
      <c r="AG96" s="392"/>
      <c r="AH96" s="392">
        <v>981</v>
      </c>
      <c r="AI96" s="365"/>
      <c r="AJ96" s="365"/>
      <c r="AM96" s="365"/>
      <c r="AN96" s="338"/>
      <c r="AO96" s="338"/>
      <c r="AP96" s="338"/>
      <c r="AQ96" s="338"/>
      <c r="AR96" s="365" t="s">
        <v>1539</v>
      </c>
      <c r="AS96" s="394" t="s">
        <v>1420</v>
      </c>
      <c r="AT96" s="394"/>
      <c r="AU96" s="394"/>
      <c r="AV96" s="394"/>
      <c r="AW96" s="394"/>
      <c r="AX96" s="574"/>
      <c r="AY96" s="394"/>
      <c r="BC96" s="339"/>
      <c r="BD96" s="340"/>
      <c r="BE96" s="340"/>
      <c r="BG96" s="341"/>
      <c r="BK96" s="342"/>
    </row>
    <row r="97" spans="1:63" ht="12" customHeight="1">
      <c r="A97" s="343"/>
      <c r="C97" s="335" t="s">
        <v>1421</v>
      </c>
      <c r="E97" s="355"/>
      <c r="F97" s="355"/>
      <c r="G97" s="355"/>
      <c r="H97" s="355"/>
      <c r="I97" s="355"/>
      <c r="J97" s="355"/>
      <c r="K97" s="355"/>
      <c r="L97" s="355"/>
      <c r="M97" s="355"/>
      <c r="N97" s="355"/>
      <c r="O97" s="355"/>
      <c r="P97" s="356"/>
      <c r="Q97" s="356"/>
      <c r="R97" s="356"/>
      <c r="S97" s="356"/>
      <c r="T97" s="356"/>
      <c r="U97" s="356"/>
      <c r="V97" s="357"/>
      <c r="W97" s="354"/>
      <c r="X97" s="350">
        <v>263</v>
      </c>
      <c r="Y97" s="350"/>
      <c r="Z97" s="351">
        <v>409</v>
      </c>
      <c r="AA97" s="350"/>
      <c r="AB97" s="392">
        <v>754</v>
      </c>
      <c r="AC97" s="350"/>
      <c r="AD97" s="392">
        <v>955</v>
      </c>
      <c r="AE97" s="392"/>
      <c r="AF97" s="392">
        <v>1432</v>
      </c>
      <c r="AG97" s="392"/>
      <c r="AH97" s="392">
        <v>1484</v>
      </c>
      <c r="AI97" s="365"/>
      <c r="AJ97" s="365"/>
      <c r="AK97" s="365"/>
      <c r="AL97" s="365">
        <v>1596</v>
      </c>
      <c r="AM97" s="365">
        <v>1932</v>
      </c>
      <c r="AN97" s="338">
        <v>2004</v>
      </c>
      <c r="AO97" s="338">
        <v>1985</v>
      </c>
      <c r="AP97" s="338">
        <v>1753</v>
      </c>
      <c r="AQ97" s="338">
        <v>1735</v>
      </c>
      <c r="AR97" s="339"/>
      <c r="AS97" s="394" t="s">
        <v>1422</v>
      </c>
      <c r="AT97" s="394"/>
      <c r="AU97" s="394"/>
      <c r="AV97" s="394"/>
      <c r="AW97" s="394"/>
      <c r="AX97" s="574"/>
      <c r="AY97" s="394"/>
      <c r="BC97" s="339"/>
      <c r="BD97" s="340"/>
      <c r="BE97" s="340"/>
      <c r="BG97" s="341"/>
      <c r="BK97" s="342"/>
    </row>
    <row r="98" spans="1:63" ht="12" customHeight="1">
      <c r="A98" s="343"/>
      <c r="C98" s="335" t="s">
        <v>1423</v>
      </c>
      <c r="E98" s="355"/>
      <c r="F98" s="355"/>
      <c r="G98" s="355"/>
      <c r="H98" s="355"/>
      <c r="I98" s="355"/>
      <c r="J98" s="355"/>
      <c r="K98" s="355"/>
      <c r="L98" s="355"/>
      <c r="M98" s="355"/>
      <c r="N98" s="355"/>
      <c r="O98" s="355"/>
      <c r="P98" s="356"/>
      <c r="Q98" s="356"/>
      <c r="R98" s="356"/>
      <c r="S98" s="356"/>
      <c r="T98" s="356"/>
      <c r="U98" s="356"/>
      <c r="V98" s="357"/>
      <c r="W98" s="354"/>
      <c r="X98" s="350">
        <v>472</v>
      </c>
      <c r="Y98" s="350"/>
      <c r="Z98" s="351">
        <v>506</v>
      </c>
      <c r="AA98" s="350"/>
      <c r="AB98" s="392">
        <v>618</v>
      </c>
      <c r="AC98" s="350"/>
      <c r="AD98" s="392">
        <v>687</v>
      </c>
      <c r="AE98" s="392"/>
      <c r="AF98" s="392">
        <v>552</v>
      </c>
      <c r="AG98" s="392"/>
      <c r="AH98" s="392">
        <v>557</v>
      </c>
      <c r="AI98" s="365"/>
      <c r="AJ98" s="365"/>
      <c r="AM98" s="365"/>
      <c r="AN98" s="338"/>
      <c r="AO98" s="338"/>
      <c r="AP98" s="338"/>
      <c r="AQ98" s="338"/>
      <c r="AR98" s="365" t="s">
        <v>1540</v>
      </c>
      <c r="AS98" s="394" t="s">
        <v>1424</v>
      </c>
      <c r="AT98" s="394"/>
      <c r="AU98" s="394"/>
      <c r="AV98" s="394"/>
      <c r="AW98" s="394"/>
      <c r="AX98" s="574"/>
      <c r="AY98" s="394"/>
      <c r="BC98" s="339"/>
      <c r="BD98" s="340"/>
      <c r="BE98" s="340"/>
      <c r="BG98" s="341"/>
      <c r="BK98" s="342"/>
    </row>
    <row r="99" spans="1:63" ht="12" customHeight="1">
      <c r="A99" s="343"/>
      <c r="C99" s="335" t="s">
        <v>1425</v>
      </c>
      <c r="E99" s="355"/>
      <c r="F99" s="355"/>
      <c r="G99" s="355"/>
      <c r="H99" s="355"/>
      <c r="I99" s="355"/>
      <c r="J99" s="355"/>
      <c r="K99" s="355"/>
      <c r="L99" s="355"/>
      <c r="M99" s="355"/>
      <c r="N99" s="355"/>
      <c r="O99" s="355"/>
      <c r="P99" s="356"/>
      <c r="Q99" s="356"/>
      <c r="R99" s="356"/>
      <c r="S99" s="356"/>
      <c r="T99" s="356"/>
      <c r="U99" s="356"/>
      <c r="V99" s="357"/>
      <c r="W99" s="354"/>
      <c r="X99" s="350"/>
      <c r="Y99" s="350"/>
      <c r="Z99" s="351"/>
      <c r="AA99" s="350"/>
      <c r="AB99" s="392"/>
      <c r="AC99" s="350"/>
      <c r="AD99" s="392"/>
      <c r="AE99" s="392"/>
      <c r="AF99" s="392">
        <v>253</v>
      </c>
      <c r="AG99" s="392"/>
      <c r="AH99" s="392">
        <v>256</v>
      </c>
      <c r="AI99" s="365"/>
      <c r="AJ99" s="365"/>
      <c r="AM99" s="365"/>
      <c r="AN99" s="338"/>
      <c r="AO99" s="338"/>
      <c r="AP99" s="338"/>
      <c r="AQ99" s="338"/>
      <c r="AR99" s="365" t="s">
        <v>1541</v>
      </c>
      <c r="AS99" s="394" t="s">
        <v>1426</v>
      </c>
      <c r="AT99" s="394"/>
      <c r="AU99" s="394"/>
      <c r="AV99" s="394"/>
      <c r="AW99" s="394"/>
      <c r="AX99" s="574"/>
      <c r="AY99" s="394"/>
      <c r="BC99" s="339"/>
      <c r="BD99" s="340"/>
      <c r="BE99" s="340"/>
      <c r="BG99" s="341"/>
      <c r="BK99" s="342"/>
    </row>
    <row r="100" spans="1:63" ht="12" customHeight="1">
      <c r="A100" s="343"/>
      <c r="C100" s="335" t="s">
        <v>1427</v>
      </c>
      <c r="E100" s="355"/>
      <c r="F100" s="355"/>
      <c r="G100" s="355"/>
      <c r="H100" s="355"/>
      <c r="I100" s="355"/>
      <c r="J100" s="355"/>
      <c r="K100" s="355"/>
      <c r="L100" s="355"/>
      <c r="M100" s="355"/>
      <c r="N100" s="355"/>
      <c r="O100" s="355"/>
      <c r="P100" s="356"/>
      <c r="Q100" s="356"/>
      <c r="R100" s="356"/>
      <c r="S100" s="356"/>
      <c r="T100" s="356"/>
      <c r="U100" s="356"/>
      <c r="V100" s="357"/>
      <c r="W100" s="354"/>
      <c r="X100" s="350">
        <v>364</v>
      </c>
      <c r="Y100" s="350"/>
      <c r="Z100" s="350">
        <v>944</v>
      </c>
      <c r="AA100" s="350"/>
      <c r="AB100" s="392">
        <v>1712</v>
      </c>
      <c r="AC100" s="350"/>
      <c r="AD100" s="392">
        <v>2300</v>
      </c>
      <c r="AE100" s="392"/>
      <c r="AF100" s="392">
        <v>984</v>
      </c>
      <c r="AG100" s="392"/>
      <c r="AH100" s="392">
        <v>761</v>
      </c>
      <c r="AI100" s="365"/>
      <c r="AJ100" s="365"/>
      <c r="AK100" s="365"/>
      <c r="AL100" s="365">
        <v>265</v>
      </c>
      <c r="AM100" s="365">
        <v>266</v>
      </c>
      <c r="AN100" s="338">
        <v>274</v>
      </c>
      <c r="AO100" s="338">
        <v>282</v>
      </c>
      <c r="AP100" s="338">
        <v>266</v>
      </c>
      <c r="AQ100" s="338">
        <v>260</v>
      </c>
      <c r="AR100" s="339"/>
      <c r="AS100" s="394" t="s">
        <v>1428</v>
      </c>
      <c r="AT100" s="394"/>
      <c r="AU100" s="394"/>
      <c r="AV100" s="394"/>
      <c r="AW100" s="394"/>
      <c r="AX100" s="574"/>
      <c r="AY100" s="394"/>
      <c r="BC100" s="339"/>
      <c r="BD100" s="340"/>
      <c r="BE100" s="340"/>
      <c r="BG100" s="341"/>
      <c r="BK100" s="342"/>
    </row>
    <row r="101" spans="1:63" ht="12" customHeight="1">
      <c r="A101" s="343"/>
      <c r="C101" s="335" t="s">
        <v>1429</v>
      </c>
      <c r="E101" s="355"/>
      <c r="F101" s="355"/>
      <c r="G101" s="355"/>
      <c r="H101" s="355"/>
      <c r="I101" s="355"/>
      <c r="J101" s="355"/>
      <c r="K101" s="355"/>
      <c r="L101" s="355"/>
      <c r="M101" s="355"/>
      <c r="N101" s="355"/>
      <c r="O101" s="355"/>
      <c r="P101" s="356"/>
      <c r="Q101" s="356"/>
      <c r="R101" s="356"/>
      <c r="S101" s="356"/>
      <c r="T101" s="356"/>
      <c r="U101" s="356"/>
      <c r="V101" s="357"/>
      <c r="W101" s="354"/>
      <c r="X101" s="350">
        <v>106</v>
      </c>
      <c r="Y101" s="350"/>
      <c r="Z101" s="350">
        <v>136</v>
      </c>
      <c r="AA101" s="350"/>
      <c r="AB101" s="392">
        <v>150</v>
      </c>
      <c r="AC101" s="350"/>
      <c r="AD101" s="392">
        <v>165</v>
      </c>
      <c r="AE101" s="392"/>
      <c r="AF101" s="392">
        <v>212</v>
      </c>
      <c r="AG101" s="392"/>
      <c r="AH101" s="392">
        <v>228</v>
      </c>
      <c r="AI101" s="365"/>
      <c r="AJ101" s="365"/>
      <c r="AK101" s="365"/>
      <c r="AL101" s="365">
        <v>338</v>
      </c>
      <c r="AM101" s="365">
        <v>320</v>
      </c>
      <c r="AN101" s="338">
        <v>322</v>
      </c>
      <c r="AO101" s="338">
        <v>315</v>
      </c>
      <c r="AP101" s="338">
        <v>314</v>
      </c>
      <c r="AQ101" s="338">
        <v>292</v>
      </c>
      <c r="AR101" s="339"/>
      <c r="AS101" s="394"/>
      <c r="AT101" s="394"/>
      <c r="AU101" s="394"/>
      <c r="AV101" s="394"/>
      <c r="AW101" s="394"/>
      <c r="AX101" s="574" t="s">
        <v>237</v>
      </c>
      <c r="AY101" s="394" t="s">
        <v>1430</v>
      </c>
      <c r="BC101" s="339"/>
      <c r="BD101" s="340"/>
      <c r="BE101" s="340"/>
      <c r="BG101" s="341"/>
      <c r="BK101" s="342"/>
    </row>
    <row r="102" spans="1:63" ht="12" customHeight="1">
      <c r="A102" s="343"/>
      <c r="C102" s="335" t="s">
        <v>1431</v>
      </c>
      <c r="E102" s="355"/>
      <c r="F102" s="355"/>
      <c r="G102" s="355"/>
      <c r="H102" s="355"/>
      <c r="I102" s="355"/>
      <c r="J102" s="355"/>
      <c r="K102" s="355"/>
      <c r="L102" s="355"/>
      <c r="M102" s="355"/>
      <c r="N102" s="355"/>
      <c r="O102" s="355"/>
      <c r="P102" s="356"/>
      <c r="Q102" s="356"/>
      <c r="R102" s="356"/>
      <c r="S102" s="356"/>
      <c r="T102" s="356"/>
      <c r="U102" s="356"/>
      <c r="V102" s="357"/>
      <c r="W102" s="354"/>
      <c r="X102" s="350">
        <v>62</v>
      </c>
      <c r="Y102" s="350"/>
      <c r="Z102" s="350">
        <v>97</v>
      </c>
      <c r="AA102" s="350"/>
      <c r="AB102" s="392">
        <v>0</v>
      </c>
      <c r="AC102" s="350"/>
      <c r="AD102" s="392">
        <v>0</v>
      </c>
      <c r="AE102" s="392"/>
      <c r="AF102" s="392">
        <v>0</v>
      </c>
      <c r="AG102" s="392"/>
      <c r="AH102" s="392">
        <v>0</v>
      </c>
      <c r="AI102" s="365"/>
      <c r="AJ102" s="365"/>
      <c r="AK102" s="365"/>
      <c r="AL102" s="365"/>
      <c r="AM102" s="365"/>
      <c r="AN102" s="338"/>
      <c r="AO102" s="338"/>
      <c r="AP102" s="338"/>
      <c r="AQ102" s="338"/>
      <c r="AR102" s="339"/>
      <c r="AS102" s="394" t="s">
        <v>1432</v>
      </c>
      <c r="AT102" s="394"/>
      <c r="AU102" s="394"/>
      <c r="AV102" s="394"/>
      <c r="AW102" s="394"/>
      <c r="AX102" s="574"/>
      <c r="AY102" s="394"/>
      <c r="BC102" s="339"/>
      <c r="BD102" s="340"/>
      <c r="BE102" s="340"/>
      <c r="BG102" s="341"/>
      <c r="BK102" s="342"/>
    </row>
    <row r="103" spans="1:63" ht="12" customHeight="1">
      <c r="A103" s="343"/>
      <c r="C103" s="336" t="s">
        <v>1433</v>
      </c>
      <c r="D103" s="336"/>
      <c r="E103" s="355"/>
      <c r="F103" s="355"/>
      <c r="G103" s="355"/>
      <c r="H103" s="355"/>
      <c r="I103" s="355"/>
      <c r="J103" s="355"/>
      <c r="K103" s="355"/>
      <c r="L103" s="355"/>
      <c r="M103" s="355"/>
      <c r="N103" s="355"/>
      <c r="O103" s="355"/>
      <c r="P103" s="356"/>
      <c r="Q103" s="356"/>
      <c r="R103" s="356"/>
      <c r="S103" s="356"/>
      <c r="T103" s="356"/>
      <c r="U103" s="356"/>
      <c r="V103" s="357"/>
      <c r="W103" s="354"/>
      <c r="X103" s="350"/>
      <c r="Y103" s="350"/>
      <c r="Z103" s="350"/>
      <c r="AA103" s="350"/>
      <c r="AB103" s="392"/>
      <c r="AC103" s="350"/>
      <c r="AD103" s="392">
        <v>1942</v>
      </c>
      <c r="AE103" s="392"/>
      <c r="AF103" s="392">
        <v>2950</v>
      </c>
      <c r="AG103" s="392"/>
      <c r="AH103" s="392">
        <v>2428</v>
      </c>
      <c r="AI103" s="365"/>
      <c r="AJ103" s="365"/>
      <c r="AK103" s="365"/>
      <c r="AM103" s="365"/>
      <c r="AN103" s="338"/>
      <c r="AO103" s="338"/>
      <c r="AP103" s="338"/>
      <c r="AQ103" s="338"/>
      <c r="AR103" s="365" t="s">
        <v>1539</v>
      </c>
      <c r="AS103" s="394"/>
      <c r="AT103" s="394"/>
      <c r="AU103" s="394"/>
      <c r="AV103" s="394"/>
      <c r="AW103" s="394"/>
      <c r="AX103" s="574"/>
      <c r="AY103" s="394"/>
      <c r="BC103" s="339"/>
      <c r="BD103" s="340"/>
      <c r="BE103" s="340"/>
      <c r="BG103" s="341"/>
      <c r="BK103" s="342"/>
    </row>
    <row r="104" spans="1:63" ht="12.75" customHeight="1">
      <c r="A104" s="343"/>
      <c r="B104" s="334"/>
      <c r="C104" s="335" t="s">
        <v>1542</v>
      </c>
      <c r="E104" s="355"/>
      <c r="F104" s="355"/>
      <c r="G104" s="355"/>
      <c r="H104" s="355"/>
      <c r="I104" s="355"/>
      <c r="J104" s="355"/>
      <c r="K104" s="355"/>
      <c r="L104" s="355"/>
      <c r="M104" s="355"/>
      <c r="N104" s="355"/>
      <c r="O104" s="355"/>
      <c r="P104" s="356"/>
      <c r="Q104" s="356"/>
      <c r="R104" s="356"/>
      <c r="S104" s="356"/>
      <c r="T104" s="356"/>
      <c r="U104" s="356"/>
      <c r="V104" s="357"/>
      <c r="W104" s="354"/>
      <c r="X104" s="350"/>
      <c r="Y104" s="350"/>
      <c r="Z104" s="350"/>
      <c r="AA104" s="350"/>
      <c r="AB104" s="350"/>
      <c r="AC104" s="350"/>
      <c r="AD104" s="350"/>
      <c r="AE104" s="350"/>
      <c r="AF104" s="350"/>
      <c r="AG104" s="392"/>
      <c r="AH104" s="392"/>
      <c r="AI104" s="365"/>
      <c r="AJ104" s="365"/>
      <c r="AK104" s="365"/>
      <c r="AL104" s="365">
        <v>2484</v>
      </c>
      <c r="AM104" s="365">
        <v>2756</v>
      </c>
      <c r="AN104" s="365">
        <v>3008</v>
      </c>
      <c r="AO104" s="365">
        <v>3330</v>
      </c>
      <c r="AP104" s="365">
        <v>3788</v>
      </c>
      <c r="AQ104" s="365">
        <v>3910</v>
      </c>
      <c r="AR104" s="339"/>
      <c r="AS104" s="394"/>
      <c r="AT104" s="394"/>
      <c r="AU104" s="394"/>
      <c r="AV104" s="394"/>
      <c r="AW104" s="394"/>
      <c r="AX104" s="574"/>
      <c r="AY104" s="394"/>
      <c r="BC104" s="339"/>
      <c r="BD104" s="340"/>
      <c r="BE104" s="340"/>
      <c r="BG104" s="341"/>
      <c r="BK104" s="342"/>
    </row>
    <row r="105" spans="1:63" ht="12" customHeight="1">
      <c r="A105" s="343"/>
      <c r="B105" s="389"/>
      <c r="C105" s="336" t="s">
        <v>1543</v>
      </c>
      <c r="E105" s="355"/>
      <c r="F105" s="355"/>
      <c r="G105" s="355"/>
      <c r="H105" s="355"/>
      <c r="I105" s="355"/>
      <c r="J105" s="355"/>
      <c r="K105" s="355"/>
      <c r="L105" s="355"/>
      <c r="M105" s="355"/>
      <c r="N105" s="355"/>
      <c r="O105" s="355"/>
      <c r="P105" s="390"/>
      <c r="Q105" s="390"/>
      <c r="R105" s="390"/>
      <c r="S105" s="390"/>
      <c r="T105" s="390"/>
      <c r="U105" s="390"/>
      <c r="V105" s="390"/>
      <c r="W105" s="390"/>
      <c r="X105" s="391"/>
      <c r="Y105" s="391"/>
      <c r="Z105" s="391"/>
      <c r="AA105" s="391"/>
      <c r="AB105" s="391"/>
      <c r="AC105" s="391"/>
      <c r="AD105" s="391"/>
      <c r="AE105" s="391"/>
      <c r="AF105" s="391"/>
      <c r="AG105" s="391"/>
      <c r="AH105" s="391"/>
      <c r="AI105" s="365"/>
      <c r="AJ105" s="365"/>
      <c r="AK105" s="365"/>
      <c r="AL105" s="365">
        <v>520</v>
      </c>
      <c r="AM105" s="365">
        <v>516</v>
      </c>
      <c r="AN105" s="365">
        <v>484</v>
      </c>
      <c r="AO105" s="365">
        <v>454</v>
      </c>
      <c r="AP105" s="365">
        <v>432</v>
      </c>
      <c r="AQ105" s="365">
        <v>457</v>
      </c>
      <c r="AR105" s="339"/>
      <c r="AS105" s="394"/>
      <c r="AT105" s="394"/>
      <c r="AU105" s="394"/>
      <c r="AV105" s="394"/>
      <c r="AW105" s="394"/>
      <c r="AX105" s="574"/>
      <c r="AY105" s="394"/>
      <c r="BC105" s="339"/>
      <c r="BD105" s="340"/>
      <c r="BE105" s="340"/>
      <c r="BG105" s="341"/>
      <c r="BK105" s="342"/>
    </row>
    <row r="106" spans="1:63" ht="12" customHeight="1">
      <c r="A106" s="343"/>
      <c r="B106" s="334"/>
      <c r="C106" s="335"/>
      <c r="E106" s="355"/>
      <c r="F106" s="355"/>
      <c r="G106" s="355"/>
      <c r="H106" s="355"/>
      <c r="I106" s="355"/>
      <c r="J106" s="355"/>
      <c r="K106" s="355"/>
      <c r="L106" s="355"/>
      <c r="M106" s="355"/>
      <c r="N106" s="355"/>
      <c r="O106" s="355"/>
      <c r="P106" s="356"/>
      <c r="Q106" s="356"/>
      <c r="R106" s="356"/>
      <c r="S106" s="356"/>
      <c r="T106" s="356"/>
      <c r="U106" s="356"/>
      <c r="V106" s="357"/>
      <c r="W106" s="354"/>
      <c r="X106" s="350"/>
      <c r="Y106" s="350"/>
      <c r="Z106" s="350"/>
      <c r="AA106" s="350"/>
      <c r="AB106" s="392"/>
      <c r="AC106" s="350"/>
      <c r="AD106" s="393"/>
      <c r="AE106" s="393"/>
      <c r="AF106" s="393"/>
      <c r="AG106" s="393"/>
      <c r="AH106" s="393"/>
      <c r="AI106" s="365"/>
      <c r="AJ106" s="365"/>
      <c r="AK106" s="365"/>
      <c r="AL106" s="365"/>
      <c r="AM106" s="365"/>
      <c r="AN106" s="365"/>
      <c r="AO106" s="338"/>
      <c r="AP106" s="365"/>
      <c r="AQ106" s="338"/>
      <c r="AR106" s="339"/>
      <c r="AS106" s="394"/>
      <c r="AT106" s="394"/>
      <c r="AU106" s="394"/>
      <c r="AV106" s="394"/>
      <c r="AW106" s="394"/>
      <c r="AX106" s="574"/>
      <c r="AY106" s="394"/>
      <c r="BC106" s="339"/>
      <c r="BD106" s="340"/>
      <c r="BE106" s="340"/>
      <c r="BG106" s="341"/>
      <c r="BK106" s="342"/>
    </row>
    <row r="107" spans="1:63" ht="12" customHeight="1">
      <c r="A107" s="343"/>
      <c r="B107" s="334" t="s">
        <v>78</v>
      </c>
      <c r="C107" s="335"/>
      <c r="E107" s="355"/>
      <c r="F107" s="355"/>
      <c r="G107" s="355"/>
      <c r="H107" s="355"/>
      <c r="I107" s="355"/>
      <c r="J107" s="355"/>
      <c r="K107" s="355"/>
      <c r="L107" s="355"/>
      <c r="M107" s="355"/>
      <c r="N107" s="355"/>
      <c r="O107" s="355"/>
      <c r="P107" s="356">
        <v>0</v>
      </c>
      <c r="Q107" s="356">
        <v>0</v>
      </c>
      <c r="R107" s="356">
        <v>25.41168</v>
      </c>
      <c r="S107" s="356">
        <v>187.86491999999998</v>
      </c>
      <c r="T107" s="356">
        <v>423.83051999999998</v>
      </c>
      <c r="U107" s="356">
        <v>1111.761417053968</v>
      </c>
      <c r="V107" s="357">
        <v>1308.8538371736752</v>
      </c>
      <c r="W107" s="354">
        <v>1504.8960795739911</v>
      </c>
      <c r="X107" s="391">
        <v>2003</v>
      </c>
      <c r="Y107" s="391"/>
      <c r="Z107" s="391">
        <v>1753</v>
      </c>
      <c r="AA107" s="391"/>
      <c r="AB107" s="571">
        <v>811</v>
      </c>
      <c r="AC107" s="391"/>
      <c r="AD107" s="572">
        <v>496</v>
      </c>
      <c r="AE107" s="572"/>
      <c r="AF107" s="572">
        <v>496</v>
      </c>
      <c r="AG107" s="572"/>
      <c r="AH107" s="572">
        <v>544</v>
      </c>
      <c r="AI107" s="365"/>
      <c r="AJ107" s="365"/>
      <c r="AK107" s="365"/>
      <c r="AL107" s="573">
        <f>SUM(AL108:AL118)</f>
        <v>562</v>
      </c>
      <c r="AM107" s="573">
        <f t="shared" ref="AM107:AQ107" si="14">SUM(AM108:AM118)</f>
        <v>574</v>
      </c>
      <c r="AN107" s="573">
        <f t="shared" si="14"/>
        <v>654</v>
      </c>
      <c r="AO107" s="573">
        <f t="shared" si="14"/>
        <v>713</v>
      </c>
      <c r="AP107" s="573">
        <f t="shared" si="14"/>
        <v>612</v>
      </c>
      <c r="AQ107" s="573">
        <f t="shared" si="14"/>
        <v>622</v>
      </c>
      <c r="AR107" s="339"/>
      <c r="AS107" s="394" t="s">
        <v>1434</v>
      </c>
      <c r="AT107" s="394"/>
      <c r="AU107" s="394"/>
      <c r="AV107" s="394"/>
      <c r="AW107" s="394"/>
      <c r="AX107" s="574"/>
      <c r="AY107" s="394"/>
      <c r="BC107" s="339"/>
      <c r="BD107" s="340"/>
      <c r="BE107" s="340"/>
      <c r="BG107" s="341"/>
      <c r="BK107" s="342"/>
    </row>
    <row r="108" spans="1:63" ht="12" customHeight="1">
      <c r="A108" s="343"/>
      <c r="B108" s="334"/>
      <c r="C108" s="335" t="s">
        <v>1435</v>
      </c>
      <c r="E108" s="355"/>
      <c r="F108" s="355"/>
      <c r="G108" s="355"/>
      <c r="H108" s="355"/>
      <c r="I108" s="355"/>
      <c r="J108" s="355"/>
      <c r="K108" s="355"/>
      <c r="L108" s="355"/>
      <c r="M108" s="355"/>
      <c r="N108" s="355"/>
      <c r="O108" s="355"/>
      <c r="P108" s="356" t="s">
        <v>1054</v>
      </c>
      <c r="Q108" s="356" t="s">
        <v>1054</v>
      </c>
      <c r="R108" s="356">
        <v>25.41168</v>
      </c>
      <c r="S108" s="356">
        <v>157.46165999999999</v>
      </c>
      <c r="T108" s="356">
        <v>340.33499999999998</v>
      </c>
      <c r="U108" s="356">
        <v>588.55294026891011</v>
      </c>
      <c r="V108" s="357">
        <v>666.14935722032385</v>
      </c>
      <c r="W108" s="354">
        <v>755.0902795739911</v>
      </c>
      <c r="X108" s="350">
        <v>890</v>
      </c>
      <c r="Y108" s="350"/>
      <c r="Z108" s="350">
        <v>620</v>
      </c>
      <c r="AA108" s="350"/>
      <c r="AB108" s="392">
        <v>186</v>
      </c>
      <c r="AC108" s="350"/>
      <c r="AD108" s="396">
        <v>0</v>
      </c>
      <c r="AE108" s="396"/>
      <c r="AF108" s="396">
        <v>0</v>
      </c>
      <c r="AG108" s="396"/>
      <c r="AH108" s="396">
        <v>0</v>
      </c>
      <c r="AI108" s="365"/>
      <c r="AJ108" s="365"/>
      <c r="AK108" s="365"/>
      <c r="AL108" s="365"/>
      <c r="AM108" s="365"/>
      <c r="AN108" s="365"/>
      <c r="AO108" s="338"/>
      <c r="AP108" s="365"/>
      <c r="AQ108" s="338"/>
      <c r="AR108" s="339"/>
      <c r="AS108" s="394" t="s">
        <v>1436</v>
      </c>
      <c r="AT108" s="394" t="s">
        <v>1437</v>
      </c>
      <c r="AU108" s="394"/>
      <c r="AV108" s="394"/>
      <c r="AW108" s="394"/>
      <c r="AX108" s="575" t="s">
        <v>1438</v>
      </c>
      <c r="AY108" s="394"/>
      <c r="BC108" s="339"/>
      <c r="BD108" s="340"/>
      <c r="BE108" s="340"/>
      <c r="BG108" s="341"/>
      <c r="BK108" s="342"/>
    </row>
    <row r="109" spans="1:63" ht="12" customHeight="1">
      <c r="A109" s="343"/>
      <c r="B109" s="334"/>
      <c r="C109" s="335" t="s">
        <v>1439</v>
      </c>
      <c r="E109" s="355"/>
      <c r="F109" s="355"/>
      <c r="G109" s="355"/>
      <c r="H109" s="355"/>
      <c r="I109" s="355"/>
      <c r="J109" s="355"/>
      <c r="K109" s="355"/>
      <c r="L109" s="355"/>
      <c r="M109" s="355"/>
      <c r="N109" s="355"/>
      <c r="O109" s="355"/>
      <c r="P109" s="356" t="s">
        <v>1054</v>
      </c>
      <c r="Q109" s="356" t="s">
        <v>1054</v>
      </c>
      <c r="R109" s="356" t="s">
        <v>1054</v>
      </c>
      <c r="S109" s="356">
        <v>30.40326</v>
      </c>
      <c r="T109" s="356">
        <v>83.495519999999999</v>
      </c>
      <c r="U109" s="356">
        <v>169.26002060162182</v>
      </c>
      <c r="V109" s="357">
        <v>198</v>
      </c>
      <c r="W109" s="354">
        <v>210</v>
      </c>
      <c r="X109" s="350">
        <v>207</v>
      </c>
      <c r="Y109" s="350"/>
      <c r="Z109" s="350">
        <v>130</v>
      </c>
      <c r="AA109" s="350"/>
      <c r="AB109" s="392">
        <v>39</v>
      </c>
      <c r="AC109" s="350"/>
      <c r="AD109" s="395" t="s">
        <v>1709</v>
      </c>
      <c r="AE109" s="395"/>
      <c r="AF109" s="395" t="s">
        <v>1709</v>
      </c>
      <c r="AG109" s="395"/>
      <c r="AH109" s="395" t="s">
        <v>1709</v>
      </c>
      <c r="AI109" s="365"/>
      <c r="AJ109" s="365"/>
      <c r="AK109" s="365"/>
      <c r="AL109" s="365"/>
      <c r="AM109" s="365"/>
      <c r="AN109" s="365"/>
      <c r="AO109" s="338"/>
      <c r="AP109" s="365"/>
      <c r="AQ109" s="338"/>
      <c r="AR109" s="339"/>
      <c r="AS109" s="394" t="s">
        <v>1436</v>
      </c>
      <c r="AT109" s="394" t="s">
        <v>1440</v>
      </c>
      <c r="AU109" s="394"/>
      <c r="AV109" s="397"/>
      <c r="AW109" s="394"/>
      <c r="AX109" s="575" t="s">
        <v>1441</v>
      </c>
      <c r="AY109" s="394"/>
      <c r="BC109" s="339"/>
      <c r="BD109" s="340"/>
      <c r="BE109" s="340"/>
      <c r="BG109" s="341"/>
      <c r="BK109" s="342"/>
    </row>
    <row r="110" spans="1:63" ht="12" customHeight="1">
      <c r="A110" s="343"/>
      <c r="B110" s="334"/>
      <c r="C110" s="335" t="s">
        <v>1442</v>
      </c>
      <c r="E110" s="355"/>
      <c r="F110" s="355"/>
      <c r="G110" s="355"/>
      <c r="H110" s="355"/>
      <c r="I110" s="355"/>
      <c r="J110" s="355"/>
      <c r="K110" s="355"/>
      <c r="L110" s="355"/>
      <c r="M110" s="355"/>
      <c r="N110" s="355"/>
      <c r="O110" s="355"/>
      <c r="P110" s="356"/>
      <c r="Q110" s="356"/>
      <c r="R110" s="356"/>
      <c r="S110" s="356"/>
      <c r="T110" s="356"/>
      <c r="U110" s="356">
        <v>45.378</v>
      </c>
      <c r="V110" s="357">
        <v>45.378</v>
      </c>
      <c r="W110" s="354">
        <v>45.378</v>
      </c>
      <c r="X110" s="350">
        <v>92</v>
      </c>
      <c r="Y110" s="350"/>
      <c r="Z110" s="350">
        <v>162</v>
      </c>
      <c r="AA110" s="350"/>
      <c r="AB110" s="392">
        <v>0</v>
      </c>
      <c r="AC110" s="350"/>
      <c r="AD110" s="392">
        <v>0</v>
      </c>
      <c r="AE110" s="392"/>
      <c r="AF110" s="392">
        <v>0</v>
      </c>
      <c r="AG110" s="392"/>
      <c r="AH110" s="392">
        <v>0</v>
      </c>
      <c r="AI110" s="365"/>
      <c r="AJ110" s="365"/>
      <c r="AK110" s="365"/>
      <c r="AL110" s="365"/>
      <c r="AM110" s="365"/>
      <c r="AN110" s="338"/>
      <c r="AO110" s="338"/>
      <c r="AP110" s="338"/>
      <c r="AQ110" s="338"/>
      <c r="AR110" s="339"/>
      <c r="AS110" s="394" t="s">
        <v>1443</v>
      </c>
      <c r="AT110" s="394"/>
      <c r="AU110" s="394"/>
      <c r="AV110" s="397"/>
      <c r="AW110" s="394"/>
      <c r="AX110" s="574" t="s">
        <v>237</v>
      </c>
      <c r="AY110" s="394"/>
      <c r="BC110" s="339"/>
      <c r="BD110" s="340"/>
      <c r="BE110" s="340"/>
      <c r="BG110" s="341"/>
      <c r="BK110" s="342"/>
    </row>
    <row r="111" spans="1:63" ht="12" customHeight="1">
      <c r="A111" s="343"/>
      <c r="B111" s="334"/>
      <c r="C111" s="335" t="s">
        <v>1444</v>
      </c>
      <c r="E111" s="355"/>
      <c r="F111" s="355"/>
      <c r="G111" s="355"/>
      <c r="H111" s="355"/>
      <c r="I111" s="355"/>
      <c r="J111" s="355"/>
      <c r="K111" s="355"/>
      <c r="L111" s="355"/>
      <c r="M111" s="355"/>
      <c r="N111" s="355"/>
      <c r="O111" s="355"/>
      <c r="P111" s="356"/>
      <c r="Q111" s="356"/>
      <c r="R111" s="356"/>
      <c r="S111" s="356"/>
      <c r="T111" s="356"/>
      <c r="U111" s="356"/>
      <c r="V111" s="357"/>
      <c r="W111" s="354"/>
      <c r="X111" s="350">
        <v>18</v>
      </c>
      <c r="Y111" s="350"/>
      <c r="Z111" s="350">
        <v>42</v>
      </c>
      <c r="AA111" s="350"/>
      <c r="AB111" s="392">
        <v>51</v>
      </c>
      <c r="AC111" s="350"/>
      <c r="AD111" s="395" t="s">
        <v>1709</v>
      </c>
      <c r="AE111" s="396"/>
      <c r="AF111" s="395" t="s">
        <v>1709</v>
      </c>
      <c r="AG111" s="395"/>
      <c r="AH111" s="395" t="s">
        <v>1709</v>
      </c>
      <c r="AI111" s="365"/>
      <c r="AJ111" s="365"/>
      <c r="AK111" s="365"/>
      <c r="AL111" s="365"/>
      <c r="AM111" s="365"/>
      <c r="AN111" s="338"/>
      <c r="AO111" s="338"/>
      <c r="AP111" s="338"/>
      <c r="AQ111" s="338"/>
      <c r="AR111" s="339"/>
      <c r="AS111" s="394" t="s">
        <v>1445</v>
      </c>
      <c r="AT111" s="394"/>
      <c r="AU111" s="394"/>
      <c r="AV111" s="397"/>
      <c r="AW111" s="394"/>
      <c r="AX111" s="574">
        <v>68</v>
      </c>
      <c r="AY111" s="394" t="s">
        <v>1446</v>
      </c>
      <c r="BC111" s="339"/>
      <c r="BD111" s="340"/>
      <c r="BE111" s="340"/>
      <c r="BG111" s="341"/>
      <c r="BK111" s="342"/>
    </row>
    <row r="112" spans="1:63" ht="12" customHeight="1">
      <c r="A112" s="343"/>
      <c r="B112" s="334"/>
      <c r="C112" s="335" t="s">
        <v>1447</v>
      </c>
      <c r="E112" s="355"/>
      <c r="F112" s="355"/>
      <c r="G112" s="355"/>
      <c r="H112" s="355"/>
      <c r="I112" s="355"/>
      <c r="J112" s="355"/>
      <c r="K112" s="355"/>
      <c r="L112" s="355"/>
      <c r="M112" s="355"/>
      <c r="N112" s="355"/>
      <c r="O112" s="355"/>
      <c r="P112" s="356"/>
      <c r="Q112" s="356"/>
      <c r="R112" s="356"/>
      <c r="S112" s="356"/>
      <c r="T112" s="356"/>
      <c r="U112" s="356">
        <v>190.58760000000001</v>
      </c>
      <c r="V112" s="357">
        <v>231.42780000000002</v>
      </c>
      <c r="W112" s="354">
        <v>231.42780000000002</v>
      </c>
      <c r="X112" s="350">
        <v>214</v>
      </c>
      <c r="Y112" s="350"/>
      <c r="Z112" s="350">
        <v>231</v>
      </c>
      <c r="AA112" s="350"/>
      <c r="AB112" s="392">
        <v>246</v>
      </c>
      <c r="AC112" s="350"/>
      <c r="AD112" s="396">
        <v>313</v>
      </c>
      <c r="AE112" s="396"/>
      <c r="AF112" s="395">
        <v>329</v>
      </c>
      <c r="AG112" s="395"/>
      <c r="AH112" s="395">
        <v>340</v>
      </c>
      <c r="AI112" s="365"/>
      <c r="AJ112" s="365"/>
      <c r="AK112" s="365"/>
      <c r="AL112" s="365">
        <v>346</v>
      </c>
      <c r="AM112" s="365">
        <v>357</v>
      </c>
      <c r="AN112" s="338">
        <v>421</v>
      </c>
      <c r="AO112" s="338">
        <v>467</v>
      </c>
      <c r="AP112" s="338">
        <v>388</v>
      </c>
      <c r="AQ112" s="338">
        <v>384</v>
      </c>
      <c r="AR112" s="339"/>
      <c r="AS112" s="394"/>
      <c r="AT112" s="394"/>
      <c r="AU112" s="394"/>
      <c r="AV112" s="394"/>
      <c r="AW112" s="394"/>
      <c r="AX112" s="574">
        <v>244</v>
      </c>
      <c r="AY112" s="394" t="s">
        <v>1446</v>
      </c>
      <c r="BC112" s="339"/>
      <c r="BD112" s="340"/>
      <c r="BE112" s="340"/>
      <c r="BG112" s="341"/>
      <c r="BK112" s="342"/>
    </row>
    <row r="113" spans="1:63" ht="17.25" customHeight="1">
      <c r="A113" s="343"/>
      <c r="B113" s="334"/>
      <c r="C113" s="335" t="s">
        <v>1448</v>
      </c>
      <c r="E113" s="355"/>
      <c r="F113" s="355"/>
      <c r="G113" s="355"/>
      <c r="H113" s="355"/>
      <c r="I113" s="355"/>
      <c r="J113" s="355"/>
      <c r="K113" s="355"/>
      <c r="L113" s="355"/>
      <c r="M113" s="355"/>
      <c r="N113" s="355"/>
      <c r="O113" s="355"/>
      <c r="P113" s="356"/>
      <c r="Q113" s="356"/>
      <c r="R113" s="356"/>
      <c r="S113" s="356"/>
      <c r="T113" s="356"/>
      <c r="U113" s="356"/>
      <c r="V113" s="357"/>
      <c r="W113" s="354"/>
      <c r="X113" s="350">
        <v>117</v>
      </c>
      <c r="Y113" s="350"/>
      <c r="Z113" s="350">
        <v>150</v>
      </c>
      <c r="AA113" s="350"/>
      <c r="AB113" s="350">
        <v>158</v>
      </c>
      <c r="AC113" s="350"/>
      <c r="AD113" s="350">
        <v>0</v>
      </c>
      <c r="AE113" s="396"/>
      <c r="AF113" s="350">
        <v>0</v>
      </c>
      <c r="AG113" s="395"/>
      <c r="AH113" s="392">
        <v>0</v>
      </c>
      <c r="AI113" s="365"/>
      <c r="AJ113" s="365"/>
      <c r="AK113" s="365"/>
      <c r="AL113" s="365"/>
      <c r="AM113" s="365"/>
      <c r="AN113" s="338"/>
      <c r="AO113" s="338"/>
      <c r="AP113" s="338"/>
      <c r="AQ113" s="338"/>
      <c r="AR113" s="339"/>
      <c r="AS113" s="394"/>
      <c r="AT113" s="394"/>
      <c r="AU113" s="394"/>
      <c r="AV113" s="394"/>
      <c r="AW113" s="394"/>
      <c r="AX113" s="574">
        <v>179</v>
      </c>
      <c r="AY113" s="394" t="s">
        <v>1446</v>
      </c>
      <c r="BC113" s="339"/>
      <c r="BD113" s="340"/>
      <c r="BE113" s="340"/>
      <c r="BG113" s="341"/>
      <c r="BK113" s="342"/>
    </row>
    <row r="114" spans="1:63" ht="12" customHeight="1">
      <c r="A114" s="398"/>
      <c r="C114" s="348" t="s">
        <v>1449</v>
      </c>
      <c r="D114" s="336"/>
      <c r="P114" s="353"/>
      <c r="Q114" s="353"/>
      <c r="R114" s="353"/>
      <c r="S114" s="353"/>
      <c r="T114" s="353"/>
      <c r="U114" s="353"/>
      <c r="V114" s="357"/>
      <c r="W114" s="354"/>
      <c r="X114" s="399">
        <v>52</v>
      </c>
      <c r="Y114" s="350"/>
      <c r="Z114" s="399">
        <v>41</v>
      </c>
      <c r="AA114" s="350"/>
      <c r="AB114" s="399">
        <v>0</v>
      </c>
      <c r="AC114" s="350"/>
      <c r="AD114" s="399">
        <v>0</v>
      </c>
      <c r="AE114" s="400"/>
      <c r="AF114" s="401" t="s">
        <v>1709</v>
      </c>
      <c r="AG114" s="392"/>
      <c r="AH114" s="401" t="s">
        <v>1709</v>
      </c>
      <c r="AI114" s="365"/>
      <c r="AJ114" s="365"/>
      <c r="AK114" s="365"/>
      <c r="AL114" s="365"/>
      <c r="AM114" s="365"/>
      <c r="AN114" s="365"/>
      <c r="AO114" s="338"/>
      <c r="AP114" s="365"/>
      <c r="AQ114" s="338"/>
      <c r="AR114" s="339"/>
      <c r="AS114" s="394" t="s">
        <v>1450</v>
      </c>
      <c r="AT114" s="394"/>
      <c r="AU114" s="394"/>
      <c r="AV114" s="394"/>
      <c r="AW114" s="394"/>
      <c r="AX114" s="574"/>
      <c r="AY114" s="394"/>
      <c r="BC114" s="352"/>
      <c r="BE114" s="340"/>
      <c r="BG114" s="341"/>
      <c r="BK114" s="342"/>
    </row>
    <row r="115" spans="1:63" ht="12" customHeight="1">
      <c r="A115" s="398"/>
      <c r="C115" s="348" t="s">
        <v>1451</v>
      </c>
      <c r="D115" s="336"/>
      <c r="P115" s="353"/>
      <c r="Q115" s="353"/>
      <c r="R115" s="353"/>
      <c r="S115" s="353"/>
      <c r="T115" s="353"/>
      <c r="U115" s="353"/>
      <c r="V115" s="357"/>
      <c r="W115" s="354"/>
      <c r="X115" s="350">
        <v>83</v>
      </c>
      <c r="Y115" s="350"/>
      <c r="Z115" s="350">
        <v>105</v>
      </c>
      <c r="AA115" s="350"/>
      <c r="AB115" s="350">
        <v>131</v>
      </c>
      <c r="AC115" s="350"/>
      <c r="AD115" s="350">
        <v>183</v>
      </c>
      <c r="AE115" s="350"/>
      <c r="AF115" s="402">
        <v>167</v>
      </c>
      <c r="AG115" s="392"/>
      <c r="AH115" s="350">
        <v>204</v>
      </c>
      <c r="AI115" s="365"/>
      <c r="AJ115" s="365"/>
      <c r="AK115" s="365"/>
      <c r="AL115" s="365">
        <v>216</v>
      </c>
      <c r="AM115" s="365">
        <v>217</v>
      </c>
      <c r="AN115" s="365">
        <v>233</v>
      </c>
      <c r="AO115" s="338">
        <v>246</v>
      </c>
      <c r="AP115" s="365">
        <v>224</v>
      </c>
      <c r="AQ115" s="338">
        <v>238</v>
      </c>
      <c r="AR115" s="339"/>
      <c r="AS115" s="394"/>
      <c r="AT115" s="394"/>
      <c r="AU115" s="394"/>
      <c r="AV115" s="394"/>
      <c r="AW115" s="394"/>
      <c r="AX115" s="574"/>
      <c r="AY115" s="394"/>
      <c r="BC115" s="352"/>
      <c r="BE115" s="340"/>
      <c r="BG115" s="341"/>
      <c r="BK115" s="342"/>
    </row>
    <row r="116" spans="1:63" ht="12" customHeight="1">
      <c r="A116" s="398"/>
      <c r="C116" s="348" t="s">
        <v>1452</v>
      </c>
      <c r="D116" s="336"/>
      <c r="P116" s="353" t="s">
        <v>1054</v>
      </c>
      <c r="Q116" s="353" t="s">
        <v>1054</v>
      </c>
      <c r="R116" s="353" t="s">
        <v>1054</v>
      </c>
      <c r="S116" s="353" t="s">
        <v>1054</v>
      </c>
      <c r="T116" s="353" t="s">
        <v>1054</v>
      </c>
      <c r="U116" s="353">
        <v>117.98285618343611</v>
      </c>
      <c r="V116" s="357">
        <v>167.89867995335138</v>
      </c>
      <c r="W116" s="354">
        <v>263</v>
      </c>
      <c r="X116" s="350">
        <v>330</v>
      </c>
      <c r="Y116" s="350"/>
      <c r="Z116" s="350">
        <v>272</v>
      </c>
      <c r="AA116" s="350"/>
      <c r="AB116" s="350">
        <v>0</v>
      </c>
      <c r="AC116" s="350"/>
      <c r="AD116" s="350">
        <v>0</v>
      </c>
      <c r="AE116" s="350"/>
      <c r="AF116" s="402" t="s">
        <v>1709</v>
      </c>
      <c r="AG116" s="392"/>
      <c r="AH116" s="350">
        <v>0</v>
      </c>
      <c r="AI116" s="365"/>
      <c r="AJ116" s="365"/>
      <c r="AK116" s="365"/>
      <c r="AL116" s="365"/>
      <c r="AM116" s="365"/>
      <c r="AN116" s="365"/>
      <c r="AO116" s="338"/>
      <c r="AP116" s="365"/>
      <c r="AQ116" s="338"/>
      <c r="AR116" s="339"/>
      <c r="AS116" s="394"/>
      <c r="AT116" s="394" t="s">
        <v>1453</v>
      </c>
      <c r="AU116" s="394"/>
      <c r="AV116" s="394"/>
      <c r="AW116" s="394"/>
      <c r="AX116" s="574"/>
      <c r="AY116" s="394"/>
      <c r="BC116" s="352"/>
      <c r="BE116" s="340"/>
      <c r="BG116" s="341"/>
      <c r="BK116" s="342"/>
    </row>
    <row r="117" spans="1:63" ht="12" customHeight="1">
      <c r="A117" s="398"/>
      <c r="C117" s="348"/>
      <c r="D117" s="336" t="s">
        <v>1454</v>
      </c>
      <c r="P117" s="353"/>
      <c r="Q117" s="353"/>
      <c r="R117" s="353"/>
      <c r="S117" s="353"/>
      <c r="T117" s="353"/>
      <c r="U117" s="353"/>
      <c r="V117" s="357"/>
      <c r="W117" s="354"/>
      <c r="X117" s="350">
        <v>59</v>
      </c>
      <c r="Y117" s="350"/>
      <c r="Z117" s="350">
        <v>72</v>
      </c>
      <c r="AA117" s="350"/>
      <c r="AB117" s="350">
        <v>0</v>
      </c>
      <c r="AC117" s="350"/>
      <c r="AD117" s="350">
        <v>0</v>
      </c>
      <c r="AE117" s="350"/>
      <c r="AF117" s="350">
        <v>0</v>
      </c>
      <c r="AG117" s="392"/>
      <c r="AH117" s="350"/>
      <c r="AI117" s="365"/>
      <c r="AJ117" s="365"/>
      <c r="AK117" s="365"/>
      <c r="AL117" s="365"/>
      <c r="AM117" s="365"/>
      <c r="AN117" s="365"/>
      <c r="AO117" s="338"/>
      <c r="AP117" s="365"/>
      <c r="AQ117" s="338"/>
      <c r="AR117" s="339"/>
      <c r="AS117" s="394" t="s">
        <v>1455</v>
      </c>
      <c r="AT117" s="394"/>
      <c r="AU117" s="394"/>
      <c r="AV117" s="394"/>
      <c r="AW117" s="394"/>
      <c r="AX117" s="574" t="s">
        <v>237</v>
      </c>
      <c r="AY117" s="394"/>
      <c r="BC117" s="352"/>
      <c r="BE117" s="340"/>
      <c r="BG117" s="341"/>
      <c r="BK117" s="342"/>
    </row>
    <row r="118" spans="1:63" ht="12" customHeight="1">
      <c r="A118" s="398"/>
      <c r="B118" s="403"/>
      <c r="C118" s="319"/>
      <c r="D118" s="336" t="s">
        <v>1456</v>
      </c>
      <c r="P118" s="353"/>
      <c r="Q118" s="353"/>
      <c r="R118" s="353"/>
      <c r="S118" s="353"/>
      <c r="T118" s="353"/>
      <c r="U118" s="353"/>
      <c r="V118" s="357"/>
      <c r="W118" s="354"/>
      <c r="X118" s="350">
        <v>271</v>
      </c>
      <c r="Y118" s="350"/>
      <c r="Z118" s="350">
        <v>200</v>
      </c>
      <c r="AA118" s="350"/>
      <c r="AB118" s="350">
        <v>0</v>
      </c>
      <c r="AC118" s="350"/>
      <c r="AD118" s="350">
        <v>0</v>
      </c>
      <c r="AE118" s="350"/>
      <c r="AF118" s="350">
        <v>0</v>
      </c>
      <c r="AG118" s="392"/>
      <c r="AH118" s="350"/>
      <c r="AI118" s="365"/>
      <c r="AJ118" s="365"/>
      <c r="AK118" s="365"/>
      <c r="AL118" s="365"/>
      <c r="AM118" s="365"/>
      <c r="AN118" s="365"/>
      <c r="AO118" s="338"/>
      <c r="AP118" s="365"/>
      <c r="AQ118" s="338"/>
      <c r="AR118" s="339"/>
      <c r="AS118" s="394" t="s">
        <v>1455</v>
      </c>
      <c r="AT118" s="394"/>
      <c r="AU118" s="394"/>
      <c r="AV118" s="394"/>
      <c r="AW118" s="394"/>
      <c r="AX118" s="574" t="s">
        <v>237</v>
      </c>
      <c r="AY118" s="394"/>
      <c r="BC118" s="352"/>
      <c r="BE118" s="340"/>
      <c r="BG118" s="341"/>
      <c r="BK118" s="342"/>
    </row>
    <row r="119" spans="1:63" ht="12" customHeight="1">
      <c r="A119" s="398"/>
      <c r="B119" s="240"/>
      <c r="C119" s="319"/>
      <c r="D119" s="336"/>
      <c r="P119" s="353"/>
      <c r="Q119" s="353"/>
      <c r="R119" s="353"/>
      <c r="S119" s="353"/>
      <c r="T119" s="353"/>
      <c r="U119" s="353"/>
      <c r="V119" s="357"/>
      <c r="W119" s="354"/>
      <c r="X119" s="350"/>
      <c r="Y119" s="350"/>
      <c r="Z119" s="350"/>
      <c r="AA119" s="350"/>
      <c r="AB119" s="350"/>
      <c r="AC119" s="350"/>
      <c r="AD119" s="391"/>
      <c r="AE119" s="391"/>
      <c r="AF119" s="391"/>
      <c r="AG119" s="392"/>
      <c r="AH119" s="391"/>
      <c r="AI119" s="365"/>
      <c r="AJ119" s="365"/>
      <c r="AK119" s="365"/>
      <c r="AL119" s="365"/>
      <c r="AM119" s="365"/>
      <c r="AN119" s="365"/>
      <c r="AO119" s="338"/>
      <c r="AP119" s="365"/>
      <c r="AQ119" s="338"/>
      <c r="AR119" s="339"/>
      <c r="AS119" s="394"/>
      <c r="AT119" s="394"/>
      <c r="AU119" s="394"/>
      <c r="AV119" s="394"/>
      <c r="AW119" s="394"/>
      <c r="AX119" s="574"/>
      <c r="AY119" s="394"/>
      <c r="BC119" s="352"/>
      <c r="BE119" s="340"/>
      <c r="BG119" s="341"/>
      <c r="BK119" s="342"/>
    </row>
    <row r="120" spans="1:63" ht="12" customHeight="1">
      <c r="A120" s="398"/>
      <c r="B120" s="389" t="s">
        <v>240</v>
      </c>
      <c r="C120" s="348"/>
      <c r="D120" s="336"/>
      <c r="P120" s="353"/>
      <c r="Q120" s="353"/>
      <c r="R120" s="353"/>
      <c r="S120" s="353"/>
      <c r="T120" s="353"/>
      <c r="U120" s="353"/>
      <c r="V120" s="357"/>
      <c r="W120" s="354"/>
      <c r="X120" s="350"/>
      <c r="Y120" s="350"/>
      <c r="Z120" s="350"/>
      <c r="AA120" s="350"/>
      <c r="AB120" s="350"/>
      <c r="AC120" s="350"/>
      <c r="AD120" s="350"/>
      <c r="AE120" s="350"/>
      <c r="AF120" s="350"/>
      <c r="AG120" s="392"/>
      <c r="AH120" s="350"/>
      <c r="AI120" s="365"/>
      <c r="AJ120" s="365"/>
      <c r="AK120" s="365"/>
      <c r="AL120" s="365"/>
      <c r="AM120" s="365"/>
      <c r="AN120" s="365"/>
      <c r="AO120" s="338"/>
      <c r="AP120" s="365"/>
      <c r="AQ120" s="338"/>
      <c r="AR120" s="339"/>
      <c r="AS120" s="394"/>
      <c r="AT120" s="394"/>
      <c r="AU120" s="394"/>
      <c r="AV120" s="394"/>
      <c r="AW120" s="394"/>
      <c r="AX120" s="574"/>
      <c r="AY120" s="394"/>
      <c r="BC120" s="352"/>
      <c r="BE120" s="340"/>
      <c r="BG120" s="341"/>
      <c r="BK120" s="342"/>
    </row>
    <row r="121" spans="1:63" ht="12" customHeight="1">
      <c r="A121" s="398"/>
      <c r="B121" s="389" t="s">
        <v>91</v>
      </c>
      <c r="C121" s="348"/>
      <c r="D121" s="336"/>
      <c r="P121" s="353"/>
      <c r="Q121" s="353"/>
      <c r="R121" s="353"/>
      <c r="S121" s="353"/>
      <c r="T121" s="353"/>
      <c r="U121" s="353"/>
      <c r="V121" s="357"/>
      <c r="W121" s="354"/>
      <c r="X121" s="350">
        <v>0</v>
      </c>
      <c r="Y121" s="350"/>
      <c r="Z121" s="350">
        <v>0</v>
      </c>
      <c r="AA121" s="350"/>
      <c r="AB121" s="350">
        <v>0</v>
      </c>
      <c r="AC121" s="350"/>
      <c r="AD121" s="391">
        <v>10400</v>
      </c>
      <c r="AE121" s="391"/>
      <c r="AF121" s="391">
        <v>11329</v>
      </c>
      <c r="AG121" s="571"/>
      <c r="AH121" s="391">
        <v>12435</v>
      </c>
      <c r="AI121" s="573"/>
      <c r="AJ121" s="573"/>
      <c r="AK121" s="573"/>
      <c r="AL121" s="573">
        <v>12534</v>
      </c>
      <c r="AM121" s="573">
        <v>12406</v>
      </c>
      <c r="AN121" s="573">
        <v>12499</v>
      </c>
      <c r="AO121" s="433">
        <v>13348</v>
      </c>
      <c r="AP121" s="573">
        <v>14333</v>
      </c>
      <c r="AQ121" s="433">
        <v>15034</v>
      </c>
      <c r="AR121" s="339"/>
      <c r="AS121" s="394" t="s">
        <v>1710</v>
      </c>
      <c r="AT121" s="394"/>
      <c r="AU121" s="394"/>
      <c r="AV121" s="394"/>
      <c r="AW121" s="394"/>
      <c r="AX121" s="574"/>
      <c r="AY121" s="394"/>
      <c r="BC121" s="352"/>
      <c r="BE121" s="340"/>
      <c r="BG121" s="341"/>
      <c r="BK121" s="342"/>
    </row>
    <row r="122" spans="1:63" ht="12" customHeight="1">
      <c r="AS122" s="576"/>
      <c r="AT122" s="576"/>
      <c r="AU122" s="576"/>
      <c r="AV122" s="576"/>
      <c r="AW122" s="576"/>
      <c r="AX122" s="574"/>
      <c r="AY122" s="576"/>
    </row>
    <row r="123" spans="1:63" ht="12" customHeight="1">
      <c r="A123" s="343"/>
      <c r="B123" s="334"/>
      <c r="C123" s="336" t="s">
        <v>94</v>
      </c>
      <c r="E123" s="355"/>
      <c r="F123" s="355"/>
      <c r="G123" s="355"/>
      <c r="H123" s="355"/>
      <c r="I123" s="355"/>
      <c r="J123" s="355"/>
      <c r="K123" s="355"/>
      <c r="L123" s="355"/>
      <c r="M123" s="355"/>
      <c r="N123" s="355"/>
      <c r="O123" s="355"/>
      <c r="P123" s="356"/>
      <c r="Q123" s="356"/>
      <c r="R123" s="356"/>
      <c r="S123" s="356"/>
      <c r="T123" s="356"/>
      <c r="U123" s="356"/>
      <c r="V123" s="357"/>
      <c r="W123" s="354"/>
      <c r="X123" s="366"/>
      <c r="Y123" s="366"/>
      <c r="Z123" s="366"/>
      <c r="AA123" s="366"/>
      <c r="AB123" s="366"/>
      <c r="AC123" s="366"/>
      <c r="AD123" s="366">
        <v>4000</v>
      </c>
      <c r="AE123" s="366"/>
      <c r="AF123" s="366">
        <v>3834</v>
      </c>
      <c r="AG123" s="366"/>
      <c r="AH123" s="338">
        <v>4582</v>
      </c>
      <c r="AI123" s="338"/>
      <c r="AJ123" s="338"/>
      <c r="AK123" s="338"/>
      <c r="AL123" s="338">
        <v>7195</v>
      </c>
      <c r="AM123" s="338">
        <v>7124</v>
      </c>
      <c r="AN123" s="338">
        <v>7209</v>
      </c>
      <c r="AO123" s="338">
        <v>7128</v>
      </c>
      <c r="AP123" s="338">
        <v>7254</v>
      </c>
      <c r="AQ123" s="338">
        <v>7417</v>
      </c>
      <c r="AR123" s="339"/>
      <c r="AS123" s="394" t="s">
        <v>1457</v>
      </c>
      <c r="AT123" s="394"/>
      <c r="AU123" s="394"/>
      <c r="AV123" s="394"/>
      <c r="AW123" s="394"/>
      <c r="AX123" s="574"/>
      <c r="AY123" s="394"/>
      <c r="BC123" s="339"/>
      <c r="BD123" s="340"/>
      <c r="BE123" s="340"/>
      <c r="BG123" s="341"/>
      <c r="BK123" s="342"/>
    </row>
    <row r="124" spans="1:63" ht="12" customHeight="1">
      <c r="A124" s="343"/>
      <c r="B124" s="405"/>
      <c r="C124" s="405"/>
      <c r="D124" s="406"/>
      <c r="E124" s="405"/>
      <c r="F124" s="405"/>
      <c r="G124" s="405"/>
      <c r="H124" s="405"/>
      <c r="I124" s="405"/>
      <c r="J124" s="405"/>
      <c r="K124" s="405"/>
      <c r="L124" s="405"/>
      <c r="M124" s="405"/>
      <c r="N124" s="405"/>
      <c r="O124" s="405"/>
      <c r="P124" s="405"/>
      <c r="Q124" s="405"/>
      <c r="R124" s="405"/>
      <c r="S124" s="405"/>
      <c r="T124" s="405"/>
      <c r="U124" s="405"/>
      <c r="V124" s="407"/>
      <c r="W124" s="407"/>
      <c r="X124" s="408"/>
      <c r="Y124" s="408"/>
      <c r="Z124" s="408"/>
      <c r="AA124" s="408"/>
      <c r="AB124" s="408"/>
      <c r="AC124" s="408"/>
      <c r="AD124" s="408"/>
      <c r="AE124" s="408"/>
      <c r="AF124" s="408"/>
      <c r="AG124" s="408"/>
      <c r="AH124" s="408"/>
      <c r="AI124" s="408"/>
      <c r="AJ124" s="408"/>
      <c r="AK124" s="408"/>
      <c r="AL124" s="408"/>
      <c r="AM124" s="408"/>
      <c r="AN124" s="408"/>
      <c r="AO124" s="408"/>
      <c r="AP124" s="408"/>
      <c r="AQ124" s="408"/>
      <c r="AR124" s="339"/>
      <c r="AS124" s="339"/>
      <c r="AT124" s="339"/>
      <c r="AU124" s="339"/>
      <c r="AV124" s="339"/>
      <c r="AW124" s="339"/>
      <c r="AX124" s="339"/>
      <c r="AY124" s="339"/>
      <c r="BC124" s="339"/>
      <c r="BD124" s="340"/>
      <c r="BE124" s="340"/>
      <c r="BG124" s="341"/>
      <c r="BK124" s="342"/>
    </row>
    <row r="125" spans="1:63" ht="12" customHeight="1">
      <c r="A125" s="343"/>
      <c r="B125" s="369"/>
      <c r="E125" s="355"/>
      <c r="F125" s="355"/>
      <c r="G125" s="355"/>
      <c r="H125" s="355"/>
      <c r="I125" s="355"/>
      <c r="J125" s="355"/>
      <c r="K125" s="355"/>
      <c r="L125" s="355"/>
      <c r="M125" s="355"/>
      <c r="N125" s="355"/>
      <c r="O125" s="355"/>
      <c r="P125" s="356"/>
      <c r="Q125" s="356"/>
      <c r="R125" s="356"/>
      <c r="S125" s="356"/>
      <c r="T125" s="356"/>
      <c r="U125" s="356"/>
      <c r="V125" s="357"/>
      <c r="W125" s="354"/>
      <c r="X125" s="366"/>
      <c r="Y125" s="366"/>
      <c r="Z125" s="366"/>
      <c r="AA125" s="366"/>
      <c r="AB125" s="366"/>
      <c r="AC125" s="366"/>
      <c r="AD125" s="366"/>
      <c r="AE125" s="366"/>
      <c r="AF125" s="366"/>
      <c r="AG125" s="349"/>
      <c r="AH125" s="339"/>
      <c r="AI125" s="339"/>
      <c r="AJ125" s="339"/>
      <c r="AK125" s="339"/>
      <c r="AL125" s="339"/>
      <c r="AM125" s="339"/>
      <c r="AN125" s="339"/>
      <c r="AO125" s="339"/>
      <c r="AP125" s="339"/>
      <c r="AQ125" s="339"/>
      <c r="AR125" s="339"/>
      <c r="AS125" s="339"/>
      <c r="AT125" s="339"/>
      <c r="AU125" s="339"/>
      <c r="AV125" s="339"/>
      <c r="AW125" s="339"/>
      <c r="BC125" s="339"/>
      <c r="BD125" s="340"/>
      <c r="BE125" s="340"/>
      <c r="BG125" s="341"/>
      <c r="BK125" s="342"/>
    </row>
    <row r="126" spans="1:63" ht="12" customHeight="1">
      <c r="A126" s="336"/>
      <c r="B126" s="343" t="s">
        <v>1458</v>
      </c>
      <c r="E126" s="355"/>
      <c r="F126" s="355"/>
      <c r="G126" s="355"/>
      <c r="H126" s="355"/>
      <c r="I126" s="355"/>
      <c r="J126" s="355"/>
      <c r="K126" s="355"/>
      <c r="L126" s="355"/>
      <c r="M126" s="355"/>
      <c r="N126" s="355"/>
      <c r="O126" s="355"/>
      <c r="P126" s="356"/>
      <c r="Q126" s="356"/>
      <c r="R126" s="356"/>
      <c r="S126" s="356"/>
      <c r="T126" s="356"/>
      <c r="U126" s="356"/>
      <c r="V126" s="357"/>
      <c r="W126" s="354"/>
      <c r="X126" s="366"/>
      <c r="Y126" s="366"/>
      <c r="Z126" s="366"/>
      <c r="AA126" s="366"/>
      <c r="AB126" s="366"/>
      <c r="AC126" s="366"/>
      <c r="AD126" s="366"/>
      <c r="AE126" s="366"/>
      <c r="AF126" s="366"/>
      <c r="AG126" s="349"/>
      <c r="AH126" s="339"/>
      <c r="AI126" s="339"/>
      <c r="AJ126" s="339"/>
      <c r="AK126" s="339"/>
      <c r="AL126" s="339"/>
      <c r="AM126" s="339"/>
      <c r="AN126" s="339"/>
      <c r="AO126" s="339"/>
      <c r="AP126" s="339"/>
      <c r="AQ126" s="339"/>
      <c r="AR126" s="339"/>
      <c r="AS126" s="339"/>
      <c r="AT126" s="339"/>
      <c r="AU126" s="339"/>
      <c r="AV126" s="339"/>
      <c r="AW126" s="339"/>
      <c r="BC126" s="339"/>
      <c r="BD126" s="340"/>
      <c r="BE126" s="340"/>
      <c r="BG126" s="341"/>
      <c r="BK126" s="342"/>
    </row>
    <row r="127" spans="1:63" ht="12" customHeight="1">
      <c r="A127" s="336"/>
      <c r="B127" s="343"/>
      <c r="E127" s="355"/>
      <c r="F127" s="355"/>
      <c r="G127" s="355"/>
      <c r="H127" s="355"/>
      <c r="I127" s="355"/>
      <c r="J127" s="355"/>
      <c r="K127" s="355"/>
      <c r="L127" s="355"/>
      <c r="M127" s="355"/>
      <c r="N127" s="355"/>
      <c r="O127" s="355"/>
      <c r="P127" s="356"/>
      <c r="Q127" s="356"/>
      <c r="R127" s="356"/>
      <c r="S127" s="356"/>
      <c r="T127" s="356"/>
      <c r="U127" s="356"/>
      <c r="V127" s="357"/>
      <c r="W127" s="354"/>
      <c r="X127" s="366"/>
      <c r="Y127" s="366"/>
      <c r="Z127" s="366"/>
      <c r="AA127" s="366"/>
      <c r="AB127" s="366"/>
      <c r="AC127" s="366"/>
      <c r="AD127" s="366"/>
      <c r="AE127" s="366"/>
      <c r="AF127" s="366"/>
      <c r="AG127" s="349"/>
      <c r="AH127" s="339"/>
      <c r="AI127" s="339"/>
      <c r="AJ127" s="339"/>
      <c r="AK127" s="339"/>
      <c r="AL127" s="339"/>
      <c r="AM127" s="339"/>
      <c r="AN127" s="339"/>
      <c r="AO127" s="339"/>
      <c r="AP127" s="339"/>
      <c r="AQ127" s="339"/>
      <c r="AR127" s="339"/>
      <c r="AS127" s="339"/>
      <c r="AT127" s="339"/>
      <c r="AU127" s="339"/>
      <c r="AV127" s="339"/>
      <c r="AW127" s="339"/>
      <c r="BC127" s="339"/>
      <c r="BD127" s="340"/>
      <c r="BE127" s="340"/>
      <c r="BG127" s="341"/>
      <c r="BK127" s="342"/>
    </row>
    <row r="128" spans="1:63" ht="12" customHeight="1">
      <c r="A128" s="336"/>
      <c r="B128" s="343" t="s">
        <v>1544</v>
      </c>
      <c r="E128" s="355"/>
      <c r="F128" s="355"/>
      <c r="G128" s="355"/>
      <c r="H128" s="355"/>
      <c r="I128" s="355"/>
      <c r="J128" s="355"/>
      <c r="K128" s="355"/>
      <c r="L128" s="355"/>
      <c r="M128" s="355"/>
      <c r="N128" s="355"/>
      <c r="O128" s="355"/>
      <c r="P128" s="356"/>
      <c r="Q128" s="356"/>
      <c r="R128" s="356"/>
      <c r="S128" s="356"/>
      <c r="T128" s="356"/>
      <c r="U128" s="356"/>
      <c r="V128" s="357"/>
      <c r="W128" s="354"/>
      <c r="X128" s="366"/>
      <c r="Y128" s="366"/>
      <c r="Z128" s="366"/>
      <c r="AA128" s="366"/>
      <c r="AB128" s="366"/>
      <c r="AC128" s="366"/>
      <c r="AD128" s="366"/>
      <c r="AE128" s="366"/>
      <c r="AF128" s="366"/>
      <c r="AG128" s="349"/>
      <c r="AH128" s="339"/>
      <c r="AI128" s="339"/>
      <c r="AJ128" s="339"/>
      <c r="AK128" s="339"/>
      <c r="AL128" s="339"/>
      <c r="AM128" s="339"/>
      <c r="AN128" s="339"/>
      <c r="AO128" s="339"/>
      <c r="AP128" s="339"/>
      <c r="AQ128" s="339"/>
      <c r="AR128" s="339"/>
      <c r="AS128" s="339"/>
      <c r="AT128" s="339"/>
      <c r="AU128" s="339"/>
      <c r="AV128" s="339"/>
      <c r="AW128" s="339"/>
      <c r="BC128" s="339"/>
      <c r="BD128" s="340"/>
      <c r="BE128" s="340"/>
      <c r="BG128" s="341"/>
      <c r="BK128" s="342"/>
    </row>
    <row r="129" spans="1:65" ht="12" customHeight="1">
      <c r="A129" s="336"/>
      <c r="B129" s="343"/>
      <c r="E129" s="355"/>
      <c r="F129" s="355"/>
      <c r="G129" s="355"/>
      <c r="H129" s="355"/>
      <c r="I129" s="355"/>
      <c r="J129" s="355"/>
      <c r="K129" s="355"/>
      <c r="L129" s="355"/>
      <c r="M129" s="355"/>
      <c r="N129" s="355"/>
      <c r="O129" s="355"/>
      <c r="P129" s="356"/>
      <c r="Q129" s="356"/>
      <c r="R129" s="356"/>
      <c r="S129" s="356"/>
      <c r="T129" s="356"/>
      <c r="U129" s="356"/>
      <c r="V129" s="357"/>
      <c r="W129" s="354"/>
      <c r="X129" s="366"/>
      <c r="Y129" s="366"/>
      <c r="Z129" s="366"/>
      <c r="AA129" s="366"/>
      <c r="AB129" s="366"/>
      <c r="AC129" s="366"/>
      <c r="AD129" s="366"/>
      <c r="AE129" s="366"/>
      <c r="AF129" s="366"/>
      <c r="AG129" s="349"/>
      <c r="AH129" s="339"/>
      <c r="AI129" s="339"/>
      <c r="AJ129" s="339"/>
      <c r="AK129" s="339"/>
      <c r="AL129" s="339"/>
      <c r="AM129" s="339"/>
      <c r="AN129" s="339"/>
      <c r="AO129" s="339"/>
      <c r="AP129" s="339"/>
      <c r="AQ129" s="339"/>
      <c r="AR129" s="339"/>
      <c r="AS129" s="339"/>
      <c r="AT129" s="339"/>
      <c r="AU129" s="339"/>
      <c r="AV129" s="339"/>
      <c r="AW129" s="339"/>
      <c r="BC129" s="339"/>
      <c r="BD129" s="340"/>
      <c r="BE129" s="340"/>
      <c r="BG129" s="341"/>
      <c r="BK129" s="342"/>
    </row>
    <row r="130" spans="1:65" ht="12" customHeight="1">
      <c r="A130" s="336"/>
      <c r="B130" s="343"/>
      <c r="E130" s="355"/>
      <c r="F130" s="355"/>
      <c r="G130" s="355"/>
      <c r="H130" s="355"/>
      <c r="I130" s="355"/>
      <c r="J130" s="355"/>
      <c r="K130" s="355"/>
      <c r="L130" s="355"/>
      <c r="M130" s="355"/>
      <c r="N130" s="355"/>
      <c r="O130" s="355"/>
      <c r="P130" s="356"/>
      <c r="Q130" s="356"/>
      <c r="R130" s="356"/>
      <c r="S130" s="356"/>
      <c r="T130" s="356"/>
      <c r="U130" s="356"/>
      <c r="V130" s="357"/>
      <c r="W130" s="354"/>
      <c r="X130" s="366"/>
      <c r="Y130" s="366"/>
      <c r="Z130" s="366"/>
      <c r="AA130" s="366"/>
      <c r="AB130" s="366"/>
      <c r="AC130" s="366"/>
      <c r="AD130" s="366"/>
      <c r="AE130" s="366"/>
      <c r="AF130" s="366"/>
      <c r="AG130" s="349"/>
      <c r="AH130" s="339"/>
      <c r="AI130" s="339"/>
      <c r="AJ130" s="339"/>
      <c r="AK130" s="339"/>
      <c r="AL130" s="339"/>
      <c r="AM130" s="339"/>
      <c r="AN130" s="339"/>
      <c r="AO130" s="339"/>
      <c r="AP130" s="339"/>
      <c r="AQ130" s="339"/>
      <c r="AR130" s="339"/>
      <c r="AS130" s="339"/>
      <c r="AT130" s="339"/>
      <c r="AU130" s="339"/>
      <c r="AV130" s="339"/>
      <c r="AW130" s="339"/>
      <c r="BC130" s="339"/>
      <c r="BD130" s="340"/>
      <c r="BE130" s="340"/>
      <c r="BG130" s="341"/>
      <c r="BK130" s="342"/>
    </row>
    <row r="131" spans="1:65" ht="12" customHeight="1">
      <c r="A131" s="336"/>
      <c r="B131" s="335"/>
      <c r="D131" s="336"/>
      <c r="E131" s="355"/>
      <c r="F131" s="355"/>
      <c r="G131" s="355"/>
      <c r="H131" s="355"/>
      <c r="I131" s="355"/>
      <c r="J131" s="355"/>
      <c r="K131" s="355"/>
      <c r="L131" s="355"/>
      <c r="M131" s="355"/>
      <c r="N131" s="355"/>
      <c r="O131" s="355"/>
      <c r="P131" s="355"/>
      <c r="Q131" s="355"/>
      <c r="R131" s="355"/>
      <c r="S131" s="355"/>
      <c r="T131" s="355"/>
      <c r="U131" s="355"/>
      <c r="V131" s="409"/>
      <c r="X131" s="338"/>
      <c r="Y131" s="338"/>
      <c r="Z131" s="338"/>
      <c r="AA131" s="338"/>
      <c r="AB131" s="338"/>
      <c r="AC131" s="338"/>
      <c r="AD131" s="338"/>
      <c r="AE131" s="338"/>
      <c r="AF131" s="338"/>
      <c r="AG131" s="339"/>
      <c r="AH131" s="339"/>
      <c r="AI131" s="339"/>
      <c r="AJ131" s="339"/>
      <c r="AK131" s="339"/>
      <c r="AL131" s="339"/>
      <c r="AM131" s="339"/>
      <c r="AN131" s="339"/>
      <c r="AO131" s="339"/>
      <c r="AP131" s="339"/>
      <c r="AQ131" s="339"/>
      <c r="AR131" s="339"/>
      <c r="AS131" s="339"/>
      <c r="AT131" s="339"/>
      <c r="AU131" s="339"/>
      <c r="AV131" s="339"/>
      <c r="AW131" s="339"/>
      <c r="BC131" s="339"/>
      <c r="BD131" s="340"/>
      <c r="BE131" s="340"/>
      <c r="BG131" s="341"/>
      <c r="BK131" s="342"/>
    </row>
    <row r="132" spans="1:65" ht="12" customHeight="1">
      <c r="A132" s="336"/>
      <c r="B132" s="410"/>
      <c r="D132" s="336"/>
      <c r="E132" s="355"/>
      <c r="F132" s="355"/>
      <c r="G132" s="355"/>
      <c r="H132" s="355"/>
      <c r="I132" s="355"/>
      <c r="J132" s="355"/>
      <c r="K132" s="355"/>
      <c r="L132" s="355"/>
      <c r="M132" s="355"/>
      <c r="N132" s="355"/>
      <c r="O132" s="355"/>
      <c r="P132" s="355"/>
      <c r="Q132" s="355"/>
      <c r="R132" s="355"/>
      <c r="S132" s="355"/>
      <c r="T132" s="355"/>
      <c r="U132" s="355"/>
      <c r="V132" s="409"/>
      <c r="X132" s="338"/>
      <c r="Y132" s="338"/>
      <c r="Z132" s="338"/>
      <c r="AA132" s="338"/>
      <c r="AB132" s="338"/>
      <c r="AC132" s="338"/>
      <c r="AD132" s="338"/>
      <c r="AE132" s="338"/>
      <c r="AF132" s="338"/>
      <c r="AG132" s="339"/>
      <c r="AH132" s="339"/>
      <c r="AI132" s="339"/>
      <c r="AJ132" s="339"/>
      <c r="AK132" s="339"/>
      <c r="AL132" s="339"/>
      <c r="AM132" s="339"/>
      <c r="AN132" s="339"/>
      <c r="AO132" s="339"/>
      <c r="AP132" s="339"/>
      <c r="AQ132" s="339"/>
      <c r="AR132" s="339"/>
      <c r="AS132" s="339"/>
      <c r="AT132" s="339"/>
      <c r="AU132" s="339"/>
      <c r="AV132" s="339"/>
      <c r="AW132" s="339"/>
      <c r="BC132" s="339"/>
      <c r="BD132" s="340"/>
      <c r="BE132" s="340"/>
      <c r="BG132" s="341"/>
      <c r="BK132" s="342"/>
    </row>
    <row r="133" spans="1:65" ht="12" customHeight="1">
      <c r="A133" s="343"/>
      <c r="B133" s="334" t="s">
        <v>1459</v>
      </c>
      <c r="E133" s="355"/>
      <c r="F133" s="355"/>
      <c r="G133" s="355"/>
      <c r="H133" s="355"/>
      <c r="I133" s="355"/>
      <c r="J133" s="355"/>
      <c r="K133" s="355"/>
      <c r="L133" s="355"/>
      <c r="M133" s="355"/>
      <c r="N133" s="355"/>
      <c r="O133" s="355"/>
      <c r="P133" s="355"/>
      <c r="Q133" s="355"/>
      <c r="R133" s="355"/>
      <c r="S133" s="355"/>
      <c r="T133" s="355"/>
      <c r="U133" s="355"/>
      <c r="V133" s="409"/>
      <c r="X133" s="338"/>
      <c r="Y133" s="338"/>
      <c r="Z133" s="338"/>
      <c r="AA133" s="338"/>
      <c r="AB133" s="338"/>
      <c r="AC133" s="338"/>
      <c r="AD133" s="338"/>
      <c r="AE133" s="338"/>
      <c r="AF133" s="338"/>
      <c r="AG133" s="339"/>
      <c r="AH133" s="339"/>
      <c r="AI133" s="339"/>
      <c r="AJ133" s="339"/>
      <c r="AK133" s="339"/>
      <c r="AL133" s="339"/>
      <c r="AM133" s="339"/>
      <c r="AN133" s="339"/>
      <c r="AO133" s="339"/>
      <c r="AP133" s="339"/>
      <c r="AQ133" s="339"/>
      <c r="AR133" s="339"/>
      <c r="AS133" s="339"/>
      <c r="AT133" s="339"/>
      <c r="AU133" s="339"/>
      <c r="AV133" s="339"/>
      <c r="AW133" s="339"/>
      <c r="BC133" s="339"/>
      <c r="BD133" s="340"/>
      <c r="BE133" s="340"/>
      <c r="BG133" s="341"/>
      <c r="BK133" s="342"/>
    </row>
    <row r="134" spans="1:65">
      <c r="A134" s="336"/>
      <c r="B134" s="336" t="s">
        <v>1460</v>
      </c>
      <c r="D134" s="336"/>
      <c r="V134" s="336"/>
      <c r="W134" s="336"/>
      <c r="AI134" s="339"/>
      <c r="AJ134" s="339"/>
      <c r="AK134" s="339"/>
      <c r="AL134" s="339"/>
      <c r="AM134" s="339"/>
      <c r="AN134" s="339"/>
      <c r="AO134" s="339"/>
      <c r="AP134" s="339"/>
      <c r="AQ134" s="339"/>
      <c r="AR134" s="339"/>
      <c r="AS134" s="339"/>
      <c r="AT134" s="339"/>
      <c r="AU134" s="339"/>
      <c r="AV134" s="339"/>
      <c r="AW134" s="339"/>
      <c r="BC134" s="339"/>
      <c r="BD134" s="340"/>
      <c r="BE134" s="340"/>
      <c r="BG134" s="341"/>
      <c r="BK134" s="342"/>
    </row>
    <row r="135" spans="1:65" ht="12" customHeight="1">
      <c r="A135" s="343"/>
      <c r="B135" s="334"/>
      <c r="E135" s="355"/>
      <c r="F135" s="355"/>
      <c r="G135" s="355"/>
      <c r="H135" s="355"/>
      <c r="I135" s="355"/>
      <c r="J135" s="355"/>
      <c r="K135" s="355"/>
      <c r="L135" s="355"/>
      <c r="M135" s="355"/>
      <c r="N135" s="355"/>
      <c r="O135" s="355"/>
      <c r="P135" s="355"/>
      <c r="Q135" s="355"/>
      <c r="R135" s="355"/>
      <c r="S135" s="355"/>
      <c r="T135" s="355"/>
      <c r="U135" s="355"/>
      <c r="V135" s="409"/>
      <c r="X135" s="338"/>
      <c r="Y135" s="338"/>
      <c r="Z135" s="338"/>
      <c r="AA135" s="338"/>
      <c r="AB135" s="338"/>
      <c r="AC135" s="338"/>
      <c r="AD135" s="338"/>
      <c r="AE135" s="338"/>
      <c r="AF135" s="338"/>
      <c r="AG135" s="339"/>
      <c r="AH135" s="339"/>
      <c r="AI135" s="339"/>
      <c r="AJ135" s="339"/>
      <c r="AK135" s="339"/>
      <c r="AL135" s="339"/>
      <c r="AM135" s="339"/>
      <c r="AN135" s="339"/>
      <c r="AO135" s="339"/>
      <c r="AP135" s="339"/>
      <c r="AQ135" s="339"/>
      <c r="AR135" s="339"/>
      <c r="AS135" s="339"/>
      <c r="AT135" s="339"/>
      <c r="AU135" s="339"/>
      <c r="AV135" s="339"/>
      <c r="AW135" s="339"/>
      <c r="BC135" s="339"/>
      <c r="BD135" s="340"/>
      <c r="BE135" s="340"/>
      <c r="BG135" s="341"/>
      <c r="BK135" s="342"/>
    </row>
    <row r="136" spans="1:65" ht="12" hidden="1" customHeight="1">
      <c r="A136" s="398"/>
      <c r="B136" s="348"/>
      <c r="C136" s="348"/>
      <c r="D136" s="336"/>
      <c r="X136" s="338"/>
      <c r="Y136" s="338"/>
      <c r="Z136" s="338"/>
      <c r="AA136" s="338"/>
      <c r="AB136" s="338"/>
      <c r="AC136" s="338"/>
      <c r="AD136" s="338"/>
      <c r="AE136" s="338"/>
      <c r="AF136" s="338"/>
      <c r="AG136" s="339"/>
      <c r="AH136" s="339"/>
      <c r="AI136" s="339"/>
      <c r="AJ136" s="339"/>
      <c r="AK136" s="339"/>
      <c r="AL136" s="339"/>
      <c r="AM136" s="339"/>
      <c r="AN136" s="339"/>
      <c r="AO136" s="339"/>
      <c r="AP136" s="339"/>
      <c r="AQ136" s="339"/>
      <c r="AR136" s="339"/>
      <c r="AS136" s="339"/>
      <c r="AT136" s="339"/>
      <c r="AU136" s="339"/>
      <c r="AV136" s="339"/>
      <c r="AW136" s="339"/>
      <c r="BC136" s="352"/>
      <c r="BE136" s="340"/>
      <c r="BG136" s="341"/>
      <c r="BK136" s="342"/>
    </row>
    <row r="137" spans="1:65" ht="12" hidden="1" customHeight="1">
      <c r="A137" s="398"/>
      <c r="B137" s="348"/>
      <c r="C137" s="348"/>
      <c r="D137" s="336"/>
      <c r="X137" s="338"/>
      <c r="Y137" s="338"/>
      <c r="Z137" s="338"/>
      <c r="AA137" s="338"/>
      <c r="AB137" s="338"/>
      <c r="AC137" s="338"/>
      <c r="AD137" s="338"/>
      <c r="AE137" s="338"/>
      <c r="AF137" s="338"/>
      <c r="AG137" s="339"/>
      <c r="AH137" s="339"/>
      <c r="AI137" s="339"/>
      <c r="AJ137" s="339"/>
      <c r="AK137" s="339"/>
      <c r="AL137" s="339"/>
      <c r="AM137" s="339"/>
      <c r="AN137" s="339"/>
      <c r="AO137" s="339"/>
      <c r="AP137" s="339"/>
      <c r="AQ137" s="339"/>
      <c r="AR137" s="339"/>
      <c r="AS137" s="339"/>
      <c r="AT137" s="339"/>
      <c r="AU137" s="339"/>
      <c r="AV137" s="339"/>
      <c r="AW137" s="339"/>
      <c r="BC137" s="352"/>
      <c r="BE137" s="340"/>
      <c r="BG137" s="341"/>
      <c r="BK137" s="342"/>
    </row>
    <row r="138" spans="1:65" ht="12" hidden="1" customHeight="1">
      <c r="A138" s="411"/>
      <c r="C138" s="410"/>
      <c r="D138" s="342"/>
      <c r="E138" s="342"/>
      <c r="F138" s="342"/>
      <c r="G138" s="342"/>
      <c r="H138" s="342"/>
      <c r="I138" s="342"/>
      <c r="J138" s="342"/>
      <c r="K138" s="342"/>
      <c r="L138" s="342"/>
      <c r="M138" s="342"/>
      <c r="N138" s="342"/>
      <c r="O138" s="342"/>
      <c r="P138" s="342"/>
      <c r="Q138" s="342"/>
      <c r="R138" s="342"/>
      <c r="S138" s="342"/>
      <c r="T138" s="342"/>
      <c r="U138" s="342"/>
      <c r="V138" s="412"/>
      <c r="W138" s="412"/>
      <c r="X138" s="413"/>
      <c r="Y138" s="413"/>
      <c r="Z138" s="413"/>
      <c r="AA138" s="413"/>
      <c r="AB138" s="413"/>
      <c r="AC138" s="413"/>
      <c r="AD138" s="413"/>
      <c r="AE138" s="413"/>
      <c r="AF138" s="413"/>
      <c r="AG138" s="414"/>
      <c r="AH138" s="414"/>
      <c r="AI138" s="414"/>
      <c r="AJ138" s="414"/>
      <c r="AK138" s="414"/>
      <c r="AL138" s="414"/>
      <c r="AM138" s="414"/>
      <c r="AN138" s="414"/>
      <c r="AO138" s="414"/>
      <c r="AP138" s="414"/>
      <c r="AQ138" s="414"/>
      <c r="AR138" s="414"/>
      <c r="AS138" s="414"/>
      <c r="AT138" s="414"/>
      <c r="AU138" s="414"/>
      <c r="AV138" s="414"/>
      <c r="AW138" s="414"/>
      <c r="AX138" s="415"/>
      <c r="AY138" s="415"/>
      <c r="AZ138" s="415"/>
      <c r="BA138" s="415"/>
      <c r="BB138" s="415"/>
      <c r="BC138" s="416"/>
      <c r="BD138" s="412"/>
      <c r="BE138" s="417"/>
      <c r="BG138" s="418"/>
      <c r="BH138" s="412"/>
      <c r="BI138" s="412"/>
      <c r="BK138" s="415"/>
      <c r="BL138" s="419"/>
      <c r="BM138" s="419"/>
    </row>
    <row r="139" spans="1:65" ht="12" hidden="1" customHeight="1">
      <c r="A139" s="333"/>
      <c r="B139" s="420"/>
      <c r="C139" s="421"/>
      <c r="D139" s="336"/>
      <c r="X139" s="338"/>
      <c r="Y139" s="338"/>
      <c r="Z139" s="338"/>
      <c r="AA139" s="338"/>
      <c r="AB139" s="338"/>
      <c r="AC139" s="338"/>
      <c r="AD139" s="338"/>
      <c r="AE139" s="338"/>
      <c r="AF139" s="338"/>
      <c r="AG139" s="339"/>
      <c r="AH139" s="339"/>
      <c r="AI139" s="339"/>
      <c r="AJ139" s="339"/>
      <c r="AK139" s="339"/>
      <c r="AL139" s="339"/>
      <c r="AM139" s="339"/>
      <c r="AN139" s="339"/>
      <c r="AO139" s="339"/>
      <c r="AP139" s="339"/>
      <c r="AQ139" s="339"/>
      <c r="AR139" s="339"/>
      <c r="AS139" s="339"/>
      <c r="AT139" s="339"/>
      <c r="AU139" s="339"/>
      <c r="AV139" s="339"/>
      <c r="AW139" s="339"/>
      <c r="BC139" s="352"/>
      <c r="BE139" s="340"/>
      <c r="BG139" s="341"/>
      <c r="BK139" s="342"/>
    </row>
    <row r="140" spans="1:65" ht="12" hidden="1" customHeight="1">
      <c r="A140" s="422"/>
      <c r="B140" s="423" t="s">
        <v>374</v>
      </c>
      <c r="C140" s="423"/>
      <c r="D140" s="336"/>
      <c r="X140" s="338"/>
      <c r="Y140" s="338"/>
      <c r="Z140" s="338"/>
      <c r="AA140" s="338"/>
      <c r="AB140" s="338"/>
      <c r="AC140" s="338"/>
      <c r="AD140" s="338"/>
      <c r="AE140" s="338"/>
      <c r="AF140" s="338"/>
      <c r="AG140" s="339"/>
      <c r="AH140" s="339"/>
      <c r="AI140" s="339"/>
      <c r="AJ140" s="339"/>
      <c r="AK140" s="339"/>
      <c r="AL140" s="339"/>
      <c r="AM140" s="339"/>
      <c r="AN140" s="339"/>
      <c r="AO140" s="339"/>
      <c r="AP140" s="339"/>
      <c r="AQ140" s="339"/>
      <c r="AR140" s="339"/>
      <c r="AS140" s="339"/>
      <c r="AT140" s="339"/>
      <c r="AU140" s="339"/>
      <c r="AV140" s="339"/>
      <c r="AW140" s="339"/>
      <c r="BC140" s="352"/>
      <c r="BE140" s="340"/>
      <c r="BG140" s="341"/>
      <c r="BK140" s="342"/>
    </row>
    <row r="141" spans="1:65" ht="12" hidden="1" customHeight="1">
      <c r="A141" s="343"/>
      <c r="B141" s="389" t="s">
        <v>78</v>
      </c>
      <c r="E141" s="355"/>
      <c r="F141" s="355"/>
      <c r="G141" s="355"/>
      <c r="H141" s="355"/>
      <c r="I141" s="355"/>
      <c r="J141" s="355"/>
      <c r="K141" s="355"/>
      <c r="L141" s="355"/>
      <c r="M141" s="355"/>
      <c r="N141" s="355"/>
      <c r="O141" s="355"/>
      <c r="P141" s="355"/>
      <c r="Q141" s="355"/>
      <c r="R141" s="355"/>
      <c r="S141" s="355"/>
      <c r="T141" s="355"/>
      <c r="U141" s="355"/>
      <c r="V141" s="409"/>
      <c r="X141" s="338"/>
      <c r="Y141" s="338"/>
      <c r="Z141" s="338"/>
      <c r="AA141" s="338"/>
      <c r="AB141" s="338"/>
      <c r="AC141" s="338"/>
      <c r="AD141" s="338"/>
      <c r="AE141" s="338"/>
      <c r="AF141" s="338"/>
      <c r="AG141" s="339"/>
      <c r="AH141" s="339" t="s">
        <v>1461</v>
      </c>
      <c r="AI141" s="339"/>
      <c r="AJ141" s="339"/>
      <c r="AK141" s="339"/>
      <c r="AL141" s="339"/>
      <c r="AM141" s="339"/>
      <c r="AN141" s="339"/>
      <c r="AO141" s="339"/>
      <c r="AP141" s="339"/>
      <c r="AQ141" s="339"/>
      <c r="AR141" s="339"/>
      <c r="AS141" s="339"/>
      <c r="AT141" s="339"/>
      <c r="AU141" s="339"/>
      <c r="AV141" s="339"/>
      <c r="AW141" s="339"/>
      <c r="BC141" s="339"/>
      <c r="BD141" s="340"/>
      <c r="BE141" s="340"/>
      <c r="BG141" s="341"/>
      <c r="BK141" s="342"/>
    </row>
    <row r="142" spans="1:65" ht="12" hidden="1" customHeight="1">
      <c r="A142" s="343"/>
      <c r="B142" s="334"/>
      <c r="D142" s="424" t="s">
        <v>1462</v>
      </c>
      <c r="E142" s="355"/>
      <c r="F142" s="355"/>
      <c r="G142" s="355"/>
      <c r="H142" s="355"/>
      <c r="I142" s="355"/>
      <c r="J142" s="355"/>
      <c r="K142" s="355"/>
      <c r="L142" s="355"/>
      <c r="M142" s="355"/>
      <c r="N142" s="355"/>
      <c r="O142" s="355"/>
      <c r="P142" s="355"/>
      <c r="Q142" s="355"/>
      <c r="R142" s="355"/>
      <c r="S142" s="355"/>
      <c r="T142" s="355"/>
      <c r="U142" s="355"/>
      <c r="V142" s="409"/>
      <c r="AH142" s="339">
        <v>179</v>
      </c>
      <c r="AI142" s="339"/>
      <c r="AJ142" s="339"/>
      <c r="AK142" s="339"/>
      <c r="AL142" s="339"/>
      <c r="AM142" s="339"/>
      <c r="AN142" s="339"/>
      <c r="AO142" s="339"/>
      <c r="AP142" s="339"/>
      <c r="AQ142" s="339"/>
      <c r="AR142" s="339"/>
      <c r="AS142" s="339"/>
      <c r="AT142" s="339"/>
      <c r="AU142" s="339"/>
      <c r="AV142" s="339"/>
      <c r="AW142" s="339"/>
      <c r="BC142" s="339"/>
      <c r="BD142" s="340"/>
      <c r="BE142" s="340"/>
      <c r="BG142" s="341"/>
      <c r="BK142" s="342"/>
    </row>
    <row r="143" spans="1:65" ht="12" hidden="1" customHeight="1">
      <c r="A143" s="343"/>
      <c r="B143" s="334"/>
      <c r="D143" s="424" t="s">
        <v>1463</v>
      </c>
      <c r="E143" s="355"/>
      <c r="F143" s="355"/>
      <c r="G143" s="355"/>
      <c r="H143" s="355"/>
      <c r="I143" s="355"/>
      <c r="J143" s="355"/>
      <c r="K143" s="355"/>
      <c r="L143" s="355"/>
      <c r="M143" s="355"/>
      <c r="N143" s="355"/>
      <c r="O143" s="355"/>
      <c r="P143" s="355"/>
      <c r="Q143" s="355"/>
      <c r="R143" s="355"/>
      <c r="S143" s="355"/>
      <c r="T143" s="355"/>
      <c r="U143" s="355"/>
      <c r="V143" s="409"/>
      <c r="AH143" s="339">
        <v>59</v>
      </c>
      <c r="AI143" s="339"/>
      <c r="AJ143" s="339"/>
      <c r="AK143" s="339"/>
      <c r="AL143" s="339"/>
      <c r="AM143" s="339"/>
      <c r="AN143" s="339"/>
      <c r="AO143" s="339"/>
      <c r="AP143" s="339"/>
      <c r="AQ143" s="339"/>
      <c r="AR143" s="339"/>
      <c r="AS143" s="339"/>
      <c r="AT143" s="339"/>
      <c r="AU143" s="339"/>
      <c r="AV143" s="339"/>
      <c r="AW143" s="339"/>
      <c r="BC143" s="339"/>
      <c r="BD143" s="340"/>
      <c r="BE143" s="340"/>
      <c r="BG143" s="341"/>
      <c r="BK143" s="342"/>
    </row>
    <row r="144" spans="1:65" ht="12" hidden="1" customHeight="1">
      <c r="A144" s="398"/>
      <c r="B144" s="348"/>
      <c r="C144" s="348"/>
      <c r="D144" s="336"/>
      <c r="X144" s="338"/>
      <c r="Y144" s="338"/>
      <c r="Z144" s="338"/>
      <c r="AA144" s="338"/>
      <c r="AB144" s="338"/>
      <c r="AC144" s="338"/>
      <c r="AD144" s="338"/>
      <c r="AE144" s="338"/>
      <c r="AF144" s="338"/>
      <c r="AG144" s="339"/>
      <c r="AH144" s="425"/>
      <c r="AI144" s="339"/>
      <c r="AJ144" s="339"/>
      <c r="AK144" s="339"/>
      <c r="AL144" s="339"/>
      <c r="AM144" s="339"/>
      <c r="AN144" s="339"/>
      <c r="AO144" s="339"/>
      <c r="AP144" s="339"/>
      <c r="AQ144" s="339"/>
      <c r="AR144" s="339"/>
      <c r="AS144" s="339"/>
      <c r="AT144" s="339"/>
      <c r="AU144" s="339"/>
      <c r="AV144" s="339"/>
      <c r="AW144" s="339"/>
      <c r="BC144" s="352"/>
      <c r="BE144" s="340"/>
      <c r="BG144" s="341"/>
      <c r="BK144" s="342"/>
    </row>
    <row r="145" spans="1:65" ht="12" hidden="1" customHeight="1">
      <c r="A145" s="411"/>
      <c r="B145" s="426"/>
      <c r="C145" s="426"/>
      <c r="D145" s="336"/>
      <c r="E145" s="415"/>
      <c r="F145" s="415"/>
      <c r="G145" s="415"/>
      <c r="H145" s="415"/>
      <c r="I145" s="415"/>
      <c r="J145" s="415"/>
      <c r="K145" s="415"/>
      <c r="L145" s="415"/>
      <c r="M145" s="415"/>
      <c r="N145" s="415"/>
      <c r="O145" s="415"/>
      <c r="P145" s="415"/>
      <c r="Q145" s="415"/>
      <c r="R145" s="415"/>
      <c r="S145" s="415"/>
      <c r="T145" s="415"/>
      <c r="U145" s="415"/>
      <c r="V145" s="412"/>
      <c r="W145" s="412"/>
      <c r="X145" s="413"/>
      <c r="Y145" s="413"/>
      <c r="Z145" s="413"/>
      <c r="AA145" s="413"/>
      <c r="AB145" s="413"/>
      <c r="AC145" s="413"/>
      <c r="AD145" s="413"/>
      <c r="AE145" s="413"/>
      <c r="AF145" s="413"/>
      <c r="AG145" s="414"/>
      <c r="AH145" s="414"/>
      <c r="AI145" s="414"/>
      <c r="AJ145" s="414"/>
      <c r="AK145" s="414"/>
      <c r="AL145" s="414"/>
      <c r="AM145" s="414"/>
      <c r="AN145" s="414"/>
      <c r="AO145" s="414"/>
      <c r="AP145" s="414"/>
      <c r="AQ145" s="414"/>
      <c r="AR145" s="414"/>
      <c r="AS145" s="414"/>
      <c r="AT145" s="414"/>
      <c r="AU145" s="414"/>
      <c r="AV145" s="414"/>
      <c r="AW145" s="414"/>
      <c r="AX145" s="415"/>
      <c r="AY145" s="415"/>
      <c r="AZ145" s="415"/>
      <c r="BA145" s="415"/>
      <c r="BB145" s="415"/>
      <c r="BC145" s="416"/>
      <c r="BD145" s="412"/>
      <c r="BE145" s="417"/>
      <c r="BG145" s="418"/>
      <c r="BH145" s="412"/>
      <c r="BI145" s="412"/>
      <c r="BK145" s="415"/>
      <c r="BL145" s="419"/>
      <c r="BM145" s="419"/>
    </row>
    <row r="146" spans="1:65" ht="52.5" hidden="1" customHeight="1">
      <c r="A146" s="411"/>
      <c r="B146" s="427" t="s">
        <v>1464</v>
      </c>
      <c r="C146" s="628"/>
      <c r="D146" s="628"/>
      <c r="E146" s="628"/>
      <c r="F146" s="628"/>
      <c r="G146" s="628"/>
      <c r="H146" s="628"/>
      <c r="I146" s="628"/>
      <c r="J146" s="628"/>
      <c r="K146" s="628"/>
      <c r="L146" s="628"/>
      <c r="M146" s="628"/>
      <c r="N146" s="628"/>
      <c r="O146" s="628"/>
      <c r="P146" s="628"/>
      <c r="Q146" s="628"/>
      <c r="R146" s="628"/>
      <c r="S146" s="628"/>
      <c r="T146" s="628"/>
      <c r="U146" s="628"/>
      <c r="V146" s="628"/>
      <c r="W146" s="628"/>
      <c r="X146" s="628"/>
      <c r="Y146" s="628"/>
      <c r="Z146" s="428"/>
      <c r="AA146" s="628"/>
      <c r="AB146" s="628"/>
      <c r="AC146" s="628"/>
      <c r="AD146" s="428"/>
      <c r="AE146" s="428"/>
      <c r="AF146" s="428"/>
      <c r="AG146" s="628"/>
      <c r="AH146" s="628"/>
      <c r="AI146" s="429"/>
      <c r="AJ146" s="429"/>
      <c r="AK146" s="429"/>
      <c r="AL146" s="429"/>
      <c r="AM146" s="429"/>
      <c r="AN146" s="429"/>
      <c r="AO146" s="429"/>
      <c r="AP146" s="429"/>
      <c r="AQ146" s="429"/>
      <c r="AR146" s="429"/>
      <c r="AS146" s="429"/>
      <c r="AT146" s="429"/>
      <c r="AU146" s="429"/>
      <c r="AV146" s="429"/>
      <c r="AW146" s="429"/>
      <c r="AX146" s="415"/>
      <c r="AY146" s="415"/>
      <c r="AZ146" s="415"/>
      <c r="BA146" s="415"/>
      <c r="BB146" s="415"/>
      <c r="BC146" s="416"/>
      <c r="BD146" s="430"/>
      <c r="BE146" s="430"/>
      <c r="BG146" s="431"/>
      <c r="BH146" s="430"/>
      <c r="BI146" s="430"/>
      <c r="BK146" s="415"/>
      <c r="BL146" s="430"/>
      <c r="BM146" s="430"/>
    </row>
    <row r="147" spans="1:65" ht="12" hidden="1" customHeight="1">
      <c r="A147" s="422"/>
      <c r="B147" s="432"/>
      <c r="C147" s="348"/>
      <c r="D147" s="336"/>
      <c r="X147" s="433"/>
      <c r="Y147" s="433"/>
      <c r="Z147" s="433"/>
      <c r="AA147" s="433"/>
      <c r="AB147" s="433"/>
      <c r="AC147" s="433"/>
      <c r="AD147" s="433"/>
      <c r="AE147" s="433"/>
      <c r="AF147" s="433"/>
      <c r="AG147" s="434"/>
      <c r="AH147" s="434"/>
      <c r="AI147" s="434"/>
      <c r="AJ147" s="434"/>
      <c r="AK147" s="434"/>
      <c r="AL147" s="434"/>
      <c r="AM147" s="434"/>
      <c r="AN147" s="434"/>
      <c r="AO147" s="434"/>
      <c r="AP147" s="434"/>
      <c r="AQ147" s="434"/>
      <c r="AR147" s="434"/>
      <c r="AS147" s="434"/>
      <c r="AT147" s="434"/>
      <c r="AU147" s="434"/>
      <c r="AV147" s="434"/>
      <c r="AW147" s="434"/>
      <c r="BC147" s="352"/>
      <c r="BD147" s="435"/>
      <c r="BE147" s="436"/>
      <c r="BG147" s="341"/>
      <c r="BH147" s="436"/>
      <c r="BI147" s="436"/>
      <c r="BK147" s="342"/>
      <c r="BL147" s="436"/>
      <c r="BM147" s="436"/>
    </row>
    <row r="148" spans="1:65" ht="12" hidden="1" customHeight="1">
      <c r="A148" s="333"/>
      <c r="B148" s="334"/>
      <c r="C148" s="437"/>
      <c r="D148" s="336"/>
      <c r="X148" s="338"/>
      <c r="Y148" s="338"/>
      <c r="Z148" s="338"/>
      <c r="AA148" s="338"/>
      <c r="AB148" s="338"/>
      <c r="AC148" s="338"/>
      <c r="AD148" s="338"/>
      <c r="AE148" s="338"/>
      <c r="AF148" s="338"/>
      <c r="AG148" s="339"/>
      <c r="AH148" s="339"/>
      <c r="AI148" s="339"/>
      <c r="AJ148" s="339"/>
      <c r="AK148" s="339"/>
      <c r="AL148" s="339"/>
      <c r="AM148" s="339"/>
      <c r="AN148" s="339"/>
      <c r="AO148" s="339"/>
      <c r="AP148" s="339"/>
      <c r="AQ148" s="339"/>
      <c r="AR148" s="339"/>
      <c r="AS148" s="339"/>
      <c r="AT148" s="339"/>
      <c r="AU148" s="339"/>
      <c r="AV148" s="339"/>
      <c r="AW148" s="339"/>
      <c r="BC148" s="352"/>
      <c r="BE148" s="340"/>
      <c r="BG148" s="341"/>
      <c r="BH148" s="340"/>
      <c r="BI148" s="340"/>
      <c r="BK148" s="342"/>
      <c r="BL148" s="340"/>
      <c r="BM148" s="340"/>
    </row>
    <row r="149" spans="1:65" ht="12" hidden="1" customHeight="1">
      <c r="A149" s="438"/>
      <c r="B149" s="439"/>
      <c r="C149" s="440"/>
      <c r="D149" s="336"/>
      <c r="E149" s="441"/>
      <c r="F149" s="441"/>
      <c r="G149" s="441"/>
      <c r="H149" s="441"/>
      <c r="I149" s="441"/>
      <c r="J149" s="441"/>
      <c r="K149" s="441"/>
      <c r="L149" s="441"/>
      <c r="M149" s="441"/>
      <c r="N149" s="441"/>
      <c r="O149" s="441"/>
      <c r="P149" s="441"/>
      <c r="Q149" s="441"/>
      <c r="R149" s="441"/>
      <c r="S149" s="441"/>
      <c r="T149" s="441"/>
      <c r="U149" s="441"/>
      <c r="X149" s="338"/>
      <c r="Y149" s="338"/>
      <c r="Z149" s="338"/>
      <c r="AA149" s="338"/>
      <c r="AB149" s="338"/>
      <c r="AC149" s="338"/>
      <c r="AD149" s="338"/>
      <c r="AE149" s="338"/>
      <c r="AF149" s="338"/>
      <c r="AG149" s="339"/>
      <c r="AH149" s="339"/>
      <c r="AI149" s="339"/>
      <c r="AJ149" s="339"/>
      <c r="AK149" s="339"/>
      <c r="AL149" s="339"/>
      <c r="AM149" s="339"/>
      <c r="AN149" s="339"/>
      <c r="AO149" s="339"/>
      <c r="AP149" s="339"/>
      <c r="AQ149" s="339"/>
      <c r="AR149" s="339"/>
      <c r="AS149" s="339"/>
      <c r="AT149" s="339"/>
      <c r="AU149" s="339"/>
      <c r="AV149" s="339"/>
      <c r="AW149" s="339"/>
      <c r="BC149" s="352"/>
      <c r="BE149" s="340"/>
      <c r="BG149" s="341"/>
      <c r="BK149" s="342"/>
    </row>
    <row r="150" spans="1:65" ht="12" hidden="1" customHeight="1">
      <c r="A150" s="438"/>
      <c r="B150" s="439"/>
      <c r="C150" s="440"/>
      <c r="D150" s="336"/>
      <c r="E150" s="441"/>
      <c r="F150" s="441"/>
      <c r="G150" s="441"/>
      <c r="H150" s="441"/>
      <c r="I150" s="441"/>
      <c r="J150" s="441"/>
      <c r="K150" s="441"/>
      <c r="L150" s="441"/>
      <c r="M150" s="441"/>
      <c r="N150" s="441"/>
      <c r="O150" s="441"/>
      <c r="P150" s="441"/>
      <c r="Q150" s="441"/>
      <c r="R150" s="441"/>
      <c r="S150" s="441"/>
      <c r="T150" s="441"/>
      <c r="U150" s="441"/>
      <c r="X150" s="338"/>
      <c r="Y150" s="338"/>
      <c r="Z150" s="338"/>
      <c r="AA150" s="338"/>
      <c r="AB150" s="338"/>
      <c r="AC150" s="338"/>
      <c r="AD150" s="338"/>
      <c r="AE150" s="338"/>
      <c r="AF150" s="338"/>
      <c r="AG150" s="339"/>
      <c r="AH150" s="339"/>
      <c r="AI150" s="339"/>
      <c r="AJ150" s="339"/>
      <c r="AK150" s="339"/>
      <c r="AL150" s="339"/>
      <c r="AM150" s="339"/>
      <c r="AN150" s="339"/>
      <c r="AO150" s="339"/>
      <c r="AP150" s="339"/>
      <c r="AQ150" s="339"/>
      <c r="AR150" s="339"/>
      <c r="AS150" s="339"/>
      <c r="AT150" s="339"/>
      <c r="AU150" s="339"/>
      <c r="AV150" s="339"/>
      <c r="AW150" s="339"/>
      <c r="BC150" s="352"/>
      <c r="BE150" s="340"/>
      <c r="BG150" s="341"/>
      <c r="BK150" s="342"/>
    </row>
    <row r="151" spans="1:65" ht="12" hidden="1" customHeight="1">
      <c r="A151" s="343"/>
      <c r="B151" s="347"/>
      <c r="D151" s="336"/>
      <c r="E151" s="355"/>
      <c r="F151" s="355"/>
      <c r="G151" s="355"/>
      <c r="H151" s="355"/>
      <c r="I151" s="355"/>
      <c r="J151" s="355"/>
      <c r="K151" s="355"/>
      <c r="L151" s="355"/>
      <c r="M151" s="355"/>
      <c r="N151" s="355"/>
      <c r="O151" s="355"/>
      <c r="P151" s="355"/>
      <c r="Q151" s="355"/>
      <c r="R151" s="355"/>
      <c r="S151" s="355"/>
      <c r="T151" s="355"/>
      <c r="U151" s="355"/>
      <c r="X151" s="338"/>
      <c r="Y151" s="338"/>
      <c r="Z151" s="338"/>
      <c r="AA151" s="338"/>
      <c r="AB151" s="338"/>
      <c r="AC151" s="338"/>
      <c r="AD151" s="338"/>
      <c r="AE151" s="338"/>
      <c r="AF151" s="338"/>
      <c r="AG151" s="339"/>
      <c r="AH151" s="339"/>
      <c r="AI151" s="339"/>
      <c r="AJ151" s="339"/>
      <c r="AK151" s="339"/>
      <c r="AL151" s="339"/>
      <c r="AM151" s="339"/>
      <c r="AN151" s="339"/>
      <c r="AO151" s="339"/>
      <c r="AP151" s="339"/>
      <c r="AQ151" s="339"/>
      <c r="AR151" s="339"/>
      <c r="AS151" s="339"/>
      <c r="AT151" s="339"/>
      <c r="AU151" s="339"/>
      <c r="AV151" s="339"/>
      <c r="AW151" s="339"/>
      <c r="BC151" s="352"/>
      <c r="BE151" s="340"/>
      <c r="BG151" s="341"/>
      <c r="BK151" s="342"/>
    </row>
    <row r="152" spans="1:65" ht="12" hidden="1" customHeight="1">
      <c r="A152" s="398"/>
      <c r="B152" s="348"/>
      <c r="D152" s="336"/>
      <c r="E152" s="442"/>
      <c r="F152" s="442"/>
      <c r="G152" s="442"/>
      <c r="H152" s="442"/>
      <c r="I152" s="442"/>
      <c r="J152" s="442"/>
      <c r="K152" s="442"/>
      <c r="L152" s="442"/>
      <c r="M152" s="442"/>
      <c r="N152" s="442"/>
      <c r="O152" s="442"/>
      <c r="P152" s="442"/>
      <c r="Q152" s="442"/>
      <c r="R152" s="442"/>
      <c r="S152" s="442"/>
      <c r="T152" s="442"/>
      <c r="U152" s="442"/>
      <c r="X152" s="338"/>
      <c r="Y152" s="338"/>
      <c r="Z152" s="338"/>
      <c r="AA152" s="338"/>
      <c r="AB152" s="338"/>
      <c r="AC152" s="338"/>
      <c r="AD152" s="338"/>
      <c r="AE152" s="338"/>
      <c r="AF152" s="338"/>
      <c r="AG152" s="339"/>
      <c r="AH152" s="339"/>
      <c r="AI152" s="339"/>
      <c r="AJ152" s="339"/>
      <c r="AK152" s="339"/>
      <c r="AL152" s="339"/>
      <c r="AM152" s="339"/>
      <c r="AN152" s="339"/>
      <c r="AO152" s="339"/>
      <c r="AP152" s="339"/>
      <c r="AQ152" s="339"/>
      <c r="AR152" s="339"/>
      <c r="AS152" s="339"/>
      <c r="AT152" s="339"/>
      <c r="AU152" s="339"/>
      <c r="AV152" s="339"/>
      <c r="AW152" s="339"/>
      <c r="BC152" s="352"/>
      <c r="BE152" s="340"/>
      <c r="BG152" s="341"/>
      <c r="BH152" s="340"/>
      <c r="BI152" s="340"/>
      <c r="BK152" s="342"/>
      <c r="BL152" s="340"/>
      <c r="BM152" s="340"/>
    </row>
    <row r="153" spans="1:65" ht="12" hidden="1" customHeight="1">
      <c r="A153" s="398"/>
      <c r="B153" s="348"/>
      <c r="C153" s="348"/>
      <c r="D153" s="336"/>
      <c r="X153" s="338"/>
      <c r="Y153" s="338"/>
      <c r="Z153" s="338"/>
      <c r="AA153" s="338"/>
      <c r="AB153" s="338"/>
      <c r="AC153" s="338"/>
      <c r="AD153" s="338"/>
      <c r="AE153" s="338"/>
      <c r="AF153" s="338"/>
      <c r="AG153" s="339"/>
      <c r="AH153" s="339"/>
      <c r="AI153" s="339"/>
      <c r="AJ153" s="339"/>
      <c r="AK153" s="339"/>
      <c r="AL153" s="339"/>
      <c r="AM153" s="339"/>
      <c r="AN153" s="339"/>
      <c r="AO153" s="339"/>
      <c r="AP153" s="339"/>
      <c r="AQ153" s="339"/>
      <c r="AR153" s="339"/>
      <c r="AS153" s="339"/>
      <c r="AT153" s="339"/>
      <c r="AU153" s="339"/>
      <c r="AV153" s="339"/>
      <c r="AW153" s="339"/>
      <c r="BC153" s="352"/>
      <c r="BE153" s="340"/>
      <c r="BG153" s="341"/>
      <c r="BK153" s="342"/>
    </row>
    <row r="154" spans="1:65" ht="12" customHeight="1">
      <c r="A154" s="398"/>
      <c r="B154" s="348"/>
      <c r="C154" s="348"/>
      <c r="D154" s="336"/>
      <c r="X154" s="338"/>
      <c r="Y154" s="338"/>
      <c r="Z154" s="338"/>
      <c r="AA154" s="338"/>
      <c r="AB154" s="338"/>
      <c r="AC154" s="338"/>
      <c r="AD154" s="338"/>
      <c r="AE154" s="338"/>
      <c r="AF154" s="338"/>
      <c r="AG154" s="339"/>
      <c r="AH154" s="339"/>
      <c r="AI154" s="339"/>
      <c r="AJ154" s="339"/>
      <c r="AK154" s="339"/>
      <c r="AL154" s="339"/>
      <c r="AM154" s="339"/>
      <c r="AN154" s="339"/>
      <c r="AO154" s="339"/>
      <c r="AP154" s="339"/>
      <c r="AQ154" s="339"/>
      <c r="AR154" s="339"/>
      <c r="AS154" s="339"/>
      <c r="AT154" s="339"/>
      <c r="AU154" s="339"/>
      <c r="AV154" s="339"/>
      <c r="AW154" s="339"/>
      <c r="BC154" s="352"/>
      <c r="BE154" s="340"/>
      <c r="BG154" s="341"/>
      <c r="BK154" s="342"/>
    </row>
    <row r="155" spans="1:65" ht="12" customHeight="1">
      <c r="A155" s="398"/>
      <c r="B155" s="348"/>
      <c r="C155" s="348"/>
      <c r="D155" s="336"/>
      <c r="X155" s="338"/>
      <c r="Y155" s="338"/>
      <c r="Z155" s="338"/>
      <c r="AA155" s="338"/>
      <c r="AB155" s="338"/>
      <c r="AC155" s="338"/>
      <c r="AD155" s="338"/>
      <c r="AE155" s="338"/>
      <c r="AF155" s="338"/>
      <c r="AG155" s="339"/>
      <c r="AH155" s="339"/>
      <c r="AI155" s="339"/>
      <c r="AJ155" s="339"/>
      <c r="AK155" s="339"/>
      <c r="AL155" s="339"/>
      <c r="AM155" s="339"/>
      <c r="AN155" s="339"/>
      <c r="AO155" s="339"/>
      <c r="AP155" s="339"/>
      <c r="AQ155" s="339"/>
      <c r="AR155" s="339"/>
      <c r="AS155" s="339"/>
      <c r="AT155" s="339"/>
      <c r="AU155" s="339"/>
      <c r="AV155" s="339"/>
      <c r="AW155" s="339"/>
      <c r="BC155" s="352"/>
      <c r="BE155" s="340"/>
      <c r="BG155" s="341"/>
      <c r="BK155" s="342"/>
    </row>
    <row r="156" spans="1:65" ht="12" customHeight="1">
      <c r="A156" s="398"/>
      <c r="B156" s="348"/>
      <c r="C156" s="348"/>
      <c r="D156" s="336"/>
      <c r="X156" s="338"/>
      <c r="Y156" s="338"/>
      <c r="Z156" s="338"/>
      <c r="AA156" s="338"/>
      <c r="AB156" s="338"/>
      <c r="AC156" s="338"/>
      <c r="AD156" s="338"/>
      <c r="AE156" s="338"/>
      <c r="AF156" s="338"/>
      <c r="AG156" s="339"/>
      <c r="AH156" s="339"/>
      <c r="AI156" s="339"/>
      <c r="AJ156" s="339"/>
      <c r="AK156" s="339"/>
      <c r="AL156" s="339"/>
      <c r="AM156" s="339"/>
      <c r="AN156" s="339"/>
      <c r="AO156" s="339"/>
      <c r="AP156" s="339"/>
      <c r="AQ156" s="339"/>
      <c r="AR156" s="339"/>
      <c r="AS156" s="339"/>
      <c r="AT156" s="339"/>
      <c r="AU156" s="339"/>
      <c r="AV156" s="339"/>
      <c r="AW156" s="339"/>
      <c r="BC156" s="352"/>
      <c r="BE156" s="340"/>
      <c r="BG156" s="341"/>
      <c r="BK156" s="342"/>
    </row>
    <row r="157" spans="1:65" ht="12" customHeight="1">
      <c r="A157" s="398"/>
      <c r="B157" s="348"/>
      <c r="C157" s="348"/>
      <c r="D157" s="336"/>
      <c r="X157" s="338"/>
      <c r="Y157" s="338"/>
      <c r="Z157" s="338"/>
      <c r="AA157" s="338"/>
      <c r="AB157" s="338"/>
      <c r="AC157" s="338"/>
      <c r="AD157" s="338"/>
      <c r="AE157" s="338"/>
      <c r="AF157" s="338"/>
      <c r="AG157" s="339"/>
      <c r="AH157" s="339"/>
      <c r="AI157" s="339"/>
      <c r="AJ157" s="339"/>
      <c r="AK157" s="339"/>
      <c r="AL157" s="339"/>
      <c r="AM157" s="339"/>
      <c r="AN157" s="339"/>
      <c r="AO157" s="339"/>
      <c r="AP157" s="339"/>
      <c r="AQ157" s="339"/>
      <c r="AR157" s="339"/>
      <c r="AS157" s="339"/>
      <c r="AT157" s="339"/>
      <c r="AU157" s="339"/>
      <c r="AV157" s="339"/>
      <c r="AW157" s="339"/>
      <c r="BC157" s="352"/>
      <c r="BE157" s="340"/>
      <c r="BG157" s="341"/>
      <c r="BK157" s="342"/>
    </row>
    <row r="158" spans="1:65" ht="12" customHeight="1">
      <c r="A158" s="398"/>
      <c r="B158" s="348"/>
      <c r="C158" s="348"/>
      <c r="D158" s="336"/>
      <c r="X158" s="338"/>
      <c r="Y158" s="338"/>
      <c r="Z158" s="338"/>
      <c r="AA158" s="338"/>
      <c r="AB158" s="338"/>
      <c r="AC158" s="338"/>
      <c r="AD158" s="338"/>
      <c r="AE158" s="338"/>
      <c r="AF158" s="338"/>
      <c r="AG158" s="339"/>
      <c r="AH158" s="339"/>
      <c r="AI158" s="339"/>
      <c r="AJ158" s="339"/>
      <c r="AK158" s="339"/>
      <c r="AL158" s="339"/>
      <c r="AM158" s="339"/>
      <c r="AN158" s="339"/>
      <c r="AO158" s="339"/>
      <c r="AP158" s="339"/>
      <c r="AQ158" s="339"/>
      <c r="AR158" s="339"/>
      <c r="AS158" s="339"/>
      <c r="AT158" s="339"/>
      <c r="AU158" s="339"/>
      <c r="AV158" s="339"/>
      <c r="AW158" s="339"/>
      <c r="BC158" s="352"/>
      <c r="BE158" s="340"/>
      <c r="BG158" s="341"/>
      <c r="BK158" s="342"/>
    </row>
    <row r="159" spans="1:65" ht="12" customHeight="1">
      <c r="A159" s="398"/>
      <c r="B159" s="348"/>
      <c r="C159" s="348"/>
      <c r="D159" s="336"/>
      <c r="X159" s="338"/>
      <c r="Y159" s="338"/>
      <c r="Z159" s="338"/>
      <c r="AA159" s="338"/>
      <c r="AB159" s="338"/>
      <c r="AC159" s="338"/>
      <c r="AD159" s="338"/>
      <c r="AE159" s="338"/>
      <c r="AF159" s="338"/>
      <c r="AG159" s="339"/>
      <c r="AH159" s="339"/>
      <c r="AI159" s="339"/>
      <c r="AJ159" s="339"/>
      <c r="AK159" s="339"/>
      <c r="AL159" s="339"/>
      <c r="AM159" s="339"/>
      <c r="AN159" s="339"/>
      <c r="AO159" s="339"/>
      <c r="AP159" s="339"/>
      <c r="AQ159" s="339"/>
      <c r="AR159" s="339"/>
      <c r="AS159" s="339"/>
      <c r="AT159" s="339"/>
      <c r="AU159" s="339"/>
      <c r="AV159" s="339"/>
      <c r="AW159" s="339"/>
      <c r="BC159" s="352"/>
      <c r="BE159" s="340"/>
      <c r="BG159" s="341"/>
      <c r="BK159" s="342"/>
    </row>
    <row r="160" spans="1:65" ht="12" customHeight="1">
      <c r="A160" s="398"/>
      <c r="B160" s="348"/>
      <c r="C160" s="348"/>
      <c r="D160" s="336"/>
      <c r="X160" s="338"/>
      <c r="Y160" s="338"/>
      <c r="Z160" s="338"/>
      <c r="AA160" s="338"/>
      <c r="AB160" s="338"/>
      <c r="AC160" s="338"/>
      <c r="AD160" s="338"/>
      <c r="AE160" s="338"/>
      <c r="AF160" s="338"/>
      <c r="AG160" s="339"/>
      <c r="AH160" s="339"/>
      <c r="AI160" s="339"/>
      <c r="AJ160" s="339"/>
      <c r="AK160" s="339"/>
      <c r="AL160" s="339"/>
      <c r="AM160" s="339"/>
      <c r="AN160" s="339"/>
      <c r="AO160" s="339"/>
      <c r="AP160" s="339"/>
      <c r="AQ160" s="339"/>
      <c r="AR160" s="339"/>
      <c r="AS160" s="339"/>
      <c r="AT160" s="339"/>
      <c r="AU160" s="339"/>
      <c r="AV160" s="339"/>
      <c r="AW160" s="339"/>
      <c r="BC160" s="352"/>
      <c r="BE160" s="340"/>
      <c r="BG160" s="341"/>
      <c r="BK160" s="342"/>
    </row>
    <row r="161" spans="1:65" ht="12" customHeight="1">
      <c r="A161" s="398"/>
      <c r="B161" s="348"/>
      <c r="C161" s="348"/>
      <c r="D161" s="336"/>
      <c r="X161" s="338"/>
      <c r="Y161" s="338"/>
      <c r="Z161" s="338"/>
      <c r="AA161" s="338"/>
      <c r="AB161" s="338"/>
      <c r="AC161" s="338"/>
      <c r="AD161" s="338"/>
      <c r="AE161" s="338"/>
      <c r="AF161" s="338"/>
      <c r="AG161" s="339"/>
      <c r="AH161" s="339"/>
      <c r="AI161" s="339"/>
      <c r="AJ161" s="339"/>
      <c r="AK161" s="339"/>
      <c r="AL161" s="339"/>
      <c r="AM161" s="339"/>
      <c r="AN161" s="339"/>
      <c r="AO161" s="339"/>
      <c r="AP161" s="339"/>
      <c r="AQ161" s="339"/>
      <c r="AR161" s="339"/>
      <c r="AS161" s="339"/>
      <c r="AT161" s="339"/>
      <c r="AU161" s="339"/>
      <c r="AV161" s="339"/>
      <c r="AW161" s="339"/>
      <c r="BC161" s="352"/>
      <c r="BE161" s="340"/>
      <c r="BG161" s="341"/>
      <c r="BK161" s="342"/>
    </row>
    <row r="162" spans="1:65" ht="12" customHeight="1">
      <c r="A162" s="398"/>
      <c r="B162" s="348"/>
      <c r="C162" s="348"/>
      <c r="D162" s="336"/>
      <c r="X162" s="338"/>
      <c r="Y162" s="338"/>
      <c r="Z162" s="338"/>
      <c r="AA162" s="338"/>
      <c r="AB162" s="338"/>
      <c r="AC162" s="338"/>
      <c r="AD162" s="338"/>
      <c r="AE162" s="338"/>
      <c r="AF162" s="338"/>
      <c r="AG162" s="339"/>
      <c r="AH162" s="339"/>
      <c r="AI162" s="339"/>
      <c r="AJ162" s="339"/>
      <c r="AK162" s="339"/>
      <c r="AL162" s="339"/>
      <c r="AM162" s="339"/>
      <c r="AN162" s="339"/>
      <c r="AO162" s="339"/>
      <c r="AP162" s="339"/>
      <c r="AQ162" s="339"/>
      <c r="AR162" s="339"/>
      <c r="AS162" s="339"/>
      <c r="AT162" s="339"/>
      <c r="AU162" s="339"/>
      <c r="AV162" s="339"/>
      <c r="AW162" s="339"/>
      <c r="BC162" s="352"/>
      <c r="BE162" s="340"/>
      <c r="BG162" s="341"/>
      <c r="BK162" s="342"/>
    </row>
    <row r="163" spans="1:65" ht="12" customHeight="1">
      <c r="A163" s="398"/>
      <c r="B163" s="348"/>
      <c r="C163" s="348"/>
      <c r="D163" s="336"/>
      <c r="X163" s="338"/>
      <c r="Y163" s="338"/>
      <c r="Z163" s="338"/>
      <c r="AA163" s="338"/>
      <c r="AB163" s="338"/>
      <c r="AC163" s="338"/>
      <c r="AD163" s="338"/>
      <c r="AE163" s="338"/>
      <c r="AF163" s="338"/>
      <c r="AG163" s="339"/>
      <c r="AH163" s="339"/>
      <c r="AI163" s="339"/>
      <c r="AJ163" s="339"/>
      <c r="AK163" s="339"/>
      <c r="AL163" s="339"/>
      <c r="AM163" s="339"/>
      <c r="AN163" s="339"/>
      <c r="AO163" s="339"/>
      <c r="AP163" s="339"/>
      <c r="AQ163" s="339"/>
      <c r="AR163" s="339"/>
      <c r="AS163" s="339"/>
      <c r="AT163" s="339"/>
      <c r="AU163" s="339"/>
      <c r="AV163" s="339"/>
      <c r="AW163" s="339"/>
      <c r="BC163" s="352"/>
      <c r="BE163" s="340"/>
      <c r="BG163" s="341"/>
      <c r="BK163" s="342"/>
    </row>
    <row r="164" spans="1:65" ht="12" customHeight="1">
      <c r="A164" s="398"/>
      <c r="B164" s="348"/>
      <c r="C164" s="348"/>
      <c r="D164" s="336"/>
      <c r="X164" s="338"/>
      <c r="Y164" s="338"/>
      <c r="Z164" s="338"/>
      <c r="AA164" s="338"/>
      <c r="AB164" s="338"/>
      <c r="AC164" s="338"/>
      <c r="AD164" s="338"/>
      <c r="AE164" s="338"/>
      <c r="AF164" s="338"/>
      <c r="AG164" s="339"/>
      <c r="AH164" s="339"/>
      <c r="AI164" s="339"/>
      <c r="AJ164" s="339"/>
      <c r="AK164" s="339"/>
      <c r="AL164" s="339"/>
      <c r="AM164" s="339"/>
      <c r="AN164" s="339"/>
      <c r="AO164" s="339"/>
      <c r="AP164" s="339"/>
      <c r="AQ164" s="339"/>
      <c r="AR164" s="339"/>
      <c r="AS164" s="339"/>
      <c r="AT164" s="339"/>
      <c r="AU164" s="339"/>
      <c r="AV164" s="339"/>
      <c r="AW164" s="339"/>
      <c r="BC164" s="352"/>
      <c r="BE164" s="340"/>
      <c r="BG164" s="341"/>
      <c r="BK164" s="342"/>
    </row>
    <row r="165" spans="1:65" ht="12" customHeight="1">
      <c r="A165" s="398"/>
      <c r="B165" s="348"/>
      <c r="C165" s="348"/>
      <c r="D165" s="336"/>
      <c r="X165" s="338"/>
      <c r="Y165" s="338"/>
      <c r="Z165" s="338"/>
      <c r="AA165" s="338"/>
      <c r="AB165" s="338"/>
      <c r="AC165" s="338"/>
      <c r="AD165" s="338"/>
      <c r="AE165" s="338"/>
      <c r="AF165" s="338"/>
      <c r="AG165" s="339"/>
      <c r="AH165" s="339"/>
      <c r="AI165" s="339"/>
      <c r="AJ165" s="339"/>
      <c r="AK165" s="339"/>
      <c r="AL165" s="339"/>
      <c r="AM165" s="339"/>
      <c r="AN165" s="339"/>
      <c r="AO165" s="339"/>
      <c r="AP165" s="339"/>
      <c r="AQ165" s="339"/>
      <c r="AR165" s="339"/>
      <c r="AS165" s="339"/>
      <c r="AT165" s="339"/>
      <c r="AU165" s="339"/>
      <c r="AV165" s="339"/>
      <c r="AW165" s="339"/>
      <c r="BE165" s="340"/>
      <c r="BG165" s="341"/>
      <c r="BK165" s="342"/>
    </row>
    <row r="166" spans="1:65" ht="12" customHeight="1">
      <c r="A166" s="411"/>
      <c r="B166" s="426"/>
      <c r="C166" s="426"/>
      <c r="D166" s="336"/>
      <c r="E166" s="415"/>
      <c r="F166" s="415"/>
      <c r="G166" s="415"/>
      <c r="H166" s="415"/>
      <c r="I166" s="415"/>
      <c r="J166" s="415"/>
      <c r="K166" s="415"/>
      <c r="L166" s="415"/>
      <c r="M166" s="415"/>
      <c r="N166" s="415"/>
      <c r="O166" s="415"/>
      <c r="P166" s="415"/>
      <c r="Q166" s="415"/>
      <c r="R166" s="415"/>
      <c r="S166" s="415"/>
      <c r="T166" s="415"/>
      <c r="U166" s="415"/>
      <c r="V166" s="412"/>
      <c r="W166" s="412"/>
      <c r="X166" s="413"/>
      <c r="Y166" s="413"/>
      <c r="Z166" s="413"/>
      <c r="AA166" s="413"/>
      <c r="AB166" s="413"/>
      <c r="AC166" s="413"/>
      <c r="AD166" s="413"/>
      <c r="AE166" s="413"/>
      <c r="AF166" s="413"/>
      <c r="AG166" s="414"/>
      <c r="AH166" s="414"/>
      <c r="AI166" s="414"/>
      <c r="AJ166" s="414"/>
      <c r="AK166" s="414"/>
      <c r="AL166" s="414"/>
      <c r="AM166" s="414"/>
      <c r="AN166" s="414"/>
      <c r="AO166" s="414"/>
      <c r="AP166" s="414"/>
      <c r="AQ166" s="414"/>
      <c r="AR166" s="414"/>
      <c r="AS166" s="414"/>
      <c r="AT166" s="414"/>
      <c r="AU166" s="414"/>
      <c r="AV166" s="414"/>
      <c r="AW166" s="414"/>
      <c r="AX166" s="415"/>
      <c r="AY166" s="415"/>
      <c r="AZ166" s="415"/>
      <c r="BA166" s="415"/>
      <c r="BB166" s="415"/>
      <c r="BC166" s="416"/>
      <c r="BD166" s="412"/>
      <c r="BE166" s="417"/>
      <c r="BG166" s="418"/>
      <c r="BH166" s="412"/>
      <c r="BI166" s="412"/>
      <c r="BK166" s="415"/>
      <c r="BL166" s="419"/>
      <c r="BM166" s="419"/>
    </row>
    <row r="167" spans="1:65" ht="12" customHeight="1">
      <c r="A167" s="411"/>
      <c r="B167" s="426"/>
      <c r="C167" s="426"/>
      <c r="D167" s="336"/>
      <c r="E167" s="415"/>
      <c r="F167" s="415"/>
      <c r="G167" s="415"/>
      <c r="H167" s="415"/>
      <c r="I167" s="415"/>
      <c r="J167" s="415"/>
      <c r="K167" s="415"/>
      <c r="L167" s="415"/>
      <c r="M167" s="415"/>
      <c r="N167" s="415"/>
      <c r="O167" s="415"/>
      <c r="P167" s="415"/>
      <c r="Q167" s="415"/>
      <c r="R167" s="415"/>
      <c r="S167" s="415"/>
      <c r="T167" s="415"/>
      <c r="U167" s="415"/>
      <c r="V167" s="412"/>
      <c r="W167" s="412"/>
      <c r="X167" s="413"/>
      <c r="Y167" s="413"/>
      <c r="Z167" s="413"/>
      <c r="AA167" s="413"/>
      <c r="AB167" s="413"/>
      <c r="AC167" s="413"/>
      <c r="AD167" s="413"/>
      <c r="AE167" s="413"/>
      <c r="AF167" s="413"/>
      <c r="AG167" s="414"/>
      <c r="AH167" s="414"/>
      <c r="AI167" s="414"/>
      <c r="AJ167" s="414"/>
      <c r="AK167" s="414"/>
      <c r="AL167" s="414"/>
      <c r="AM167" s="414"/>
      <c r="AN167" s="414"/>
      <c r="AO167" s="414"/>
      <c r="AP167" s="414"/>
      <c r="AQ167" s="414"/>
      <c r="AR167" s="414"/>
      <c r="AS167" s="414"/>
      <c r="AT167" s="414"/>
      <c r="AU167" s="414"/>
      <c r="AV167" s="414"/>
      <c r="AW167" s="414"/>
      <c r="AX167" s="415"/>
      <c r="AY167" s="415"/>
      <c r="AZ167" s="415"/>
      <c r="BA167" s="415"/>
      <c r="BB167" s="415"/>
      <c r="BC167" s="416"/>
      <c r="BD167" s="412"/>
      <c r="BE167" s="417"/>
      <c r="BG167" s="418"/>
      <c r="BH167" s="412"/>
      <c r="BI167" s="412"/>
      <c r="BK167" s="415"/>
      <c r="BL167" s="419"/>
      <c r="BM167" s="419"/>
    </row>
    <row r="168" spans="1:65" ht="12" customHeight="1">
      <c r="A168" s="411"/>
      <c r="B168" s="426"/>
      <c r="C168" s="426"/>
      <c r="D168" s="336"/>
      <c r="E168" s="415"/>
      <c r="F168" s="415"/>
      <c r="G168" s="415"/>
      <c r="H168" s="415"/>
      <c r="I168" s="415"/>
      <c r="J168" s="415"/>
      <c r="K168" s="415"/>
      <c r="L168" s="415"/>
      <c r="M168" s="415"/>
      <c r="N168" s="415"/>
      <c r="O168" s="415"/>
      <c r="P168" s="415"/>
      <c r="Q168" s="415"/>
      <c r="R168" s="415"/>
      <c r="S168" s="415"/>
      <c r="T168" s="415"/>
      <c r="U168" s="415"/>
      <c r="V168" s="412"/>
      <c r="W168" s="412"/>
      <c r="X168" s="413"/>
      <c r="Y168" s="413"/>
      <c r="Z168" s="413"/>
      <c r="AA168" s="413"/>
      <c r="AB168" s="413"/>
      <c r="AC168" s="413"/>
      <c r="AD168" s="413"/>
      <c r="AE168" s="413"/>
      <c r="AF168" s="413"/>
      <c r="AG168" s="414"/>
      <c r="AH168" s="414"/>
      <c r="AI168" s="414"/>
      <c r="AJ168" s="414"/>
      <c r="AK168" s="414"/>
      <c r="AL168" s="414"/>
      <c r="AM168" s="414"/>
      <c r="AN168" s="414"/>
      <c r="AO168" s="414"/>
      <c r="AP168" s="414"/>
      <c r="AQ168" s="414"/>
      <c r="AR168" s="414"/>
      <c r="AS168" s="414"/>
      <c r="AT168" s="414"/>
      <c r="AU168" s="414"/>
      <c r="AV168" s="414"/>
      <c r="AW168" s="414"/>
      <c r="AX168" s="415"/>
      <c r="AY168" s="415"/>
      <c r="AZ168" s="415"/>
      <c r="BA168" s="415"/>
      <c r="BB168" s="415"/>
      <c r="BC168" s="416"/>
      <c r="BD168" s="412"/>
      <c r="BE168" s="417"/>
      <c r="BG168" s="418"/>
      <c r="BH168" s="412"/>
      <c r="BI168" s="412"/>
      <c r="BK168" s="415"/>
      <c r="BL168" s="419"/>
      <c r="BM168" s="419"/>
    </row>
    <row r="169" spans="1:65" ht="12" customHeight="1">
      <c r="A169" s="411"/>
      <c r="B169" s="426"/>
      <c r="C169" s="426"/>
      <c r="D169" s="336"/>
      <c r="E169" s="415"/>
      <c r="F169" s="415"/>
      <c r="G169" s="415"/>
      <c r="H169" s="415"/>
      <c r="I169" s="415"/>
      <c r="J169" s="415"/>
      <c r="K169" s="415"/>
      <c r="L169" s="415"/>
      <c r="M169" s="415"/>
      <c r="N169" s="415"/>
      <c r="O169" s="415"/>
      <c r="P169" s="415"/>
      <c r="Q169" s="415"/>
      <c r="R169" s="415"/>
      <c r="S169" s="415"/>
      <c r="T169" s="415"/>
      <c r="U169" s="415"/>
      <c r="V169" s="412"/>
      <c r="W169" s="412"/>
      <c r="X169" s="413"/>
      <c r="Y169" s="413"/>
      <c r="Z169" s="413"/>
      <c r="AA169" s="413"/>
      <c r="AB169" s="413"/>
      <c r="AC169" s="413"/>
      <c r="AD169" s="413"/>
      <c r="AE169" s="413"/>
      <c r="AF169" s="413"/>
      <c r="AG169" s="414"/>
      <c r="AH169" s="414"/>
      <c r="AI169" s="414"/>
      <c r="AJ169" s="414"/>
      <c r="AK169" s="414"/>
      <c r="AL169" s="414"/>
      <c r="AM169" s="414"/>
      <c r="AN169" s="414"/>
      <c r="AO169" s="414"/>
      <c r="AP169" s="414"/>
      <c r="AQ169" s="414"/>
      <c r="AR169" s="414"/>
      <c r="AS169" s="414"/>
      <c r="AT169" s="414"/>
      <c r="AU169" s="414"/>
      <c r="AV169" s="414"/>
      <c r="AW169" s="414"/>
      <c r="AX169" s="415"/>
      <c r="AY169" s="415"/>
      <c r="AZ169" s="415"/>
      <c r="BA169" s="415"/>
      <c r="BB169" s="415"/>
      <c r="BC169" s="416"/>
      <c r="BD169" s="412"/>
      <c r="BE169" s="417"/>
      <c r="BG169" s="418"/>
      <c r="BH169" s="412"/>
      <c r="BI169" s="412"/>
      <c r="BK169" s="415"/>
      <c r="BL169" s="419"/>
      <c r="BM169" s="419"/>
    </row>
    <row r="170" spans="1:65" ht="12" customHeight="1">
      <c r="A170" s="422"/>
      <c r="B170" s="348"/>
      <c r="C170" s="432"/>
      <c r="D170" s="336"/>
      <c r="X170" s="338"/>
      <c r="Y170" s="338"/>
      <c r="Z170" s="338"/>
      <c r="AA170" s="338"/>
      <c r="AB170" s="338"/>
      <c r="AC170" s="338"/>
      <c r="AD170" s="338"/>
      <c r="AE170" s="338"/>
      <c r="AF170" s="338"/>
      <c r="AG170" s="339"/>
      <c r="AH170" s="339"/>
      <c r="AI170" s="339"/>
      <c r="AJ170" s="339"/>
      <c r="AK170" s="339"/>
      <c r="AL170" s="339"/>
      <c r="AM170" s="339"/>
      <c r="AN170" s="339"/>
      <c r="AO170" s="339"/>
      <c r="AP170" s="339"/>
      <c r="AQ170" s="339"/>
      <c r="AR170" s="339"/>
      <c r="AS170" s="339"/>
      <c r="AT170" s="339"/>
      <c r="AU170" s="339"/>
      <c r="AV170" s="339"/>
      <c r="AW170" s="339"/>
      <c r="BC170" s="352"/>
      <c r="BE170" s="340"/>
      <c r="BG170" s="341"/>
      <c r="BH170" s="340"/>
      <c r="BI170" s="340"/>
      <c r="BK170" s="342"/>
      <c r="BL170" s="340"/>
      <c r="BM170" s="340"/>
    </row>
    <row r="171" spans="1:65" ht="12" customHeight="1">
      <c r="A171" s="398"/>
      <c r="B171" s="348"/>
      <c r="C171" s="348"/>
      <c r="D171" s="336"/>
      <c r="X171" s="338"/>
      <c r="Y171" s="338"/>
      <c r="Z171" s="338"/>
      <c r="AA171" s="338"/>
      <c r="AB171" s="338"/>
      <c r="AC171" s="338"/>
      <c r="AD171" s="338"/>
      <c r="AE171" s="338"/>
      <c r="AF171" s="338"/>
      <c r="AG171" s="339"/>
      <c r="AH171" s="339"/>
      <c r="AI171" s="339"/>
      <c r="AJ171" s="339"/>
      <c r="AK171" s="339"/>
      <c r="AL171" s="339"/>
      <c r="AM171" s="339"/>
      <c r="AN171" s="339"/>
      <c r="AO171" s="339"/>
      <c r="AP171" s="339"/>
      <c r="AQ171" s="339"/>
      <c r="AR171" s="339"/>
      <c r="AS171" s="339"/>
      <c r="AT171" s="339"/>
      <c r="AU171" s="339"/>
      <c r="AV171" s="339"/>
      <c r="AW171" s="339"/>
      <c r="BC171" s="352"/>
      <c r="BE171" s="340"/>
      <c r="BG171" s="341"/>
      <c r="BK171" s="342"/>
    </row>
    <row r="172" spans="1:65" ht="12" customHeight="1">
      <c r="A172" s="398"/>
      <c r="B172" s="348"/>
      <c r="C172" s="348"/>
      <c r="D172" s="336"/>
      <c r="X172" s="338"/>
      <c r="Y172" s="338"/>
      <c r="Z172" s="338"/>
      <c r="AA172" s="338"/>
      <c r="AB172" s="338"/>
      <c r="AC172" s="338"/>
      <c r="AD172" s="338"/>
      <c r="AE172" s="338"/>
      <c r="AF172" s="338"/>
      <c r="AG172" s="339"/>
      <c r="AH172" s="339"/>
      <c r="AI172" s="339"/>
      <c r="AJ172" s="339"/>
      <c r="AK172" s="339"/>
      <c r="AL172" s="339"/>
      <c r="AM172" s="339"/>
      <c r="AN172" s="339"/>
      <c r="AO172" s="339"/>
      <c r="AP172" s="339"/>
      <c r="AQ172" s="339"/>
      <c r="AR172" s="339"/>
      <c r="AS172" s="339"/>
      <c r="AT172" s="339"/>
      <c r="AU172" s="339"/>
      <c r="AV172" s="339"/>
      <c r="AW172" s="339"/>
      <c r="BC172" s="352"/>
      <c r="BE172" s="340"/>
      <c r="BG172" s="341"/>
      <c r="BK172" s="342"/>
    </row>
    <row r="173" spans="1:65" ht="12" customHeight="1">
      <c r="A173" s="333"/>
      <c r="B173" s="420"/>
      <c r="C173" s="443"/>
      <c r="D173" s="336"/>
      <c r="E173" s="420"/>
      <c r="F173" s="420"/>
      <c r="G173" s="420"/>
      <c r="H173" s="420"/>
      <c r="I173" s="420"/>
      <c r="J173" s="420"/>
      <c r="K173" s="420"/>
      <c r="L173" s="420"/>
      <c r="M173" s="420"/>
      <c r="N173" s="420"/>
      <c r="O173" s="420"/>
      <c r="P173" s="420"/>
      <c r="Q173" s="420"/>
      <c r="R173" s="420"/>
      <c r="S173" s="420"/>
      <c r="T173" s="420"/>
      <c r="U173" s="420"/>
      <c r="X173" s="338"/>
      <c r="Y173" s="338"/>
      <c r="Z173" s="338"/>
      <c r="AA173" s="338"/>
      <c r="AB173" s="338"/>
      <c r="AC173" s="338"/>
      <c r="AD173" s="338"/>
      <c r="AE173" s="338"/>
      <c r="AF173" s="338"/>
      <c r="AG173" s="339"/>
      <c r="AH173" s="339"/>
      <c r="AI173" s="339"/>
      <c r="AJ173" s="339"/>
      <c r="AK173" s="339"/>
      <c r="AL173" s="339"/>
      <c r="AM173" s="339"/>
      <c r="AN173" s="339"/>
      <c r="AO173" s="339"/>
      <c r="AP173" s="339"/>
      <c r="AQ173" s="339"/>
      <c r="AR173" s="339"/>
      <c r="AS173" s="339"/>
      <c r="AT173" s="339"/>
      <c r="AU173" s="339"/>
      <c r="AV173" s="339"/>
      <c r="AW173" s="339"/>
      <c r="BC173" s="352"/>
      <c r="BE173" s="340"/>
      <c r="BG173" s="341"/>
      <c r="BK173" s="342"/>
    </row>
    <row r="174" spans="1:65" ht="12" customHeight="1">
      <c r="A174" s="333"/>
      <c r="B174" s="334"/>
      <c r="C174" s="437"/>
      <c r="D174" s="336"/>
      <c r="X174" s="338"/>
      <c r="Y174" s="338"/>
      <c r="Z174" s="338"/>
      <c r="AA174" s="338"/>
      <c r="AB174" s="338"/>
      <c r="AC174" s="338"/>
      <c r="AD174" s="338"/>
      <c r="AE174" s="338"/>
      <c r="AF174" s="338"/>
      <c r="AG174" s="339"/>
      <c r="AH174" s="339"/>
      <c r="AI174" s="339"/>
      <c r="AJ174" s="339"/>
      <c r="AK174" s="339"/>
      <c r="AL174" s="339"/>
      <c r="AM174" s="339"/>
      <c r="AN174" s="339"/>
      <c r="AO174" s="339"/>
      <c r="AP174" s="339"/>
      <c r="AQ174" s="339"/>
      <c r="AR174" s="339"/>
      <c r="AS174" s="339"/>
      <c r="AT174" s="339"/>
      <c r="AU174" s="339"/>
      <c r="AV174" s="339"/>
      <c r="AW174" s="339"/>
      <c r="BC174" s="352"/>
      <c r="BE174" s="340"/>
      <c r="BG174" s="341"/>
      <c r="BK174" s="342"/>
    </row>
    <row r="175" spans="1:65" ht="12" customHeight="1">
      <c r="A175" s="422"/>
      <c r="B175" s="348"/>
      <c r="C175" s="432"/>
      <c r="D175" s="336"/>
      <c r="X175" s="338"/>
      <c r="Y175" s="338"/>
      <c r="Z175" s="338"/>
      <c r="AA175" s="338"/>
      <c r="AB175" s="338"/>
      <c r="AC175" s="338"/>
      <c r="AD175" s="338"/>
      <c r="AE175" s="338"/>
      <c r="AF175" s="338"/>
      <c r="AG175" s="339"/>
      <c r="AH175" s="339"/>
      <c r="AI175" s="339"/>
      <c r="AJ175" s="339"/>
      <c r="AK175" s="339"/>
      <c r="AL175" s="339"/>
      <c r="AM175" s="339"/>
      <c r="AN175" s="339"/>
      <c r="AO175" s="339"/>
      <c r="AP175" s="339"/>
      <c r="AQ175" s="339"/>
      <c r="AR175" s="339"/>
      <c r="AS175" s="339"/>
      <c r="AT175" s="339"/>
      <c r="AU175" s="339"/>
      <c r="AV175" s="339"/>
      <c r="AW175" s="339"/>
      <c r="BC175" s="352"/>
      <c r="BE175" s="340"/>
      <c r="BG175" s="341"/>
      <c r="BK175" s="342"/>
    </row>
    <row r="176" spans="1:65" ht="12" customHeight="1">
      <c r="A176" s="444"/>
      <c r="B176" s="426"/>
      <c r="C176" s="445"/>
      <c r="D176" s="336"/>
      <c r="E176" s="415"/>
      <c r="F176" s="415"/>
      <c r="G176" s="415"/>
      <c r="H176" s="415"/>
      <c r="I176" s="415"/>
      <c r="J176" s="415"/>
      <c r="K176" s="415"/>
      <c r="L176" s="415"/>
      <c r="M176" s="415"/>
      <c r="N176" s="415"/>
      <c r="O176" s="415"/>
      <c r="P176" s="415"/>
      <c r="Q176" s="415"/>
      <c r="R176" s="415"/>
      <c r="S176" s="415"/>
      <c r="T176" s="415"/>
      <c r="U176" s="415"/>
      <c r="V176" s="412"/>
      <c r="W176" s="412"/>
      <c r="X176" s="446"/>
      <c r="Y176" s="446"/>
      <c r="Z176" s="446"/>
      <c r="AA176" s="446"/>
      <c r="AB176" s="446"/>
      <c r="AC176" s="446"/>
      <c r="AD176" s="446"/>
      <c r="AE176" s="446"/>
      <c r="AF176" s="446"/>
      <c r="AG176" s="429"/>
      <c r="AH176" s="429"/>
      <c r="AI176" s="429"/>
      <c r="AJ176" s="429"/>
      <c r="AK176" s="429"/>
      <c r="AL176" s="429"/>
      <c r="AM176" s="429"/>
      <c r="AN176" s="429"/>
      <c r="AO176" s="429"/>
      <c r="AP176" s="429"/>
      <c r="AQ176" s="429"/>
      <c r="AR176" s="429"/>
      <c r="AS176" s="429"/>
      <c r="AT176" s="429"/>
      <c r="AU176" s="429"/>
      <c r="AV176" s="429"/>
      <c r="AW176" s="429"/>
      <c r="AX176" s="415"/>
      <c r="AY176" s="415"/>
      <c r="AZ176" s="415"/>
      <c r="BA176" s="415"/>
      <c r="BB176" s="415"/>
      <c r="BC176" s="415"/>
      <c r="BD176" s="430"/>
      <c r="BE176" s="430"/>
      <c r="BG176" s="431"/>
      <c r="BH176" s="430"/>
      <c r="BI176" s="430"/>
      <c r="BK176" s="415"/>
      <c r="BL176" s="430"/>
      <c r="BM176" s="430"/>
    </row>
    <row r="177" spans="1:65" ht="12" customHeight="1">
      <c r="A177" s="422"/>
      <c r="B177" s="423"/>
      <c r="C177" s="423"/>
      <c r="D177" s="336"/>
      <c r="X177" s="433"/>
      <c r="Y177" s="433"/>
      <c r="Z177" s="433"/>
      <c r="AA177" s="433"/>
      <c r="AB177" s="433"/>
      <c r="AC177" s="433"/>
      <c r="AD177" s="433"/>
      <c r="AE177" s="433"/>
      <c r="AF177" s="433"/>
      <c r="AG177" s="434"/>
      <c r="AH177" s="434"/>
      <c r="AI177" s="434"/>
      <c r="AJ177" s="434"/>
      <c r="AK177" s="434"/>
      <c r="AL177" s="434"/>
      <c r="AM177" s="434"/>
      <c r="AN177" s="434"/>
      <c r="AO177" s="434"/>
      <c r="AP177" s="434"/>
      <c r="AQ177" s="434"/>
      <c r="AR177" s="434"/>
      <c r="AS177" s="434"/>
      <c r="AT177" s="434"/>
      <c r="AU177" s="434"/>
      <c r="AV177" s="434"/>
      <c r="AW177" s="434"/>
      <c r="BC177" s="352"/>
      <c r="BE177" s="436"/>
      <c r="BG177" s="341"/>
      <c r="BK177" s="342"/>
    </row>
    <row r="178" spans="1:65" ht="12" customHeight="1">
      <c r="A178" s="447"/>
      <c r="B178" s="432"/>
      <c r="D178" s="336"/>
      <c r="X178" s="433"/>
      <c r="Y178" s="433"/>
      <c r="Z178" s="433"/>
      <c r="AA178" s="433"/>
      <c r="AB178" s="433"/>
      <c r="AC178" s="433"/>
      <c r="AD178" s="433"/>
      <c r="AE178" s="433"/>
      <c r="AF178" s="433"/>
      <c r="AG178" s="434"/>
      <c r="AH178" s="434"/>
      <c r="AI178" s="434"/>
      <c r="AJ178" s="434"/>
      <c r="AK178" s="434"/>
      <c r="AL178" s="434"/>
      <c r="AM178" s="434"/>
      <c r="AN178" s="434"/>
      <c r="AO178" s="434"/>
      <c r="AP178" s="434"/>
      <c r="AQ178" s="434"/>
      <c r="AR178" s="434"/>
      <c r="AS178" s="434"/>
      <c r="AT178" s="434"/>
      <c r="AU178" s="434"/>
      <c r="AV178" s="434"/>
      <c r="AW178" s="434"/>
      <c r="BC178" s="352"/>
      <c r="BD178" s="435"/>
      <c r="BE178" s="435"/>
      <c r="BG178" s="341"/>
      <c r="BH178" s="435"/>
      <c r="BI178" s="435"/>
      <c r="BK178" s="342"/>
      <c r="BL178" s="435"/>
      <c r="BM178" s="435"/>
    </row>
    <row r="179" spans="1:65" ht="12" customHeight="1">
      <c r="A179" s="398"/>
      <c r="B179" s="348"/>
      <c r="C179" s="432"/>
      <c r="D179" s="336"/>
      <c r="X179" s="448"/>
      <c r="Y179" s="448"/>
      <c r="Z179" s="448"/>
      <c r="AA179" s="448"/>
      <c r="AB179" s="448"/>
      <c r="AC179" s="448"/>
      <c r="AD179" s="448"/>
      <c r="AE179" s="448"/>
      <c r="AF179" s="448"/>
      <c r="AG179" s="449"/>
      <c r="AH179" s="449"/>
      <c r="AI179" s="449"/>
      <c r="AJ179" s="449"/>
      <c r="AK179" s="449"/>
      <c r="AL179" s="449"/>
      <c r="AM179" s="449"/>
      <c r="AN179" s="449"/>
      <c r="AO179" s="449"/>
      <c r="AP179" s="449"/>
      <c r="AQ179" s="449"/>
      <c r="AR179" s="449"/>
      <c r="AS179" s="449"/>
      <c r="AT179" s="449"/>
      <c r="AU179" s="449"/>
      <c r="AV179" s="425"/>
      <c r="AW179" s="425"/>
      <c r="BC179" s="352"/>
      <c r="BE179" s="450"/>
      <c r="BK179" s="342"/>
    </row>
    <row r="180" spans="1:65" ht="12" customHeight="1">
      <c r="A180" s="398"/>
      <c r="B180" s="348"/>
      <c r="C180" s="348"/>
      <c r="D180" s="336"/>
      <c r="X180" s="451"/>
      <c r="Y180" s="451"/>
      <c r="Z180" s="451"/>
      <c r="AA180" s="451"/>
      <c r="AB180" s="451"/>
      <c r="AC180" s="451"/>
      <c r="AD180" s="451"/>
      <c r="AE180" s="451"/>
      <c r="AF180" s="451"/>
      <c r="AG180" s="425"/>
      <c r="AH180" s="425"/>
      <c r="AI180" s="425"/>
      <c r="AJ180" s="425"/>
      <c r="AK180" s="425"/>
      <c r="AL180" s="425"/>
      <c r="AM180" s="425"/>
      <c r="AN180" s="425"/>
      <c r="AO180" s="425"/>
      <c r="AP180" s="425"/>
      <c r="AQ180" s="425"/>
      <c r="AR180" s="425"/>
      <c r="AS180" s="425"/>
      <c r="AT180" s="425"/>
      <c r="AU180" s="425"/>
      <c r="AV180" s="425"/>
      <c r="AW180" s="425"/>
      <c r="AX180" s="425"/>
      <c r="BC180" s="352"/>
      <c r="BE180" s="450"/>
      <c r="BG180" s="452"/>
      <c r="BK180" s="342"/>
    </row>
    <row r="181" spans="1:65" ht="12" customHeight="1">
      <c r="A181" s="453"/>
      <c r="B181" s="410"/>
      <c r="C181" s="454"/>
      <c r="D181" s="336"/>
      <c r="E181" s="342"/>
      <c r="F181" s="342"/>
      <c r="G181" s="342"/>
      <c r="H181" s="342"/>
      <c r="I181" s="342"/>
      <c r="J181" s="342"/>
      <c r="K181" s="342"/>
      <c r="L181" s="342"/>
      <c r="M181" s="342"/>
      <c r="N181" s="342"/>
      <c r="O181" s="342"/>
      <c r="P181" s="342"/>
      <c r="Q181" s="342"/>
      <c r="R181" s="342"/>
      <c r="S181" s="342"/>
      <c r="T181" s="342"/>
      <c r="U181" s="342"/>
      <c r="V181" s="455"/>
      <c r="W181" s="455"/>
      <c r="X181" s="456"/>
      <c r="Y181" s="456"/>
      <c r="Z181" s="456"/>
      <c r="AA181" s="456"/>
      <c r="AB181" s="456"/>
      <c r="AC181" s="456"/>
      <c r="AD181" s="456"/>
      <c r="AE181" s="456"/>
      <c r="AF181" s="456"/>
      <c r="AG181" s="457"/>
      <c r="AH181" s="457"/>
      <c r="AI181" s="457"/>
      <c r="AJ181" s="457"/>
      <c r="AK181" s="457"/>
      <c r="AL181" s="457"/>
      <c r="AM181" s="457"/>
      <c r="AN181" s="457"/>
      <c r="AO181" s="457"/>
      <c r="AP181" s="457"/>
      <c r="AQ181" s="457"/>
      <c r="AR181" s="457"/>
      <c r="AS181" s="457"/>
      <c r="AT181" s="457"/>
      <c r="AU181" s="457"/>
      <c r="AV181" s="458"/>
      <c r="AW181" s="458"/>
      <c r="BC181" s="352"/>
      <c r="BE181" s="450"/>
      <c r="BG181" s="452"/>
      <c r="BK181" s="342"/>
    </row>
    <row r="182" spans="1:65" ht="12" customHeight="1">
      <c r="A182" s="453"/>
      <c r="B182" s="410"/>
      <c r="C182" s="454"/>
      <c r="D182" s="336"/>
      <c r="E182" s="342"/>
      <c r="F182" s="342"/>
      <c r="G182" s="342"/>
      <c r="H182" s="342"/>
      <c r="I182" s="342"/>
      <c r="J182" s="342"/>
      <c r="K182" s="342"/>
      <c r="L182" s="342"/>
      <c r="M182" s="342"/>
      <c r="N182" s="342"/>
      <c r="O182" s="342"/>
      <c r="P182" s="342"/>
      <c r="Q182" s="342"/>
      <c r="R182" s="342"/>
      <c r="S182" s="342"/>
      <c r="T182" s="342"/>
      <c r="U182" s="342"/>
      <c r="V182" s="455"/>
      <c r="W182" s="455"/>
      <c r="X182" s="456"/>
      <c r="Y182" s="456"/>
      <c r="Z182" s="456"/>
      <c r="AA182" s="456"/>
      <c r="AB182" s="456"/>
      <c r="AC182" s="456"/>
      <c r="AD182" s="456"/>
      <c r="AE182" s="456"/>
      <c r="AF182" s="456"/>
      <c r="AG182" s="457"/>
      <c r="AH182" s="457"/>
      <c r="AI182" s="457"/>
      <c r="AJ182" s="457"/>
      <c r="AK182" s="457"/>
      <c r="AL182" s="457"/>
      <c r="AM182" s="457"/>
      <c r="AN182" s="457"/>
      <c r="AO182" s="457"/>
      <c r="AP182" s="457"/>
      <c r="AQ182" s="457"/>
      <c r="AR182" s="457"/>
      <c r="AS182" s="457"/>
      <c r="AT182" s="457"/>
      <c r="AU182" s="457"/>
      <c r="AV182" s="458"/>
      <c r="AW182" s="458"/>
      <c r="BC182" s="459"/>
      <c r="BE182" s="450"/>
      <c r="BG182" s="460"/>
      <c r="BK182" s="342"/>
    </row>
    <row r="183" spans="1:65" ht="12" customHeight="1">
      <c r="A183" s="453"/>
      <c r="B183" s="410"/>
      <c r="C183" s="410"/>
      <c r="D183" s="336"/>
      <c r="E183" s="342"/>
      <c r="F183" s="342"/>
      <c r="G183" s="342"/>
      <c r="H183" s="342"/>
      <c r="I183" s="342"/>
      <c r="J183" s="342"/>
      <c r="K183" s="342"/>
      <c r="L183" s="342"/>
      <c r="M183" s="342"/>
      <c r="N183" s="342"/>
      <c r="O183" s="342"/>
      <c r="P183" s="342"/>
      <c r="Q183" s="342"/>
      <c r="R183" s="342"/>
      <c r="S183" s="342"/>
      <c r="T183" s="342"/>
      <c r="U183" s="342"/>
      <c r="V183" s="455"/>
      <c r="W183" s="455"/>
      <c r="X183" s="456"/>
      <c r="Y183" s="456"/>
      <c r="Z183" s="456"/>
      <c r="AA183" s="456"/>
      <c r="AB183" s="456"/>
      <c r="AC183" s="456"/>
      <c r="AD183" s="456"/>
      <c r="AE183" s="456"/>
      <c r="AF183" s="456"/>
      <c r="AG183" s="457"/>
      <c r="AH183" s="457"/>
      <c r="AI183" s="457"/>
      <c r="AJ183" s="457"/>
      <c r="AK183" s="457"/>
      <c r="AL183" s="457"/>
      <c r="AM183" s="457"/>
      <c r="AN183" s="457"/>
      <c r="AO183" s="457"/>
      <c r="AP183" s="457"/>
      <c r="AQ183" s="457"/>
      <c r="AR183" s="457"/>
      <c r="AS183" s="457"/>
      <c r="AT183" s="457"/>
      <c r="AU183" s="457"/>
      <c r="AV183" s="458"/>
      <c r="AW183" s="458"/>
      <c r="BC183" s="352"/>
      <c r="BE183" s="450"/>
      <c r="BG183" s="341"/>
      <c r="BK183" s="342"/>
    </row>
    <row r="184" spans="1:65" s="464" customFormat="1" ht="12" customHeight="1">
      <c r="A184" s="461"/>
      <c r="B184" s="462"/>
      <c r="C184" s="463"/>
      <c r="V184" s="465"/>
      <c r="W184" s="465"/>
      <c r="X184" s="466"/>
      <c r="Y184" s="466"/>
      <c r="Z184" s="466"/>
      <c r="AA184" s="466"/>
      <c r="AB184" s="466"/>
      <c r="AC184" s="466"/>
      <c r="AD184" s="466"/>
      <c r="AE184" s="466"/>
      <c r="AF184" s="466"/>
      <c r="AG184" s="467"/>
      <c r="AH184" s="467"/>
      <c r="AI184" s="467"/>
      <c r="AJ184" s="467"/>
      <c r="AK184" s="467"/>
      <c r="AL184" s="467"/>
      <c r="AM184" s="467"/>
      <c r="AN184" s="467"/>
      <c r="AO184" s="467"/>
      <c r="AP184" s="467"/>
      <c r="AQ184" s="467"/>
      <c r="AR184" s="467"/>
      <c r="AS184" s="467"/>
      <c r="AT184" s="467"/>
      <c r="AU184" s="467"/>
      <c r="AV184" s="467"/>
      <c r="AW184" s="467"/>
      <c r="BD184" s="468"/>
      <c r="BE184" s="469"/>
      <c r="BG184" s="470"/>
      <c r="BH184" s="468"/>
      <c r="BI184" s="468"/>
      <c r="BL184" s="471"/>
      <c r="BM184" s="471"/>
    </row>
    <row r="185" spans="1:65" s="464" customFormat="1" ht="12" customHeight="1">
      <c r="A185" s="461"/>
      <c r="B185" s="462"/>
      <c r="C185" s="463"/>
      <c r="V185" s="465"/>
      <c r="W185" s="465"/>
      <c r="X185" s="466"/>
      <c r="Y185" s="466"/>
      <c r="Z185" s="466"/>
      <c r="AA185" s="466"/>
      <c r="AB185" s="466"/>
      <c r="AC185" s="466"/>
      <c r="AD185" s="466"/>
      <c r="AE185" s="466"/>
      <c r="AF185" s="466"/>
      <c r="AG185" s="467"/>
      <c r="AH185" s="467"/>
      <c r="AI185" s="467"/>
      <c r="AJ185" s="467"/>
      <c r="AK185" s="467"/>
      <c r="AL185" s="467"/>
      <c r="AM185" s="467"/>
      <c r="AN185" s="467"/>
      <c r="AO185" s="467"/>
      <c r="AP185" s="467"/>
      <c r="AQ185" s="467"/>
      <c r="AR185" s="467"/>
      <c r="AS185" s="467"/>
      <c r="AT185" s="467"/>
      <c r="AU185" s="467"/>
      <c r="AV185" s="467"/>
      <c r="AW185" s="467"/>
      <c r="BD185" s="465"/>
      <c r="BE185" s="465"/>
      <c r="BG185" s="470"/>
      <c r="BH185" s="465"/>
      <c r="BI185" s="465"/>
      <c r="BL185" s="472"/>
      <c r="BM185" s="472"/>
    </row>
    <row r="186" spans="1:65" s="464" customFormat="1" ht="12" customHeight="1">
      <c r="A186" s="461"/>
      <c r="B186" s="462"/>
      <c r="C186" s="463"/>
      <c r="V186" s="465"/>
      <c r="W186" s="465"/>
      <c r="X186" s="466"/>
      <c r="Y186" s="466"/>
      <c r="Z186" s="466"/>
      <c r="AA186" s="466"/>
      <c r="AB186" s="466"/>
      <c r="AC186" s="466"/>
      <c r="AD186" s="466"/>
      <c r="AE186" s="466"/>
      <c r="AF186" s="466"/>
      <c r="AG186" s="467"/>
      <c r="AH186" s="467"/>
      <c r="AI186" s="467"/>
      <c r="AJ186" s="467"/>
      <c r="AK186" s="467"/>
      <c r="AL186" s="467"/>
      <c r="AM186" s="467"/>
      <c r="AN186" s="467"/>
      <c r="AO186" s="467"/>
      <c r="AP186" s="467"/>
      <c r="AQ186" s="467"/>
      <c r="AR186" s="467"/>
      <c r="AS186" s="467"/>
      <c r="AT186" s="467"/>
      <c r="AU186" s="467"/>
      <c r="AV186" s="467"/>
      <c r="AW186" s="467"/>
      <c r="BD186" s="465"/>
      <c r="BE186" s="465"/>
      <c r="BG186" s="470"/>
      <c r="BH186" s="465"/>
      <c r="BI186" s="465"/>
      <c r="BL186" s="472"/>
      <c r="BM186" s="472"/>
    </row>
    <row r="187" spans="1:65" s="464" customFormat="1" ht="12" customHeight="1">
      <c r="A187" s="461"/>
      <c r="B187" s="462"/>
      <c r="C187" s="463"/>
      <c r="V187" s="465"/>
      <c r="W187" s="465"/>
      <c r="X187" s="466"/>
      <c r="Y187" s="466"/>
      <c r="Z187" s="466"/>
      <c r="AA187" s="466"/>
      <c r="AB187" s="466"/>
      <c r="AC187" s="466"/>
      <c r="AD187" s="466"/>
      <c r="AE187" s="466"/>
      <c r="AF187" s="466"/>
      <c r="AG187" s="467"/>
      <c r="AH187" s="467"/>
      <c r="AI187" s="467"/>
      <c r="AJ187" s="467"/>
      <c r="AK187" s="467"/>
      <c r="AL187" s="467"/>
      <c r="AM187" s="467"/>
      <c r="AN187" s="467"/>
      <c r="AO187" s="467"/>
      <c r="AP187" s="467"/>
      <c r="AQ187" s="467"/>
      <c r="AR187" s="467"/>
      <c r="AS187" s="467"/>
      <c r="AT187" s="467"/>
      <c r="AU187" s="467"/>
      <c r="AV187" s="467"/>
      <c r="AW187" s="467"/>
      <c r="BD187" s="465"/>
      <c r="BE187" s="465"/>
      <c r="BG187" s="470"/>
      <c r="BH187" s="465"/>
      <c r="BI187" s="465"/>
      <c r="BL187" s="472"/>
      <c r="BM187" s="472"/>
    </row>
    <row r="188" spans="1:65" s="415" customFormat="1" ht="12" customHeight="1">
      <c r="A188" s="411"/>
      <c r="B188" s="426"/>
      <c r="C188" s="445"/>
      <c r="V188" s="412"/>
      <c r="W188" s="412"/>
      <c r="X188" s="413"/>
      <c r="Y188" s="413"/>
      <c r="Z188" s="413"/>
      <c r="AA188" s="413"/>
      <c r="AB188" s="413"/>
      <c r="AC188" s="413"/>
      <c r="AD188" s="413"/>
      <c r="AE188" s="413"/>
      <c r="AF188" s="413"/>
      <c r="AG188" s="414"/>
      <c r="AH188" s="414"/>
      <c r="AI188" s="414"/>
      <c r="AJ188" s="414"/>
      <c r="AK188" s="414"/>
      <c r="AL188" s="414"/>
      <c r="AM188" s="414"/>
      <c r="AN188" s="414"/>
      <c r="AO188" s="414"/>
      <c r="AP188" s="414"/>
      <c r="AQ188" s="414"/>
      <c r="AR188" s="414"/>
      <c r="AS188" s="414"/>
      <c r="AT188" s="414"/>
      <c r="AU188" s="414"/>
      <c r="AV188" s="414"/>
      <c r="AW188" s="414"/>
      <c r="BC188" s="416"/>
      <c r="BD188" s="473"/>
      <c r="BE188" s="430"/>
      <c r="BG188" s="431"/>
      <c r="BH188" s="473"/>
      <c r="BI188" s="473"/>
      <c r="BL188" s="474"/>
      <c r="BM188" s="474"/>
    </row>
    <row r="189" spans="1:65" ht="12" customHeight="1">
      <c r="A189" s="422"/>
      <c r="B189" s="432"/>
      <c r="C189" s="348"/>
      <c r="D189" s="336"/>
      <c r="X189" s="433"/>
      <c r="Y189" s="433"/>
      <c r="Z189" s="433"/>
      <c r="AA189" s="433"/>
      <c r="AB189" s="433"/>
      <c r="AC189" s="433"/>
      <c r="AD189" s="433"/>
      <c r="AE189" s="433"/>
      <c r="AF189" s="433"/>
      <c r="AG189" s="434"/>
      <c r="AH189" s="434"/>
      <c r="AI189" s="434"/>
      <c r="AJ189" s="434"/>
      <c r="AK189" s="434"/>
      <c r="AL189" s="434"/>
      <c r="AM189" s="434"/>
      <c r="AN189" s="434"/>
      <c r="AO189" s="434"/>
      <c r="AP189" s="434"/>
      <c r="AQ189" s="434"/>
      <c r="AR189" s="434"/>
      <c r="AS189" s="434"/>
      <c r="AT189" s="434"/>
      <c r="AU189" s="434"/>
      <c r="AV189" s="434"/>
      <c r="AW189" s="434"/>
      <c r="BC189" s="352"/>
      <c r="BE189" s="436"/>
      <c r="BG189" s="341"/>
      <c r="BH189" s="435"/>
      <c r="BI189" s="435"/>
      <c r="BK189" s="342"/>
      <c r="BL189" s="475"/>
      <c r="BM189" s="475"/>
    </row>
    <row r="190" spans="1:65" ht="12" customHeight="1">
      <c r="A190" s="333"/>
      <c r="B190" s="476"/>
      <c r="C190" s="443"/>
      <c r="D190" s="336"/>
      <c r="E190" s="389"/>
      <c r="F190" s="389"/>
      <c r="G190" s="389"/>
      <c r="H190" s="389"/>
      <c r="I190" s="389"/>
      <c r="J190" s="389"/>
      <c r="K190" s="389"/>
      <c r="L190" s="389"/>
      <c r="M190" s="389"/>
      <c r="N190" s="389"/>
      <c r="O190" s="389"/>
      <c r="P190" s="389"/>
      <c r="Q190" s="389"/>
      <c r="R190" s="389"/>
      <c r="S190" s="389"/>
      <c r="T190" s="389"/>
      <c r="U190" s="389"/>
      <c r="X190" s="338"/>
      <c r="Y190" s="338"/>
      <c r="Z190" s="338"/>
      <c r="AA190" s="338"/>
      <c r="AB190" s="338"/>
      <c r="AC190" s="338"/>
      <c r="AD190" s="338"/>
      <c r="AE190" s="338"/>
      <c r="AF190" s="338"/>
      <c r="AG190" s="339"/>
      <c r="AH190" s="339"/>
      <c r="AI190" s="339"/>
      <c r="AJ190" s="339"/>
      <c r="AK190" s="339"/>
      <c r="AL190" s="339"/>
      <c r="AM190" s="339"/>
      <c r="AN190" s="339"/>
      <c r="AO190" s="339"/>
      <c r="AP190" s="339"/>
      <c r="AQ190" s="339"/>
      <c r="AR190" s="339"/>
      <c r="AS190" s="339"/>
      <c r="AT190" s="339"/>
      <c r="AU190" s="339"/>
      <c r="AV190" s="339"/>
      <c r="AW190" s="339"/>
      <c r="BC190" s="352"/>
      <c r="BE190" s="340"/>
      <c r="BG190" s="341"/>
      <c r="BK190" s="342"/>
    </row>
    <row r="191" spans="1:65" ht="12" customHeight="1">
      <c r="A191" s="438"/>
      <c r="B191" s="439"/>
      <c r="C191" s="440"/>
      <c r="D191" s="336"/>
      <c r="E191" s="441"/>
      <c r="F191" s="441"/>
      <c r="G191" s="441"/>
      <c r="H191" s="441"/>
      <c r="I191" s="441"/>
      <c r="J191" s="441"/>
      <c r="K191" s="441"/>
      <c r="L191" s="441"/>
      <c r="M191" s="441"/>
      <c r="N191" s="441"/>
      <c r="O191" s="441"/>
      <c r="P191" s="441"/>
      <c r="Q191" s="441"/>
      <c r="R191" s="441"/>
      <c r="S191" s="441"/>
      <c r="T191" s="441"/>
      <c r="U191" s="441"/>
      <c r="X191" s="338"/>
      <c r="Y191" s="338"/>
      <c r="Z191" s="338"/>
      <c r="AA191" s="338"/>
      <c r="AB191" s="338"/>
      <c r="AC191" s="338"/>
      <c r="AD191" s="338"/>
      <c r="AE191" s="338"/>
      <c r="AF191" s="338"/>
      <c r="AG191" s="339"/>
      <c r="AH191" s="339"/>
      <c r="AI191" s="339"/>
      <c r="AJ191" s="339"/>
      <c r="AK191" s="339"/>
      <c r="AL191" s="339"/>
      <c r="AM191" s="339"/>
      <c r="AN191" s="339"/>
      <c r="AO191" s="339"/>
      <c r="AP191" s="339"/>
      <c r="AQ191" s="339"/>
      <c r="AR191" s="339"/>
      <c r="AS191" s="339"/>
      <c r="AT191" s="339"/>
      <c r="AU191" s="339"/>
      <c r="AV191" s="339"/>
      <c r="AW191" s="339"/>
      <c r="BC191" s="352"/>
      <c r="BE191" s="340"/>
      <c r="BG191" s="341"/>
      <c r="BK191" s="342"/>
    </row>
    <row r="192" spans="1:65" ht="12" customHeight="1">
      <c r="A192" s="438"/>
      <c r="B192" s="439"/>
      <c r="C192" s="440"/>
      <c r="D192" s="336"/>
      <c r="E192" s="441"/>
      <c r="F192" s="441"/>
      <c r="G192" s="441"/>
      <c r="H192" s="441"/>
      <c r="I192" s="441"/>
      <c r="J192" s="441"/>
      <c r="K192" s="441"/>
      <c r="L192" s="441"/>
      <c r="M192" s="441"/>
      <c r="N192" s="441"/>
      <c r="O192" s="441"/>
      <c r="P192" s="441"/>
      <c r="Q192" s="441"/>
      <c r="R192" s="441"/>
      <c r="S192" s="441"/>
      <c r="T192" s="441"/>
      <c r="U192" s="441"/>
      <c r="X192" s="338"/>
      <c r="Y192" s="338"/>
      <c r="Z192" s="338"/>
      <c r="AA192" s="338"/>
      <c r="AB192" s="338"/>
      <c r="AC192" s="338"/>
      <c r="AD192" s="338"/>
      <c r="AE192" s="338"/>
      <c r="AF192" s="338"/>
      <c r="AG192" s="339"/>
      <c r="AH192" s="339"/>
      <c r="AI192" s="339"/>
      <c r="AJ192" s="339"/>
      <c r="AK192" s="339"/>
      <c r="AL192" s="339"/>
      <c r="AM192" s="339"/>
      <c r="AN192" s="339"/>
      <c r="AO192" s="339"/>
      <c r="AP192" s="339"/>
      <c r="AQ192" s="339"/>
      <c r="AR192" s="339"/>
      <c r="AS192" s="339"/>
      <c r="AT192" s="339"/>
      <c r="AU192" s="339"/>
      <c r="AV192" s="339"/>
      <c r="AW192" s="339"/>
      <c r="BC192" s="352"/>
      <c r="BE192" s="340"/>
      <c r="BG192" s="341"/>
      <c r="BK192" s="342"/>
    </row>
    <row r="193" spans="1:63" ht="12" customHeight="1">
      <c r="A193" s="398"/>
      <c r="B193" s="348"/>
      <c r="D193" s="336"/>
      <c r="E193" s="442"/>
      <c r="F193" s="442"/>
      <c r="G193" s="442"/>
      <c r="H193" s="442"/>
      <c r="I193" s="442"/>
      <c r="J193" s="442"/>
      <c r="K193" s="442"/>
      <c r="L193" s="442"/>
      <c r="M193" s="442"/>
      <c r="N193" s="442"/>
      <c r="O193" s="442"/>
      <c r="P193" s="442"/>
      <c r="Q193" s="442"/>
      <c r="R193" s="442"/>
      <c r="S193" s="442"/>
      <c r="T193" s="442"/>
      <c r="U193" s="442"/>
      <c r="X193" s="338"/>
      <c r="Y193" s="338"/>
      <c r="Z193" s="338"/>
      <c r="AA193" s="338"/>
      <c r="AB193" s="338"/>
      <c r="AC193" s="338"/>
      <c r="AD193" s="338"/>
      <c r="AE193" s="338"/>
      <c r="AF193" s="338"/>
      <c r="AG193" s="339"/>
      <c r="AH193" s="339"/>
      <c r="AI193" s="339"/>
      <c r="AJ193" s="339"/>
      <c r="AK193" s="339"/>
      <c r="AL193" s="339"/>
      <c r="AM193" s="339"/>
      <c r="AN193" s="339"/>
      <c r="AO193" s="339"/>
      <c r="AP193" s="339"/>
      <c r="AQ193" s="339"/>
      <c r="AR193" s="339"/>
      <c r="AS193" s="339"/>
      <c r="AT193" s="339"/>
      <c r="AU193" s="339"/>
      <c r="AV193" s="339"/>
      <c r="AW193" s="339"/>
      <c r="BC193" s="352"/>
      <c r="BE193" s="340"/>
      <c r="BG193" s="341"/>
      <c r="BK193" s="342"/>
    </row>
    <row r="194" spans="1:63" ht="12" customHeight="1">
      <c r="A194" s="398"/>
      <c r="B194" s="348"/>
      <c r="C194" s="348"/>
      <c r="D194" s="336"/>
      <c r="X194" s="338"/>
      <c r="Y194" s="338"/>
      <c r="Z194" s="338"/>
      <c r="AA194" s="338"/>
      <c r="AB194" s="338"/>
      <c r="AC194" s="338"/>
      <c r="AD194" s="338"/>
      <c r="AE194" s="338"/>
      <c r="AF194" s="338"/>
      <c r="AG194" s="339"/>
      <c r="AH194" s="339"/>
      <c r="AI194" s="339"/>
      <c r="AJ194" s="339"/>
      <c r="AK194" s="339"/>
      <c r="AL194" s="339"/>
      <c r="AM194" s="339"/>
      <c r="AN194" s="339"/>
      <c r="AO194" s="339"/>
      <c r="AP194" s="339"/>
      <c r="AQ194" s="339"/>
      <c r="AR194" s="339"/>
      <c r="AS194" s="339"/>
      <c r="AT194" s="339"/>
      <c r="AU194" s="339"/>
      <c r="AV194" s="339"/>
      <c r="AW194" s="339"/>
      <c r="BC194" s="352"/>
      <c r="BE194" s="340"/>
      <c r="BG194" s="341"/>
      <c r="BK194" s="342"/>
    </row>
    <row r="195" spans="1:63" ht="12" customHeight="1">
      <c r="A195" s="343"/>
      <c r="B195" s="420"/>
      <c r="C195" s="420"/>
      <c r="D195" s="336"/>
      <c r="E195" s="477"/>
      <c r="F195" s="477"/>
      <c r="G195" s="477"/>
      <c r="H195" s="477"/>
      <c r="I195" s="477"/>
      <c r="J195" s="477"/>
      <c r="K195" s="477"/>
      <c r="L195" s="477"/>
      <c r="M195" s="477"/>
      <c r="N195" s="477"/>
      <c r="O195" s="477"/>
      <c r="P195" s="477"/>
      <c r="Q195" s="477"/>
      <c r="R195" s="477"/>
      <c r="S195" s="477"/>
      <c r="T195" s="477"/>
      <c r="U195" s="477"/>
      <c r="X195" s="338"/>
      <c r="Y195" s="338"/>
      <c r="Z195" s="338"/>
      <c r="AA195" s="338"/>
      <c r="AB195" s="338"/>
      <c r="AC195" s="338"/>
      <c r="AD195" s="338"/>
      <c r="AE195" s="338"/>
      <c r="AF195" s="338"/>
      <c r="AG195" s="339"/>
      <c r="AH195" s="339"/>
      <c r="AI195" s="339"/>
      <c r="AJ195" s="339"/>
      <c r="AK195" s="339"/>
      <c r="AL195" s="339"/>
      <c r="AM195" s="339"/>
      <c r="AN195" s="339"/>
      <c r="AO195" s="339"/>
      <c r="AP195" s="339"/>
      <c r="AQ195" s="339"/>
      <c r="AR195" s="339"/>
      <c r="AS195" s="339"/>
      <c r="AT195" s="339"/>
      <c r="AU195" s="339"/>
      <c r="AV195" s="339"/>
      <c r="AW195" s="339"/>
      <c r="BC195" s="352"/>
      <c r="BE195" s="340"/>
      <c r="BG195" s="341"/>
      <c r="BK195" s="342"/>
    </row>
    <row r="196" spans="1:63" ht="12" customHeight="1">
      <c r="A196" s="478"/>
      <c r="B196" s="479"/>
      <c r="C196" s="480"/>
      <c r="D196" s="336"/>
      <c r="E196" s="481"/>
      <c r="F196" s="481"/>
      <c r="G196" s="481"/>
      <c r="H196" s="481"/>
      <c r="I196" s="481"/>
      <c r="J196" s="481"/>
      <c r="K196" s="481"/>
      <c r="L196" s="481"/>
      <c r="M196" s="481"/>
      <c r="N196" s="481"/>
      <c r="O196" s="481"/>
      <c r="P196" s="481"/>
      <c r="Q196" s="481"/>
      <c r="R196" s="481"/>
      <c r="S196" s="481"/>
      <c r="T196" s="481"/>
      <c r="U196" s="481"/>
      <c r="X196" s="338"/>
      <c r="Y196" s="338"/>
      <c r="Z196" s="338"/>
      <c r="AA196" s="338"/>
      <c r="AB196" s="338"/>
      <c r="AC196" s="338"/>
      <c r="AD196" s="338"/>
      <c r="AE196" s="338"/>
      <c r="AF196" s="338"/>
      <c r="AG196" s="339"/>
      <c r="AH196" s="339"/>
      <c r="AI196" s="339"/>
      <c r="AJ196" s="339"/>
      <c r="AK196" s="339"/>
      <c r="AL196" s="339"/>
      <c r="AM196" s="339"/>
      <c r="AN196" s="339"/>
      <c r="AO196" s="339"/>
      <c r="AP196" s="339"/>
      <c r="AQ196" s="339"/>
      <c r="AR196" s="339"/>
      <c r="AS196" s="339"/>
      <c r="AT196" s="339"/>
      <c r="AU196" s="339"/>
      <c r="AV196" s="339"/>
      <c r="AW196" s="339"/>
      <c r="BC196" s="352"/>
      <c r="BE196" s="340"/>
      <c r="BG196" s="341"/>
      <c r="BK196" s="342"/>
    </row>
    <row r="197" spans="1:63" ht="12" customHeight="1">
      <c r="A197" s="438"/>
      <c r="B197" s="439"/>
      <c r="C197" s="440"/>
      <c r="D197" s="336"/>
      <c r="E197" s="441"/>
      <c r="F197" s="441"/>
      <c r="G197" s="441"/>
      <c r="H197" s="441"/>
      <c r="I197" s="441"/>
      <c r="J197" s="441"/>
      <c r="K197" s="441"/>
      <c r="L197" s="441"/>
      <c r="M197" s="441"/>
      <c r="N197" s="441"/>
      <c r="O197" s="441"/>
      <c r="P197" s="441"/>
      <c r="Q197" s="441"/>
      <c r="R197" s="441"/>
      <c r="S197" s="441"/>
      <c r="T197" s="441"/>
      <c r="U197" s="441"/>
      <c r="X197" s="338"/>
      <c r="Y197" s="338"/>
      <c r="Z197" s="338"/>
      <c r="AA197" s="338"/>
      <c r="AB197" s="338"/>
      <c r="AC197" s="338"/>
      <c r="AD197" s="338"/>
      <c r="AE197" s="338"/>
      <c r="AF197" s="338"/>
      <c r="AG197" s="339"/>
      <c r="AH197" s="339"/>
      <c r="AI197" s="339"/>
      <c r="AJ197" s="339"/>
      <c r="AK197" s="339"/>
      <c r="AL197" s="339"/>
      <c r="AM197" s="339"/>
      <c r="AN197" s="339"/>
      <c r="AO197" s="339"/>
      <c r="AP197" s="339"/>
      <c r="AQ197" s="339"/>
      <c r="AR197" s="339"/>
      <c r="AS197" s="339"/>
      <c r="AT197" s="339"/>
      <c r="AU197" s="339"/>
      <c r="AV197" s="339"/>
      <c r="AW197" s="339"/>
      <c r="BE197" s="340"/>
      <c r="BG197" s="341"/>
      <c r="BK197" s="342"/>
    </row>
    <row r="198" spans="1:63" ht="12" customHeight="1">
      <c r="A198" s="438"/>
      <c r="B198" s="439"/>
      <c r="C198" s="440"/>
      <c r="D198" s="336"/>
      <c r="E198" s="441"/>
      <c r="F198" s="441"/>
      <c r="G198" s="441"/>
      <c r="H198" s="441"/>
      <c r="I198" s="441"/>
      <c r="J198" s="441"/>
      <c r="K198" s="441"/>
      <c r="L198" s="441"/>
      <c r="M198" s="441"/>
      <c r="N198" s="441"/>
      <c r="O198" s="441"/>
      <c r="P198" s="441"/>
      <c r="Q198" s="441"/>
      <c r="R198" s="441"/>
      <c r="S198" s="441"/>
      <c r="T198" s="441"/>
      <c r="U198" s="441"/>
      <c r="X198" s="338"/>
      <c r="Y198" s="338"/>
      <c r="Z198" s="338"/>
      <c r="AA198" s="338"/>
      <c r="AB198" s="338"/>
      <c r="AC198" s="338"/>
      <c r="AD198" s="338"/>
      <c r="AE198" s="338"/>
      <c r="AF198" s="338"/>
      <c r="AG198" s="339"/>
      <c r="AH198" s="339"/>
      <c r="AI198" s="339"/>
      <c r="AJ198" s="339"/>
      <c r="AK198" s="339"/>
      <c r="AL198" s="339"/>
      <c r="AM198" s="339"/>
      <c r="AN198" s="339"/>
      <c r="AO198" s="339"/>
      <c r="AP198" s="339"/>
      <c r="AQ198" s="339"/>
      <c r="AR198" s="339"/>
      <c r="AS198" s="339"/>
      <c r="AT198" s="339"/>
      <c r="AU198" s="339"/>
      <c r="AV198" s="339"/>
      <c r="AW198" s="339"/>
      <c r="BC198" s="352"/>
      <c r="BE198" s="340"/>
      <c r="BG198" s="341"/>
      <c r="BK198" s="342"/>
    </row>
    <row r="199" spans="1:63" ht="12" customHeight="1">
      <c r="A199" s="398"/>
      <c r="B199" s="348"/>
      <c r="D199" s="336"/>
      <c r="E199" s="442"/>
      <c r="F199" s="442"/>
      <c r="G199" s="442"/>
      <c r="H199" s="442"/>
      <c r="I199" s="442"/>
      <c r="J199" s="442"/>
      <c r="K199" s="442"/>
      <c r="L199" s="442"/>
      <c r="M199" s="442"/>
      <c r="N199" s="442"/>
      <c r="O199" s="442"/>
      <c r="P199" s="442"/>
      <c r="Q199" s="442"/>
      <c r="R199" s="442"/>
      <c r="S199" s="442"/>
      <c r="T199" s="442"/>
      <c r="U199" s="442"/>
      <c r="X199" s="338"/>
      <c r="Y199" s="338"/>
      <c r="Z199" s="338"/>
      <c r="AA199" s="338"/>
      <c r="AB199" s="338"/>
      <c r="AC199" s="338"/>
      <c r="AD199" s="338"/>
      <c r="AE199" s="338"/>
      <c r="AF199" s="338"/>
      <c r="AG199" s="339"/>
      <c r="AH199" s="339"/>
      <c r="AI199" s="339"/>
      <c r="AJ199" s="339"/>
      <c r="AK199" s="339"/>
      <c r="AL199" s="339"/>
      <c r="AM199" s="339"/>
      <c r="AN199" s="339"/>
      <c r="AO199" s="339"/>
      <c r="AP199" s="339"/>
      <c r="AQ199" s="339"/>
      <c r="AR199" s="339"/>
      <c r="AS199" s="339"/>
      <c r="AT199" s="339"/>
      <c r="AU199" s="339"/>
      <c r="AV199" s="339"/>
      <c r="AW199" s="339"/>
      <c r="BC199" s="352"/>
      <c r="BE199" s="340"/>
      <c r="BG199" s="341"/>
      <c r="BK199" s="342"/>
    </row>
    <row r="200" spans="1:63" ht="12" customHeight="1">
      <c r="A200" s="398"/>
      <c r="B200" s="348"/>
      <c r="C200" s="348"/>
      <c r="D200" s="336"/>
      <c r="X200" s="338"/>
      <c r="Y200" s="338"/>
      <c r="Z200" s="338"/>
      <c r="AA200" s="338"/>
      <c r="AB200" s="338"/>
      <c r="AC200" s="338"/>
      <c r="AD200" s="338"/>
      <c r="AE200" s="338"/>
      <c r="AF200" s="338"/>
      <c r="AG200" s="339"/>
      <c r="AH200" s="339"/>
      <c r="AI200" s="339"/>
      <c r="AJ200" s="339"/>
      <c r="AK200" s="339"/>
      <c r="AL200" s="339"/>
      <c r="AM200" s="339"/>
      <c r="AN200" s="339"/>
      <c r="AO200" s="339"/>
      <c r="AP200" s="339"/>
      <c r="AQ200" s="339"/>
      <c r="AR200" s="339"/>
      <c r="AS200" s="339"/>
      <c r="AT200" s="339"/>
      <c r="AU200" s="339"/>
      <c r="AV200" s="339"/>
      <c r="AW200" s="339"/>
      <c r="BC200" s="352"/>
      <c r="BE200" s="340"/>
      <c r="BG200" s="341"/>
      <c r="BK200" s="342"/>
    </row>
    <row r="201" spans="1:63" ht="12" customHeight="1">
      <c r="A201" s="438"/>
      <c r="B201" s="439"/>
      <c r="C201" s="440"/>
      <c r="D201" s="336"/>
      <c r="E201" s="441"/>
      <c r="F201" s="441"/>
      <c r="G201" s="441"/>
      <c r="H201" s="441"/>
      <c r="I201" s="441"/>
      <c r="J201" s="441"/>
      <c r="K201" s="441"/>
      <c r="L201" s="441"/>
      <c r="M201" s="441"/>
      <c r="N201" s="441"/>
      <c r="O201" s="441"/>
      <c r="P201" s="441"/>
      <c r="Q201" s="441"/>
      <c r="R201" s="441"/>
      <c r="S201" s="441"/>
      <c r="T201" s="441"/>
      <c r="U201" s="441"/>
      <c r="X201" s="338"/>
      <c r="Y201" s="338"/>
      <c r="Z201" s="338"/>
      <c r="AA201" s="338"/>
      <c r="AB201" s="338"/>
      <c r="AC201" s="338"/>
      <c r="AD201" s="338"/>
      <c r="AE201" s="338"/>
      <c r="AF201" s="338"/>
      <c r="AG201" s="339"/>
      <c r="AH201" s="339"/>
      <c r="AI201" s="339"/>
      <c r="AJ201" s="339"/>
      <c r="AK201" s="339"/>
      <c r="AL201" s="339"/>
      <c r="AM201" s="339"/>
      <c r="AN201" s="339"/>
      <c r="AO201" s="339"/>
      <c r="AP201" s="339"/>
      <c r="AQ201" s="339"/>
      <c r="AR201" s="339"/>
      <c r="AS201" s="339"/>
      <c r="AT201" s="339"/>
      <c r="AU201" s="339"/>
      <c r="AV201" s="339"/>
      <c r="AW201" s="339"/>
      <c r="BC201" s="352"/>
      <c r="BE201" s="340"/>
      <c r="BG201" s="341"/>
      <c r="BK201" s="342"/>
    </row>
    <row r="202" spans="1:63" ht="12" customHeight="1">
      <c r="A202" s="422"/>
      <c r="B202" s="423"/>
      <c r="C202" s="423"/>
      <c r="D202" s="336"/>
      <c r="X202" s="338"/>
      <c r="Y202" s="338"/>
      <c r="Z202" s="338"/>
      <c r="AA202" s="338"/>
      <c r="AB202" s="338"/>
      <c r="AC202" s="338"/>
      <c r="AD202" s="338"/>
      <c r="AE202" s="338"/>
      <c r="AF202" s="338"/>
      <c r="AG202" s="339"/>
      <c r="AH202" s="339"/>
      <c r="AI202" s="339"/>
      <c r="AJ202" s="339"/>
      <c r="AK202" s="339"/>
      <c r="AL202" s="339"/>
      <c r="AM202" s="339"/>
      <c r="AN202" s="339"/>
      <c r="AO202" s="339"/>
      <c r="AP202" s="339"/>
      <c r="AQ202" s="339"/>
      <c r="AR202" s="339"/>
      <c r="AS202" s="339"/>
      <c r="AT202" s="339"/>
      <c r="AU202" s="339"/>
      <c r="AV202" s="339"/>
      <c r="AW202" s="339"/>
      <c r="BC202" s="352"/>
      <c r="BE202" s="340"/>
      <c r="BG202" s="341"/>
      <c r="BK202" s="342"/>
    </row>
    <row r="203" spans="1:63" ht="12" customHeight="1">
      <c r="A203" s="438"/>
      <c r="B203" s="439"/>
      <c r="C203" s="440"/>
      <c r="D203" s="336"/>
      <c r="E203" s="441"/>
      <c r="F203" s="441"/>
      <c r="G203" s="441"/>
      <c r="H203" s="441"/>
      <c r="I203" s="441"/>
      <c r="J203" s="441"/>
      <c r="K203" s="441"/>
      <c r="L203" s="441"/>
      <c r="M203" s="441"/>
      <c r="N203" s="441"/>
      <c r="O203" s="441"/>
      <c r="P203" s="441"/>
      <c r="Q203" s="441"/>
      <c r="R203" s="441"/>
      <c r="S203" s="441"/>
      <c r="T203" s="441"/>
      <c r="U203" s="441"/>
      <c r="X203" s="338"/>
      <c r="Y203" s="338"/>
      <c r="Z203" s="338"/>
      <c r="AA203" s="338"/>
      <c r="AB203" s="338"/>
      <c r="AC203" s="338"/>
      <c r="AD203" s="338"/>
      <c r="AE203" s="338"/>
      <c r="AF203" s="338"/>
      <c r="AG203" s="339"/>
      <c r="AH203" s="339"/>
      <c r="AI203" s="339"/>
      <c r="AJ203" s="339"/>
      <c r="AK203" s="339"/>
      <c r="AL203" s="339"/>
      <c r="AM203" s="339"/>
      <c r="AN203" s="339"/>
      <c r="AO203" s="339"/>
      <c r="AP203" s="339"/>
      <c r="AQ203" s="339"/>
      <c r="AR203" s="339"/>
      <c r="AS203" s="339"/>
      <c r="AT203" s="339"/>
      <c r="AU203" s="339"/>
      <c r="AV203" s="339"/>
      <c r="AW203" s="339"/>
      <c r="BC203" s="352"/>
      <c r="BE203" s="340"/>
      <c r="BG203" s="341"/>
      <c r="BK203" s="342"/>
    </row>
    <row r="204" spans="1:63" ht="12" customHeight="1">
      <c r="A204" s="438"/>
      <c r="B204" s="439"/>
      <c r="C204" s="440"/>
      <c r="D204" s="336"/>
      <c r="E204" s="441"/>
      <c r="F204" s="441"/>
      <c r="G204" s="441"/>
      <c r="H204" s="441"/>
      <c r="I204" s="441"/>
      <c r="J204" s="441"/>
      <c r="K204" s="441"/>
      <c r="L204" s="441"/>
      <c r="M204" s="441"/>
      <c r="N204" s="441"/>
      <c r="O204" s="441"/>
      <c r="P204" s="441"/>
      <c r="Q204" s="441"/>
      <c r="R204" s="441"/>
      <c r="S204" s="441"/>
      <c r="T204" s="441"/>
      <c r="U204" s="441"/>
      <c r="X204" s="338"/>
      <c r="Y204" s="338"/>
      <c r="Z204" s="338"/>
      <c r="AA204" s="338"/>
      <c r="AB204" s="338"/>
      <c r="AC204" s="338"/>
      <c r="AD204" s="338"/>
      <c r="AE204" s="338"/>
      <c r="AF204" s="338"/>
      <c r="AG204" s="339"/>
      <c r="AH204" s="339"/>
      <c r="AI204" s="339"/>
      <c r="AJ204" s="339"/>
      <c r="AK204" s="339"/>
      <c r="AL204" s="339"/>
      <c r="AM204" s="339"/>
      <c r="AN204" s="339"/>
      <c r="AO204" s="339"/>
      <c r="AP204" s="339"/>
      <c r="AQ204" s="339"/>
      <c r="AR204" s="339"/>
      <c r="AS204" s="339"/>
      <c r="AT204" s="339"/>
      <c r="AU204" s="339"/>
      <c r="AV204" s="339"/>
      <c r="AW204" s="339"/>
      <c r="BC204" s="352"/>
      <c r="BE204" s="340"/>
      <c r="BG204" s="341"/>
      <c r="BK204" s="342"/>
    </row>
    <row r="205" spans="1:63" ht="12" customHeight="1">
      <c r="A205" s="343"/>
      <c r="B205" s="420"/>
      <c r="C205" s="420"/>
      <c r="D205" s="336"/>
      <c r="E205" s="477"/>
      <c r="F205" s="477"/>
      <c r="G205" s="477"/>
      <c r="H205" s="477"/>
      <c r="I205" s="477"/>
      <c r="J205" s="477"/>
      <c r="K205" s="477"/>
      <c r="L205" s="477"/>
      <c r="M205" s="477"/>
      <c r="N205" s="477"/>
      <c r="O205" s="477"/>
      <c r="P205" s="477"/>
      <c r="Q205" s="477"/>
      <c r="R205" s="477"/>
      <c r="S205" s="477"/>
      <c r="T205" s="477"/>
      <c r="U205" s="477"/>
      <c r="X205" s="338"/>
      <c r="Y205" s="338"/>
      <c r="Z205" s="338"/>
      <c r="AA205" s="338"/>
      <c r="AB205" s="338"/>
      <c r="AC205" s="338"/>
      <c r="AD205" s="338"/>
      <c r="AE205" s="338"/>
      <c r="AF205" s="338"/>
      <c r="AG205" s="339"/>
      <c r="AH205" s="339"/>
      <c r="AI205" s="339"/>
      <c r="AJ205" s="339"/>
      <c r="AK205" s="339"/>
      <c r="AL205" s="339"/>
      <c r="AM205" s="339"/>
      <c r="AN205" s="339"/>
      <c r="AO205" s="339"/>
      <c r="AP205" s="339"/>
      <c r="AQ205" s="339"/>
      <c r="AR205" s="339"/>
      <c r="AS205" s="339"/>
      <c r="AT205" s="339"/>
      <c r="AU205" s="339"/>
      <c r="AV205" s="339"/>
      <c r="AW205" s="339"/>
      <c r="BC205" s="352"/>
      <c r="BE205" s="340"/>
      <c r="BG205" s="341"/>
      <c r="BK205" s="342"/>
    </row>
    <row r="206" spans="1:63" ht="12" customHeight="1">
      <c r="A206" s="343"/>
      <c r="B206" s="420"/>
      <c r="C206" s="420"/>
      <c r="D206" s="336"/>
      <c r="E206" s="477"/>
      <c r="F206" s="477"/>
      <c r="G206" s="477"/>
      <c r="H206" s="477"/>
      <c r="I206" s="477"/>
      <c r="J206" s="477"/>
      <c r="K206" s="477"/>
      <c r="L206" s="477"/>
      <c r="M206" s="477"/>
      <c r="N206" s="477"/>
      <c r="O206" s="477"/>
      <c r="P206" s="477"/>
      <c r="Q206" s="477"/>
      <c r="R206" s="477"/>
      <c r="S206" s="477"/>
      <c r="T206" s="477"/>
      <c r="U206" s="477"/>
      <c r="X206" s="338"/>
      <c r="Y206" s="338"/>
      <c r="Z206" s="338"/>
      <c r="AA206" s="338"/>
      <c r="AB206" s="338"/>
      <c r="AC206" s="338"/>
      <c r="AD206" s="338"/>
      <c r="AE206" s="338"/>
      <c r="AF206" s="338"/>
      <c r="AG206" s="339"/>
      <c r="AH206" s="339"/>
      <c r="AI206" s="339"/>
      <c r="AJ206" s="339"/>
      <c r="AK206" s="339"/>
      <c r="AL206" s="339"/>
      <c r="AM206" s="339"/>
      <c r="AN206" s="339"/>
      <c r="AO206" s="339"/>
      <c r="AP206" s="339"/>
      <c r="AQ206" s="339"/>
      <c r="AR206" s="339"/>
      <c r="AS206" s="339"/>
      <c r="AT206" s="339"/>
      <c r="AU206" s="339"/>
      <c r="AV206" s="339"/>
      <c r="AW206" s="339"/>
      <c r="BC206" s="352"/>
      <c r="BE206" s="340"/>
      <c r="BG206" s="341"/>
      <c r="BK206" s="342"/>
    </row>
    <row r="207" spans="1:63" ht="12" customHeight="1">
      <c r="A207" s="478"/>
      <c r="B207" s="479"/>
      <c r="C207" s="480"/>
      <c r="D207" s="336"/>
      <c r="E207" s="481"/>
      <c r="F207" s="481"/>
      <c r="G207" s="481"/>
      <c r="H207" s="481"/>
      <c r="I207" s="481"/>
      <c r="J207" s="481"/>
      <c r="K207" s="481"/>
      <c r="L207" s="481"/>
      <c r="M207" s="481"/>
      <c r="N207" s="481"/>
      <c r="O207" s="481"/>
      <c r="P207" s="481"/>
      <c r="Q207" s="481"/>
      <c r="R207" s="481"/>
      <c r="S207" s="481"/>
      <c r="T207" s="481"/>
      <c r="U207" s="481"/>
      <c r="X207" s="338"/>
      <c r="Y207" s="338"/>
      <c r="Z207" s="338"/>
      <c r="AA207" s="338"/>
      <c r="AB207" s="338"/>
      <c r="AC207" s="338"/>
      <c r="AD207" s="338"/>
      <c r="AE207" s="338"/>
      <c r="AF207" s="338"/>
      <c r="AG207" s="339"/>
      <c r="AH207" s="339"/>
      <c r="AI207" s="339"/>
      <c r="AJ207" s="339"/>
      <c r="AK207" s="339"/>
      <c r="AL207" s="339"/>
      <c r="AM207" s="339"/>
      <c r="AN207" s="339"/>
      <c r="AO207" s="339"/>
      <c r="AP207" s="339"/>
      <c r="AQ207" s="339"/>
      <c r="AR207" s="339"/>
      <c r="AS207" s="339"/>
      <c r="AT207" s="339"/>
      <c r="AU207" s="339"/>
      <c r="AV207" s="339"/>
      <c r="AW207" s="339"/>
      <c r="BC207" s="352"/>
      <c r="BE207" s="340"/>
      <c r="BG207" s="341"/>
      <c r="BK207" s="342"/>
    </row>
    <row r="208" spans="1:63" ht="12" customHeight="1">
      <c r="A208" s="438"/>
      <c r="B208" s="439"/>
      <c r="C208" s="440"/>
      <c r="D208" s="336"/>
      <c r="E208" s="440"/>
      <c r="F208" s="440"/>
      <c r="G208" s="440"/>
      <c r="H208" s="440"/>
      <c r="I208" s="440"/>
      <c r="J208" s="440"/>
      <c r="K208" s="440"/>
      <c r="L208" s="440"/>
      <c r="M208" s="440"/>
      <c r="N208" s="440"/>
      <c r="O208" s="440"/>
      <c r="P208" s="440"/>
      <c r="Q208" s="440"/>
      <c r="R208" s="440"/>
      <c r="S208" s="440"/>
      <c r="T208" s="440"/>
      <c r="U208" s="440"/>
      <c r="X208" s="338"/>
      <c r="Y208" s="338"/>
      <c r="Z208" s="338"/>
      <c r="AA208" s="338"/>
      <c r="AB208" s="338"/>
      <c r="AC208" s="338"/>
      <c r="AD208" s="338"/>
      <c r="AE208" s="338"/>
      <c r="AF208" s="338"/>
      <c r="AG208" s="339"/>
      <c r="AH208" s="339"/>
      <c r="AI208" s="339"/>
      <c r="AJ208" s="339"/>
      <c r="AK208" s="339"/>
      <c r="AL208" s="339"/>
      <c r="AM208" s="339"/>
      <c r="AN208" s="339"/>
      <c r="AO208" s="339"/>
      <c r="AP208" s="339"/>
      <c r="AQ208" s="339"/>
      <c r="AR208" s="339"/>
      <c r="AS208" s="339"/>
      <c r="AT208" s="339"/>
      <c r="AU208" s="339"/>
      <c r="AV208" s="339"/>
      <c r="AW208" s="339"/>
      <c r="BC208" s="352"/>
      <c r="BE208" s="340"/>
      <c r="BG208" s="341"/>
      <c r="BK208" s="342"/>
    </row>
    <row r="209" spans="1:65" ht="12" customHeight="1">
      <c r="A209" s="343"/>
      <c r="B209" s="347"/>
      <c r="D209" s="336"/>
      <c r="E209" s="347"/>
      <c r="F209" s="347"/>
      <c r="G209" s="347"/>
      <c r="H209" s="347"/>
      <c r="I209" s="347"/>
      <c r="J209" s="347"/>
      <c r="K209" s="347"/>
      <c r="L209" s="347"/>
      <c r="M209" s="347"/>
      <c r="N209" s="347"/>
      <c r="O209" s="347"/>
      <c r="P209" s="347"/>
      <c r="Q209" s="347"/>
      <c r="R209" s="347"/>
      <c r="S209" s="347"/>
      <c r="T209" s="347"/>
      <c r="U209" s="347"/>
      <c r="X209" s="338"/>
      <c r="Y209" s="338"/>
      <c r="Z209" s="338"/>
      <c r="AA209" s="338"/>
      <c r="AB209" s="338"/>
      <c r="AC209" s="338"/>
      <c r="AD209" s="338"/>
      <c r="AE209" s="338"/>
      <c r="AF209" s="338"/>
      <c r="AG209" s="339"/>
      <c r="AH209" s="339"/>
      <c r="AI209" s="339"/>
      <c r="AJ209" s="339"/>
      <c r="AK209" s="339"/>
      <c r="AL209" s="339"/>
      <c r="AM209" s="339"/>
      <c r="AN209" s="339"/>
      <c r="AO209" s="339"/>
      <c r="AP209" s="339"/>
      <c r="AQ209" s="339"/>
      <c r="AR209" s="339"/>
      <c r="AS209" s="339"/>
      <c r="AT209" s="339"/>
      <c r="AU209" s="339"/>
      <c r="AV209" s="339"/>
      <c r="AW209" s="339"/>
      <c r="BC209" s="352"/>
      <c r="BE209" s="340"/>
      <c r="BG209" s="341"/>
      <c r="BK209" s="342"/>
    </row>
    <row r="210" spans="1:65" ht="12" customHeight="1">
      <c r="A210" s="398"/>
      <c r="B210" s="482"/>
      <c r="D210" s="336"/>
      <c r="E210" s="482"/>
      <c r="F210" s="482"/>
      <c r="G210" s="482"/>
      <c r="H210" s="482"/>
      <c r="I210" s="482"/>
      <c r="J210" s="482"/>
      <c r="K210" s="482"/>
      <c r="L210" s="482"/>
      <c r="M210" s="482"/>
      <c r="N210" s="482"/>
      <c r="O210" s="482"/>
      <c r="P210" s="482"/>
      <c r="Q210" s="482"/>
      <c r="R210" s="482"/>
      <c r="S210" s="482"/>
      <c r="T210" s="482"/>
      <c r="U210" s="482"/>
      <c r="X210" s="338"/>
      <c r="Y210" s="338"/>
      <c r="Z210" s="338"/>
      <c r="AA210" s="338"/>
      <c r="AB210" s="338"/>
      <c r="AC210" s="338"/>
      <c r="AD210" s="338"/>
      <c r="AE210" s="338"/>
      <c r="AF210" s="338"/>
      <c r="AG210" s="339"/>
      <c r="AH210" s="339"/>
      <c r="AI210" s="339"/>
      <c r="AJ210" s="339"/>
      <c r="AK210" s="339"/>
      <c r="AL210" s="339"/>
      <c r="AM210" s="339"/>
      <c r="AN210" s="339"/>
      <c r="AO210" s="339"/>
      <c r="AP210" s="339"/>
      <c r="AQ210" s="339"/>
      <c r="AR210" s="339"/>
      <c r="AS210" s="339"/>
      <c r="AT210" s="339"/>
      <c r="AU210" s="339"/>
      <c r="AV210" s="339"/>
      <c r="AW210" s="339"/>
      <c r="BC210" s="352"/>
      <c r="BE210" s="340"/>
      <c r="BG210" s="341"/>
      <c r="BK210" s="342"/>
    </row>
    <row r="211" spans="1:65" ht="12" customHeight="1">
      <c r="A211" s="343"/>
      <c r="B211" s="420"/>
      <c r="C211" s="420"/>
      <c r="D211" s="336"/>
      <c r="E211" s="477"/>
      <c r="F211" s="477"/>
      <c r="G211" s="477"/>
      <c r="H211" s="477"/>
      <c r="I211" s="477"/>
      <c r="J211" s="477"/>
      <c r="K211" s="477"/>
      <c r="L211" s="477"/>
      <c r="M211" s="477"/>
      <c r="N211" s="477"/>
      <c r="O211" s="477"/>
      <c r="P211" s="477"/>
      <c r="Q211" s="477"/>
      <c r="R211" s="477"/>
      <c r="S211" s="477"/>
      <c r="T211" s="477"/>
      <c r="U211" s="477"/>
      <c r="X211" s="338"/>
      <c r="Y211" s="338"/>
      <c r="Z211" s="338"/>
      <c r="AA211" s="338"/>
      <c r="AB211" s="338"/>
      <c r="AC211" s="338"/>
      <c r="AD211" s="338"/>
      <c r="AE211" s="338"/>
      <c r="AF211" s="338"/>
      <c r="AG211" s="339"/>
      <c r="AH211" s="339"/>
      <c r="AI211" s="339"/>
      <c r="AJ211" s="339"/>
      <c r="AK211" s="339"/>
      <c r="AL211" s="339"/>
      <c r="AM211" s="339"/>
      <c r="AN211" s="339"/>
      <c r="AO211" s="339"/>
      <c r="AP211" s="339"/>
      <c r="AQ211" s="339"/>
      <c r="AR211" s="339"/>
      <c r="AS211" s="339"/>
      <c r="AT211" s="339"/>
      <c r="AU211" s="339"/>
      <c r="AV211" s="339"/>
      <c r="AW211" s="339"/>
      <c r="BC211" s="352"/>
      <c r="BE211" s="340"/>
      <c r="BG211" s="341"/>
      <c r="BK211" s="342"/>
    </row>
    <row r="212" spans="1:65" ht="12" customHeight="1">
      <c r="A212" s="343"/>
      <c r="B212" s="420"/>
      <c r="C212" s="420"/>
      <c r="D212" s="336"/>
      <c r="E212" s="477"/>
      <c r="F212" s="477"/>
      <c r="G212" s="477"/>
      <c r="H212" s="477"/>
      <c r="I212" s="477"/>
      <c r="J212" s="477"/>
      <c r="K212" s="477"/>
      <c r="L212" s="477"/>
      <c r="M212" s="477"/>
      <c r="N212" s="477"/>
      <c r="O212" s="477"/>
      <c r="P212" s="477"/>
      <c r="Q212" s="477"/>
      <c r="R212" s="477"/>
      <c r="S212" s="477"/>
      <c r="T212" s="477"/>
      <c r="U212" s="477"/>
      <c r="X212" s="338"/>
      <c r="Y212" s="338"/>
      <c r="Z212" s="338"/>
      <c r="AA212" s="338"/>
      <c r="AB212" s="338"/>
      <c r="AC212" s="338"/>
      <c r="AD212" s="338"/>
      <c r="AE212" s="338"/>
      <c r="AF212" s="338"/>
      <c r="AG212" s="339"/>
      <c r="AH212" s="339"/>
      <c r="AI212" s="339"/>
      <c r="AJ212" s="339"/>
      <c r="AK212" s="339"/>
      <c r="AL212" s="339"/>
      <c r="AM212" s="339"/>
      <c r="AN212" s="339"/>
      <c r="AO212" s="339"/>
      <c r="AP212" s="339"/>
      <c r="AQ212" s="339"/>
      <c r="AR212" s="339"/>
      <c r="AS212" s="339"/>
      <c r="AT212" s="339"/>
      <c r="AU212" s="339"/>
      <c r="AV212" s="339"/>
      <c r="AW212" s="339"/>
      <c r="BC212" s="483"/>
      <c r="BE212" s="340"/>
      <c r="BG212" s="341"/>
      <c r="BK212" s="342"/>
    </row>
    <row r="213" spans="1:65" ht="12" customHeight="1">
      <c r="A213" s="422"/>
      <c r="B213" s="432"/>
      <c r="C213" s="348"/>
      <c r="D213" s="336"/>
      <c r="X213" s="433"/>
      <c r="Y213" s="433"/>
      <c r="Z213" s="433"/>
      <c r="AA213" s="433"/>
      <c r="AB213" s="433"/>
      <c r="AC213" s="433"/>
      <c r="AD213" s="433"/>
      <c r="AE213" s="433"/>
      <c r="AF213" s="433"/>
      <c r="AG213" s="434"/>
      <c r="AH213" s="434"/>
      <c r="AI213" s="434"/>
      <c r="AJ213" s="434"/>
      <c r="AK213" s="434"/>
      <c r="AL213" s="434"/>
      <c r="AM213" s="434"/>
      <c r="AN213" s="434"/>
      <c r="AO213" s="434"/>
      <c r="AP213" s="434"/>
      <c r="AQ213" s="434"/>
      <c r="AR213" s="434"/>
      <c r="AS213" s="434"/>
      <c r="AT213" s="434"/>
      <c r="AU213" s="434"/>
      <c r="AV213" s="434"/>
      <c r="AW213" s="434"/>
      <c r="BD213" s="436"/>
      <c r="BE213" s="436"/>
      <c r="BG213" s="341"/>
      <c r="BH213" s="436"/>
      <c r="BI213" s="436"/>
      <c r="BK213" s="342"/>
      <c r="BL213" s="436"/>
      <c r="BM213" s="436"/>
    </row>
    <row r="214" spans="1:65" ht="12" customHeight="1">
      <c r="A214" s="422"/>
      <c r="B214" s="484"/>
      <c r="C214" s="432"/>
      <c r="D214" s="336"/>
      <c r="E214" s="389"/>
      <c r="F214" s="389"/>
      <c r="G214" s="389"/>
      <c r="H214" s="389"/>
      <c r="I214" s="389"/>
      <c r="J214" s="389"/>
      <c r="K214" s="389"/>
      <c r="L214" s="389"/>
      <c r="M214" s="389"/>
      <c r="N214" s="389"/>
      <c r="O214" s="389"/>
      <c r="P214" s="389"/>
      <c r="Q214" s="389"/>
      <c r="R214" s="389"/>
      <c r="S214" s="389"/>
      <c r="T214" s="389"/>
      <c r="U214" s="389"/>
      <c r="X214" s="338"/>
      <c r="Y214" s="338"/>
      <c r="Z214" s="338"/>
      <c r="AA214" s="338"/>
      <c r="AB214" s="338"/>
      <c r="AC214" s="338"/>
      <c r="AD214" s="338"/>
      <c r="AE214" s="338"/>
      <c r="AF214" s="338"/>
      <c r="AG214" s="339"/>
      <c r="AH214" s="339"/>
      <c r="AI214" s="339"/>
      <c r="AJ214" s="339"/>
      <c r="AK214" s="339"/>
      <c r="AL214" s="339"/>
      <c r="AM214" s="339"/>
      <c r="AN214" s="339"/>
      <c r="AO214" s="339"/>
      <c r="AP214" s="339"/>
      <c r="AQ214" s="339"/>
      <c r="AR214" s="339"/>
      <c r="AS214" s="339"/>
      <c r="AT214" s="339"/>
      <c r="AU214" s="339"/>
      <c r="AV214" s="339"/>
      <c r="AW214" s="339"/>
      <c r="BC214" s="485"/>
      <c r="BE214" s="340"/>
      <c r="BG214" s="341"/>
      <c r="BH214" s="340"/>
      <c r="BI214" s="340"/>
      <c r="BK214" s="342"/>
      <c r="BL214" s="340"/>
      <c r="BM214" s="340"/>
    </row>
    <row r="215" spans="1:65" ht="12" customHeight="1">
      <c r="A215" s="438"/>
      <c r="B215" s="439"/>
      <c r="D215" s="336"/>
      <c r="E215" s="440"/>
      <c r="F215" s="440"/>
      <c r="G215" s="440"/>
      <c r="H215" s="440"/>
      <c r="I215" s="440"/>
      <c r="J215" s="440"/>
      <c r="K215" s="440"/>
      <c r="L215" s="440"/>
      <c r="M215" s="440"/>
      <c r="N215" s="440"/>
      <c r="O215" s="440"/>
      <c r="P215" s="440"/>
      <c r="Q215" s="440"/>
      <c r="R215" s="440"/>
      <c r="S215" s="440"/>
      <c r="T215" s="440"/>
      <c r="U215" s="440"/>
      <c r="X215" s="338"/>
      <c r="Y215" s="338"/>
      <c r="Z215" s="338"/>
      <c r="AA215" s="338"/>
      <c r="AB215" s="338"/>
      <c r="AC215" s="338"/>
      <c r="AD215" s="338"/>
      <c r="AE215" s="338"/>
      <c r="AF215" s="338"/>
      <c r="AG215" s="339"/>
      <c r="AH215" s="339"/>
      <c r="AI215" s="339"/>
      <c r="AJ215" s="339"/>
      <c r="AK215" s="339"/>
      <c r="AL215" s="339"/>
      <c r="AM215" s="339"/>
      <c r="AN215" s="339"/>
      <c r="AO215" s="339"/>
      <c r="AP215" s="339"/>
      <c r="AQ215" s="339"/>
      <c r="AR215" s="339"/>
      <c r="AS215" s="339"/>
      <c r="AT215" s="339"/>
      <c r="AU215" s="339"/>
      <c r="AV215" s="339"/>
      <c r="AW215" s="339"/>
      <c r="BE215" s="340"/>
      <c r="BG215" s="341"/>
      <c r="BK215" s="342"/>
    </row>
    <row r="216" spans="1:65" ht="12" customHeight="1">
      <c r="A216" s="398"/>
      <c r="B216" s="348"/>
      <c r="C216" s="348"/>
      <c r="D216" s="336"/>
      <c r="W216" s="346"/>
      <c r="X216" s="338"/>
      <c r="Y216" s="338"/>
      <c r="Z216" s="338"/>
      <c r="AA216" s="338"/>
      <c r="AB216" s="338"/>
      <c r="AC216" s="338"/>
      <c r="AD216" s="338"/>
      <c r="AE216" s="338"/>
      <c r="AF216" s="338"/>
      <c r="AG216" s="339"/>
      <c r="AH216" s="339"/>
      <c r="AI216" s="339"/>
      <c r="AJ216" s="339"/>
      <c r="AK216" s="339"/>
      <c r="AL216" s="339"/>
      <c r="AM216" s="339"/>
      <c r="AN216" s="339"/>
      <c r="AO216" s="339"/>
      <c r="AP216" s="339"/>
      <c r="AQ216" s="339"/>
      <c r="AR216" s="339"/>
      <c r="AS216" s="339"/>
      <c r="AT216" s="339"/>
      <c r="AU216" s="339"/>
      <c r="AV216" s="339"/>
      <c r="AW216" s="339"/>
      <c r="BE216" s="340"/>
      <c r="BG216" s="341"/>
      <c r="BK216" s="342"/>
    </row>
    <row r="217" spans="1:65" ht="12" customHeight="1">
      <c r="A217" s="398"/>
      <c r="B217" s="423"/>
      <c r="D217" s="336"/>
      <c r="E217" s="482"/>
      <c r="F217" s="482"/>
      <c r="G217" s="482"/>
      <c r="H217" s="482"/>
      <c r="I217" s="482"/>
      <c r="J217" s="482"/>
      <c r="K217" s="482"/>
      <c r="L217" s="482"/>
      <c r="M217" s="482"/>
      <c r="N217" s="482"/>
      <c r="O217" s="482"/>
      <c r="P217" s="482"/>
      <c r="Q217" s="482"/>
      <c r="R217" s="482"/>
      <c r="S217" s="482"/>
      <c r="T217" s="482"/>
      <c r="U217" s="482"/>
      <c r="X217" s="338"/>
      <c r="Y217" s="338"/>
      <c r="Z217" s="338"/>
      <c r="AA217" s="338"/>
      <c r="AB217" s="338"/>
      <c r="AC217" s="338"/>
      <c r="AD217" s="338"/>
      <c r="AE217" s="338"/>
      <c r="AF217" s="338"/>
      <c r="AG217" s="339"/>
      <c r="AH217" s="339"/>
      <c r="AI217" s="339"/>
      <c r="AJ217" s="339"/>
      <c r="AK217" s="339"/>
      <c r="AL217" s="339"/>
      <c r="AM217" s="339"/>
      <c r="AN217" s="339"/>
      <c r="AO217" s="339"/>
      <c r="AP217" s="339"/>
      <c r="AQ217" s="339"/>
      <c r="AR217" s="339"/>
      <c r="AS217" s="339"/>
      <c r="AT217" s="339"/>
      <c r="AU217" s="339"/>
      <c r="AV217" s="339"/>
      <c r="AW217" s="339"/>
      <c r="BE217" s="340"/>
      <c r="BG217" s="341"/>
      <c r="BK217" s="342"/>
    </row>
    <row r="218" spans="1:65" ht="12" customHeight="1">
      <c r="A218" s="438"/>
      <c r="B218" s="439"/>
      <c r="C218" s="440"/>
      <c r="D218" s="336"/>
      <c r="E218" s="441"/>
      <c r="F218" s="441"/>
      <c r="G218" s="441"/>
      <c r="H218" s="441"/>
      <c r="I218" s="441"/>
      <c r="J218" s="441"/>
      <c r="K218" s="441"/>
      <c r="L218" s="441"/>
      <c r="M218" s="441"/>
      <c r="N218" s="441"/>
      <c r="O218" s="441"/>
      <c r="P218" s="441"/>
      <c r="Q218" s="441"/>
      <c r="R218" s="441"/>
      <c r="S218" s="441"/>
      <c r="T218" s="441"/>
      <c r="U218" s="441"/>
      <c r="X218" s="338"/>
      <c r="Y218" s="338"/>
      <c r="Z218" s="338"/>
      <c r="AA218" s="338"/>
      <c r="AB218" s="338"/>
      <c r="AC218" s="338"/>
      <c r="AD218" s="338"/>
      <c r="AE218" s="338"/>
      <c r="AF218" s="338"/>
      <c r="AG218" s="339"/>
      <c r="AH218" s="339"/>
      <c r="AI218" s="339"/>
      <c r="AJ218" s="339"/>
      <c r="AK218" s="339"/>
      <c r="AL218" s="339"/>
      <c r="AM218" s="339"/>
      <c r="AN218" s="339"/>
      <c r="AO218" s="339"/>
      <c r="AP218" s="339"/>
      <c r="AQ218" s="339"/>
      <c r="AR218" s="339"/>
      <c r="AS218" s="339"/>
      <c r="AT218" s="339"/>
      <c r="AU218" s="339"/>
      <c r="AV218" s="339"/>
      <c r="AW218" s="339"/>
      <c r="BC218" s="352"/>
      <c r="BE218" s="340"/>
      <c r="BG218" s="341"/>
      <c r="BK218" s="342"/>
    </row>
    <row r="219" spans="1:65" ht="12" customHeight="1">
      <c r="A219" s="438"/>
      <c r="B219" s="439"/>
      <c r="D219" s="336"/>
      <c r="E219" s="440"/>
      <c r="F219" s="440"/>
      <c r="G219" s="440"/>
      <c r="H219" s="440"/>
      <c r="I219" s="440"/>
      <c r="J219" s="440"/>
      <c r="K219" s="440"/>
      <c r="L219" s="440"/>
      <c r="M219" s="440"/>
      <c r="N219" s="440"/>
      <c r="O219" s="440"/>
      <c r="P219" s="440"/>
      <c r="Q219" s="440"/>
      <c r="R219" s="440"/>
      <c r="S219" s="440"/>
      <c r="T219" s="440"/>
      <c r="U219" s="440"/>
      <c r="X219" s="338"/>
      <c r="Y219" s="338"/>
      <c r="Z219" s="338"/>
      <c r="AA219" s="338"/>
      <c r="AB219" s="338"/>
      <c r="AC219" s="338"/>
      <c r="AD219" s="338"/>
      <c r="AE219" s="338"/>
      <c r="AF219" s="338"/>
      <c r="AG219" s="339"/>
      <c r="AH219" s="339"/>
      <c r="AI219" s="339"/>
      <c r="AJ219" s="339"/>
      <c r="AK219" s="339"/>
      <c r="AL219" s="339"/>
      <c r="AM219" s="339"/>
      <c r="AN219" s="339"/>
      <c r="AO219" s="339"/>
      <c r="AP219" s="339"/>
      <c r="AQ219" s="339"/>
      <c r="AR219" s="339"/>
      <c r="AS219" s="339"/>
      <c r="AT219" s="339"/>
      <c r="AU219" s="339"/>
      <c r="AV219" s="339"/>
      <c r="AW219" s="339"/>
      <c r="BC219" s="352"/>
      <c r="BE219" s="340"/>
      <c r="BG219" s="341"/>
      <c r="BH219" s="340"/>
      <c r="BI219" s="340"/>
      <c r="BK219" s="342"/>
      <c r="BL219" s="340"/>
      <c r="BM219" s="340"/>
    </row>
    <row r="220" spans="1:65" ht="12" customHeight="1">
      <c r="A220" s="398"/>
      <c r="B220" s="348"/>
      <c r="C220" s="348"/>
      <c r="D220" s="336"/>
      <c r="X220" s="338"/>
      <c r="Y220" s="338"/>
      <c r="Z220" s="338"/>
      <c r="AA220" s="338"/>
      <c r="AB220" s="338"/>
      <c r="AC220" s="338"/>
      <c r="AD220" s="338"/>
      <c r="AE220" s="338"/>
      <c r="AF220" s="338"/>
      <c r="AG220" s="339"/>
      <c r="AH220" s="339"/>
      <c r="AI220" s="339"/>
      <c r="AJ220" s="339"/>
      <c r="AK220" s="339"/>
      <c r="AL220" s="339"/>
      <c r="AM220" s="339"/>
      <c r="AN220" s="339"/>
      <c r="AO220" s="339"/>
      <c r="AP220" s="339"/>
      <c r="AQ220" s="339"/>
      <c r="AR220" s="339"/>
      <c r="AS220" s="339"/>
      <c r="AT220" s="339"/>
      <c r="AU220" s="339"/>
      <c r="AV220" s="486"/>
      <c r="AW220" s="486"/>
      <c r="BC220" s="352"/>
      <c r="BE220" s="340"/>
      <c r="BG220" s="341"/>
      <c r="BK220" s="342"/>
    </row>
    <row r="221" spans="1:65" ht="12" customHeight="1">
      <c r="A221" s="398"/>
      <c r="B221" s="348"/>
      <c r="C221" s="348"/>
      <c r="D221" s="336"/>
      <c r="X221" s="338"/>
      <c r="Y221" s="338"/>
      <c r="Z221" s="338"/>
      <c r="AA221" s="338"/>
      <c r="AB221" s="338"/>
      <c r="AC221" s="338"/>
      <c r="AD221" s="338"/>
      <c r="AE221" s="338"/>
      <c r="AF221" s="338"/>
      <c r="AG221" s="339"/>
      <c r="AH221" s="339"/>
      <c r="AI221" s="339"/>
      <c r="AJ221" s="339"/>
      <c r="AK221" s="339"/>
      <c r="AL221" s="339"/>
      <c r="AM221" s="339"/>
      <c r="AN221" s="339"/>
      <c r="AO221" s="339"/>
      <c r="AP221" s="339"/>
      <c r="AQ221" s="339"/>
      <c r="AR221" s="339"/>
      <c r="AS221" s="339"/>
      <c r="AT221" s="339"/>
      <c r="AU221" s="339"/>
      <c r="AV221" s="486"/>
      <c r="AW221" s="486"/>
      <c r="BC221" s="352"/>
      <c r="BE221" s="340"/>
      <c r="BG221" s="341"/>
      <c r="BK221" s="342"/>
    </row>
    <row r="222" spans="1:65" ht="12" customHeight="1">
      <c r="A222" s="398"/>
      <c r="B222" s="348"/>
      <c r="C222" s="348"/>
      <c r="D222" s="336"/>
      <c r="X222" s="338"/>
      <c r="Y222" s="338"/>
      <c r="Z222" s="338"/>
      <c r="AA222" s="338"/>
      <c r="AB222" s="338"/>
      <c r="AC222" s="338"/>
      <c r="AD222" s="338"/>
      <c r="AE222" s="338"/>
      <c r="AF222" s="338"/>
      <c r="AG222" s="339"/>
      <c r="AH222" s="339"/>
      <c r="AI222" s="339"/>
      <c r="AJ222" s="339"/>
      <c r="AK222" s="339"/>
      <c r="AL222" s="339"/>
      <c r="AM222" s="339"/>
      <c r="AN222" s="339"/>
      <c r="AO222" s="339"/>
      <c r="AP222" s="339"/>
      <c r="AQ222" s="339"/>
      <c r="AR222" s="339"/>
      <c r="AS222" s="339"/>
      <c r="AT222" s="339"/>
      <c r="AU222" s="339"/>
      <c r="AV222" s="486"/>
      <c r="AW222" s="486"/>
      <c r="BC222" s="352"/>
      <c r="BE222" s="340"/>
      <c r="BG222" s="341"/>
      <c r="BK222" s="342"/>
    </row>
    <row r="223" spans="1:65" ht="12" customHeight="1">
      <c r="A223" s="398"/>
      <c r="B223" s="348"/>
      <c r="C223" s="348"/>
      <c r="D223" s="336"/>
      <c r="X223" s="338"/>
      <c r="Y223" s="338"/>
      <c r="Z223" s="338"/>
      <c r="AA223" s="338"/>
      <c r="AB223" s="338"/>
      <c r="AC223" s="338"/>
      <c r="AD223" s="338"/>
      <c r="AE223" s="338"/>
      <c r="AF223" s="338"/>
      <c r="AG223" s="339"/>
      <c r="AH223" s="339"/>
      <c r="AI223" s="339"/>
      <c r="AJ223" s="339"/>
      <c r="AK223" s="339"/>
      <c r="AL223" s="339"/>
      <c r="AM223" s="339"/>
      <c r="AN223" s="339"/>
      <c r="AO223" s="339"/>
      <c r="AP223" s="339"/>
      <c r="AQ223" s="339"/>
      <c r="AR223" s="339"/>
      <c r="AS223" s="339"/>
      <c r="AT223" s="339"/>
      <c r="AU223" s="339"/>
      <c r="AV223" s="486"/>
      <c r="AW223" s="486"/>
      <c r="BC223" s="352"/>
      <c r="BE223" s="340"/>
      <c r="BG223" s="341"/>
      <c r="BK223" s="342"/>
    </row>
    <row r="224" spans="1:65" ht="12" customHeight="1">
      <c r="A224" s="398"/>
      <c r="B224" s="348"/>
      <c r="C224" s="348"/>
      <c r="D224" s="336"/>
      <c r="X224" s="338"/>
      <c r="Y224" s="338"/>
      <c r="Z224" s="338"/>
      <c r="AA224" s="338"/>
      <c r="AB224" s="338"/>
      <c r="AC224" s="338"/>
      <c r="AD224" s="338"/>
      <c r="AE224" s="338"/>
      <c r="AF224" s="338"/>
      <c r="AG224" s="339"/>
      <c r="AH224" s="339"/>
      <c r="AI224" s="339"/>
      <c r="AJ224" s="339"/>
      <c r="AK224" s="339"/>
      <c r="AL224" s="339"/>
      <c r="AM224" s="339"/>
      <c r="AN224" s="339"/>
      <c r="AO224" s="339"/>
      <c r="AP224" s="339"/>
      <c r="AQ224" s="339"/>
      <c r="AR224" s="339"/>
      <c r="AS224" s="339"/>
      <c r="AT224" s="339"/>
      <c r="AU224" s="339"/>
      <c r="AV224" s="486"/>
      <c r="AW224" s="486"/>
      <c r="BC224" s="352"/>
      <c r="BE224" s="340"/>
      <c r="BG224" s="341"/>
      <c r="BK224" s="342"/>
    </row>
    <row r="225" spans="1:65" ht="12" customHeight="1">
      <c r="A225" s="398"/>
      <c r="B225" s="348"/>
      <c r="C225" s="348"/>
      <c r="D225" s="336"/>
      <c r="X225" s="338"/>
      <c r="Y225" s="338"/>
      <c r="Z225" s="338"/>
      <c r="AA225" s="338"/>
      <c r="AB225" s="338"/>
      <c r="AC225" s="338"/>
      <c r="AD225" s="338"/>
      <c r="AE225" s="338"/>
      <c r="AF225" s="338"/>
      <c r="AG225" s="339"/>
      <c r="AH225" s="339"/>
      <c r="AI225" s="339"/>
      <c r="AJ225" s="339"/>
      <c r="AK225" s="339"/>
      <c r="AL225" s="339"/>
      <c r="AM225" s="339"/>
      <c r="AN225" s="339"/>
      <c r="AO225" s="339"/>
      <c r="AP225" s="339"/>
      <c r="AQ225" s="339"/>
      <c r="AR225" s="339"/>
      <c r="AS225" s="339"/>
      <c r="AT225" s="339"/>
      <c r="AU225" s="339"/>
      <c r="AV225" s="486"/>
      <c r="AW225" s="486"/>
      <c r="BC225" s="352"/>
      <c r="BE225" s="340"/>
      <c r="BG225" s="341"/>
      <c r="BK225" s="342"/>
    </row>
    <row r="226" spans="1:65" ht="12" customHeight="1">
      <c r="A226" s="398"/>
      <c r="B226" s="348"/>
      <c r="C226" s="348"/>
      <c r="D226" s="336"/>
      <c r="X226" s="338"/>
      <c r="Y226" s="338"/>
      <c r="Z226" s="338"/>
      <c r="AA226" s="338"/>
      <c r="AB226" s="338"/>
      <c r="AC226" s="338"/>
      <c r="AD226" s="338"/>
      <c r="AE226" s="338"/>
      <c r="AF226" s="338"/>
      <c r="AG226" s="339"/>
      <c r="AH226" s="339"/>
      <c r="AI226" s="339"/>
      <c r="AJ226" s="339"/>
      <c r="AK226" s="339"/>
      <c r="AL226" s="339"/>
      <c r="AM226" s="339"/>
      <c r="AN226" s="339"/>
      <c r="AO226" s="339"/>
      <c r="AP226" s="339"/>
      <c r="AQ226" s="339"/>
      <c r="AR226" s="339"/>
      <c r="AS226" s="339"/>
      <c r="AT226" s="339"/>
      <c r="AU226" s="339"/>
      <c r="AV226" s="486"/>
      <c r="AW226" s="486"/>
      <c r="BC226" s="352"/>
      <c r="BE226" s="340"/>
      <c r="BG226" s="341"/>
      <c r="BK226" s="342"/>
    </row>
    <row r="227" spans="1:65" ht="12" customHeight="1">
      <c r="A227" s="398"/>
      <c r="B227" s="348"/>
      <c r="C227" s="348"/>
      <c r="D227" s="336"/>
      <c r="X227" s="338"/>
      <c r="Y227" s="338"/>
      <c r="Z227" s="338"/>
      <c r="AA227" s="338"/>
      <c r="AB227" s="338"/>
      <c r="AC227" s="338"/>
      <c r="AD227" s="338"/>
      <c r="AE227" s="338"/>
      <c r="AF227" s="338"/>
      <c r="AG227" s="339"/>
      <c r="AH227" s="339"/>
      <c r="AI227" s="339"/>
      <c r="AJ227" s="339"/>
      <c r="AK227" s="339"/>
      <c r="AL227" s="339"/>
      <c r="AM227" s="339"/>
      <c r="AN227" s="339"/>
      <c r="AO227" s="339"/>
      <c r="AP227" s="339"/>
      <c r="AQ227" s="339"/>
      <c r="AR227" s="339"/>
      <c r="AS227" s="339"/>
      <c r="AT227" s="339"/>
      <c r="AU227" s="339"/>
      <c r="AV227" s="486"/>
      <c r="AW227" s="486"/>
      <c r="BC227" s="352"/>
      <c r="BE227" s="340"/>
      <c r="BG227" s="341"/>
      <c r="BK227" s="342"/>
    </row>
    <row r="228" spans="1:65" ht="12" customHeight="1">
      <c r="A228" s="398"/>
      <c r="B228" s="348"/>
      <c r="C228" s="348"/>
      <c r="D228" s="336"/>
      <c r="X228" s="338"/>
      <c r="Y228" s="338"/>
      <c r="Z228" s="338"/>
      <c r="AA228" s="338"/>
      <c r="AB228" s="338"/>
      <c r="AC228" s="338"/>
      <c r="AD228" s="338"/>
      <c r="AE228" s="338"/>
      <c r="AF228" s="338"/>
      <c r="AG228" s="339"/>
      <c r="AH228" s="339"/>
      <c r="AI228" s="339"/>
      <c r="AJ228" s="339"/>
      <c r="AK228" s="339"/>
      <c r="AL228" s="339"/>
      <c r="AM228" s="339"/>
      <c r="AN228" s="339"/>
      <c r="AO228" s="339"/>
      <c r="AP228" s="339"/>
      <c r="AQ228" s="339"/>
      <c r="AR228" s="339"/>
      <c r="AS228" s="339"/>
      <c r="AT228" s="339"/>
      <c r="AU228" s="339"/>
      <c r="AV228" s="486"/>
      <c r="AW228" s="486"/>
      <c r="BC228" s="352"/>
      <c r="BE228" s="340"/>
      <c r="BG228" s="341"/>
      <c r="BK228" s="342"/>
    </row>
    <row r="229" spans="1:65" ht="12" customHeight="1">
      <c r="A229" s="398"/>
      <c r="B229" s="348"/>
      <c r="C229" s="348"/>
      <c r="D229" s="336"/>
      <c r="X229" s="338"/>
      <c r="Y229" s="338"/>
      <c r="Z229" s="338"/>
      <c r="AA229" s="338"/>
      <c r="AB229" s="338"/>
      <c r="AC229" s="338"/>
      <c r="AD229" s="338"/>
      <c r="AE229" s="338"/>
      <c r="AF229" s="338"/>
      <c r="AG229" s="339"/>
      <c r="AH229" s="339"/>
      <c r="AI229" s="339"/>
      <c r="AJ229" s="339"/>
      <c r="AK229" s="339"/>
      <c r="AL229" s="339"/>
      <c r="AM229" s="339"/>
      <c r="AN229" s="339"/>
      <c r="AO229" s="339"/>
      <c r="AP229" s="339"/>
      <c r="AQ229" s="339"/>
      <c r="AR229" s="339"/>
      <c r="AS229" s="339"/>
      <c r="AT229" s="339"/>
      <c r="AU229" s="339"/>
      <c r="AV229" s="414"/>
      <c r="AW229" s="414"/>
      <c r="BC229" s="352"/>
      <c r="BE229" s="340"/>
      <c r="BG229" s="341"/>
      <c r="BK229" s="342"/>
    </row>
    <row r="230" spans="1:65" ht="12" customHeight="1">
      <c r="A230" s="398"/>
      <c r="B230" s="348"/>
      <c r="C230" s="348"/>
      <c r="D230" s="336"/>
      <c r="X230" s="338"/>
      <c r="Y230" s="338"/>
      <c r="Z230" s="338"/>
      <c r="AA230" s="338"/>
      <c r="AB230" s="338"/>
      <c r="AC230" s="338"/>
      <c r="AD230" s="338"/>
      <c r="AE230" s="338"/>
      <c r="AF230" s="338"/>
      <c r="AG230" s="339"/>
      <c r="AH230" s="339"/>
      <c r="AI230" s="339"/>
      <c r="AJ230" s="339"/>
      <c r="AK230" s="339"/>
      <c r="AL230" s="339"/>
      <c r="AM230" s="339"/>
      <c r="AN230" s="339"/>
      <c r="AO230" s="339"/>
      <c r="AP230" s="339"/>
      <c r="AQ230" s="339"/>
      <c r="AR230" s="339"/>
      <c r="AS230" s="339"/>
      <c r="AT230" s="339"/>
      <c r="AU230" s="339"/>
      <c r="AV230" s="414"/>
      <c r="AW230" s="414"/>
      <c r="BC230" s="352"/>
      <c r="BE230" s="340"/>
      <c r="BG230" s="341"/>
      <c r="BK230" s="342"/>
    </row>
    <row r="231" spans="1:65" ht="12" customHeight="1">
      <c r="A231" s="411"/>
      <c r="B231" s="426"/>
      <c r="C231" s="426"/>
      <c r="D231" s="336"/>
      <c r="E231" s="415"/>
      <c r="F231" s="415"/>
      <c r="G231" s="415"/>
      <c r="H231" s="415"/>
      <c r="I231" s="415"/>
      <c r="J231" s="415"/>
      <c r="K231" s="415"/>
      <c r="L231" s="415"/>
      <c r="M231" s="415"/>
      <c r="N231" s="415"/>
      <c r="O231" s="415"/>
      <c r="P231" s="415"/>
      <c r="Q231" s="415"/>
      <c r="R231" s="415"/>
      <c r="S231" s="415"/>
      <c r="T231" s="415"/>
      <c r="U231" s="415"/>
      <c r="V231" s="412"/>
      <c r="W231" s="412"/>
      <c r="X231" s="413"/>
      <c r="Y231" s="413"/>
      <c r="Z231" s="413"/>
      <c r="AA231" s="413"/>
      <c r="AB231" s="413"/>
      <c r="AC231" s="413"/>
      <c r="AD231" s="413"/>
      <c r="AE231" s="413"/>
      <c r="AF231" s="413"/>
      <c r="AG231" s="414"/>
      <c r="AH231" s="414"/>
      <c r="AI231" s="414"/>
      <c r="AJ231" s="414"/>
      <c r="AK231" s="414"/>
      <c r="AL231" s="414"/>
      <c r="AM231" s="414"/>
      <c r="AN231" s="414"/>
      <c r="AO231" s="414"/>
      <c r="AP231" s="414"/>
      <c r="AQ231" s="414"/>
      <c r="AR231" s="414"/>
      <c r="AS231" s="414"/>
      <c r="AT231" s="414"/>
      <c r="AU231" s="414"/>
      <c r="AV231" s="414"/>
      <c r="AW231" s="414"/>
      <c r="AX231" s="415"/>
      <c r="AY231" s="415"/>
      <c r="AZ231" s="415"/>
      <c r="BA231" s="415"/>
      <c r="BB231" s="415"/>
      <c r="BC231" s="416"/>
      <c r="BD231" s="412"/>
      <c r="BE231" s="417"/>
      <c r="BG231" s="418"/>
      <c r="BH231" s="412"/>
      <c r="BI231" s="412"/>
      <c r="BK231" s="415"/>
      <c r="BL231" s="419"/>
      <c r="BM231" s="419"/>
    </row>
    <row r="232" spans="1:65" ht="12" customHeight="1">
      <c r="A232" s="411"/>
      <c r="B232" s="426"/>
      <c r="C232" s="426"/>
      <c r="D232" s="336"/>
      <c r="E232" s="415"/>
      <c r="F232" s="415"/>
      <c r="G232" s="415"/>
      <c r="H232" s="415"/>
      <c r="I232" s="415"/>
      <c r="J232" s="415"/>
      <c r="K232" s="415"/>
      <c r="L232" s="415"/>
      <c r="M232" s="415"/>
      <c r="N232" s="415"/>
      <c r="O232" s="415"/>
      <c r="P232" s="415"/>
      <c r="Q232" s="415"/>
      <c r="R232" s="415"/>
      <c r="S232" s="415"/>
      <c r="T232" s="415"/>
      <c r="U232" s="415"/>
      <c r="V232" s="412"/>
      <c r="W232" s="412"/>
      <c r="X232" s="413"/>
      <c r="Y232" s="413"/>
      <c r="Z232" s="413"/>
      <c r="AA232" s="413"/>
      <c r="AB232" s="413"/>
      <c r="AC232" s="413"/>
      <c r="AD232" s="413"/>
      <c r="AE232" s="413"/>
      <c r="AF232" s="413"/>
      <c r="AG232" s="414"/>
      <c r="AH232" s="414"/>
      <c r="AI232" s="414"/>
      <c r="AJ232" s="414"/>
      <c r="AK232" s="414"/>
      <c r="AL232" s="414"/>
      <c r="AM232" s="414"/>
      <c r="AN232" s="414"/>
      <c r="AO232" s="414"/>
      <c r="AP232" s="414"/>
      <c r="AQ232" s="414"/>
      <c r="AR232" s="414"/>
      <c r="AS232" s="414"/>
      <c r="AT232" s="414"/>
      <c r="AU232" s="414"/>
      <c r="AV232" s="414"/>
      <c r="AW232" s="414"/>
      <c r="AX232" s="415"/>
      <c r="AY232" s="415"/>
      <c r="AZ232" s="415"/>
      <c r="BA232" s="415"/>
      <c r="BB232" s="415"/>
      <c r="BC232" s="416"/>
      <c r="BD232" s="412"/>
      <c r="BE232" s="417"/>
      <c r="BG232" s="418"/>
      <c r="BH232" s="412"/>
      <c r="BI232" s="412"/>
      <c r="BK232" s="415"/>
      <c r="BL232" s="419"/>
      <c r="BM232" s="419"/>
    </row>
    <row r="233" spans="1:65" ht="12" customHeight="1">
      <c r="A233" s="411"/>
      <c r="B233" s="426"/>
      <c r="C233" s="426"/>
      <c r="D233" s="336"/>
      <c r="E233" s="415"/>
      <c r="F233" s="415"/>
      <c r="G233" s="415"/>
      <c r="H233" s="415"/>
      <c r="I233" s="415"/>
      <c r="J233" s="415"/>
      <c r="K233" s="415"/>
      <c r="L233" s="415"/>
      <c r="M233" s="415"/>
      <c r="N233" s="415"/>
      <c r="O233" s="415"/>
      <c r="P233" s="415"/>
      <c r="Q233" s="415"/>
      <c r="R233" s="415"/>
      <c r="S233" s="415"/>
      <c r="T233" s="415"/>
      <c r="U233" s="415"/>
      <c r="V233" s="412"/>
      <c r="W233" s="412"/>
      <c r="X233" s="413"/>
      <c r="Y233" s="413"/>
      <c r="Z233" s="413"/>
      <c r="AA233" s="413"/>
      <c r="AB233" s="413"/>
      <c r="AC233" s="413"/>
      <c r="AD233" s="413"/>
      <c r="AE233" s="413"/>
      <c r="AF233" s="413"/>
      <c r="AG233" s="414"/>
      <c r="AH233" s="414"/>
      <c r="AI233" s="414"/>
      <c r="AJ233" s="414"/>
      <c r="AK233" s="414"/>
      <c r="AL233" s="414"/>
      <c r="AM233" s="414"/>
      <c r="AN233" s="414"/>
      <c r="AO233" s="414"/>
      <c r="AP233" s="414"/>
      <c r="AQ233" s="414"/>
      <c r="AR233" s="414"/>
      <c r="AS233" s="414"/>
      <c r="AT233" s="414"/>
      <c r="AU233" s="414"/>
      <c r="AV233" s="414"/>
      <c r="AW233" s="414"/>
      <c r="AX233" s="415"/>
      <c r="AY233" s="415"/>
      <c r="AZ233" s="415"/>
      <c r="BA233" s="415"/>
      <c r="BB233" s="415"/>
      <c r="BC233" s="416"/>
      <c r="BD233" s="412"/>
      <c r="BE233" s="417"/>
      <c r="BG233" s="418"/>
      <c r="BH233" s="412"/>
      <c r="BI233" s="412"/>
      <c r="BK233" s="415"/>
      <c r="BL233" s="419"/>
      <c r="BM233" s="419"/>
    </row>
    <row r="234" spans="1:65" ht="12" customHeight="1">
      <c r="A234" s="411"/>
      <c r="B234" s="426"/>
      <c r="C234" s="426"/>
      <c r="D234" s="336"/>
      <c r="E234" s="415"/>
      <c r="F234" s="415"/>
      <c r="G234" s="415"/>
      <c r="H234" s="415"/>
      <c r="I234" s="415"/>
      <c r="J234" s="415"/>
      <c r="K234" s="415"/>
      <c r="L234" s="415"/>
      <c r="M234" s="415"/>
      <c r="N234" s="415"/>
      <c r="O234" s="415"/>
      <c r="P234" s="415"/>
      <c r="Q234" s="415"/>
      <c r="R234" s="415"/>
      <c r="S234" s="415"/>
      <c r="T234" s="415"/>
      <c r="U234" s="415"/>
      <c r="V234" s="412"/>
      <c r="W234" s="412"/>
      <c r="X234" s="413"/>
      <c r="Y234" s="413"/>
      <c r="Z234" s="413"/>
      <c r="AA234" s="413"/>
      <c r="AB234" s="413"/>
      <c r="AC234" s="413"/>
      <c r="AD234" s="413"/>
      <c r="AE234" s="413"/>
      <c r="AF234" s="413"/>
      <c r="AG234" s="414"/>
      <c r="AH234" s="414"/>
      <c r="AI234" s="414"/>
      <c r="AJ234" s="414"/>
      <c r="AK234" s="414"/>
      <c r="AL234" s="414"/>
      <c r="AM234" s="414"/>
      <c r="AN234" s="414"/>
      <c r="AO234" s="414"/>
      <c r="AP234" s="414"/>
      <c r="AQ234" s="414"/>
      <c r="AR234" s="414"/>
      <c r="AS234" s="414"/>
      <c r="AT234" s="414"/>
      <c r="AU234" s="414"/>
      <c r="AV234" s="414"/>
      <c r="AW234" s="414"/>
      <c r="AX234" s="415"/>
      <c r="AY234" s="415"/>
      <c r="AZ234" s="415"/>
      <c r="BA234" s="415"/>
      <c r="BB234" s="415"/>
      <c r="BC234" s="416"/>
      <c r="BD234" s="412"/>
      <c r="BE234" s="417"/>
      <c r="BG234" s="418"/>
      <c r="BH234" s="412"/>
      <c r="BI234" s="412"/>
      <c r="BK234" s="415"/>
      <c r="BL234" s="419"/>
      <c r="BM234" s="419"/>
    </row>
    <row r="235" spans="1:65" ht="12" customHeight="1">
      <c r="A235" s="422"/>
      <c r="B235" s="348"/>
      <c r="C235" s="432"/>
      <c r="D235" s="336"/>
      <c r="X235" s="338"/>
      <c r="Y235" s="338"/>
      <c r="Z235" s="338"/>
      <c r="AA235" s="338"/>
      <c r="AB235" s="338"/>
      <c r="AC235" s="338"/>
      <c r="AD235" s="338"/>
      <c r="AE235" s="338"/>
      <c r="AF235" s="338"/>
      <c r="AG235" s="339"/>
      <c r="AH235" s="339"/>
      <c r="AI235" s="339"/>
      <c r="AJ235" s="339"/>
      <c r="AK235" s="339"/>
      <c r="AL235" s="339"/>
      <c r="AM235" s="339"/>
      <c r="AN235" s="339"/>
      <c r="AO235" s="339"/>
      <c r="AP235" s="339"/>
      <c r="AQ235" s="339"/>
      <c r="AR235" s="339"/>
      <c r="AS235" s="339"/>
      <c r="AT235" s="339"/>
      <c r="AU235" s="339"/>
      <c r="AV235" s="339"/>
      <c r="AW235" s="339"/>
      <c r="BC235" s="352"/>
      <c r="BD235" s="340"/>
      <c r="BE235" s="340"/>
      <c r="BG235" s="341"/>
      <c r="BH235" s="340"/>
      <c r="BI235" s="340"/>
      <c r="BK235" s="342"/>
      <c r="BL235" s="340"/>
      <c r="BM235" s="340"/>
    </row>
    <row r="236" spans="1:65" ht="12" customHeight="1">
      <c r="A236" s="398"/>
      <c r="B236" s="348"/>
      <c r="C236" s="348"/>
      <c r="D236" s="336"/>
      <c r="X236" s="487"/>
      <c r="Y236" s="487"/>
      <c r="Z236" s="487"/>
      <c r="AA236" s="487"/>
      <c r="AB236" s="487"/>
      <c r="AC236" s="487"/>
      <c r="AD236" s="487"/>
      <c r="AE236" s="487"/>
      <c r="AF236" s="487"/>
      <c r="AG236" s="488"/>
      <c r="AH236" s="489"/>
      <c r="AI236" s="489"/>
      <c r="AJ236" s="489"/>
      <c r="AK236" s="489"/>
      <c r="AL236" s="489"/>
      <c r="AM236" s="489"/>
      <c r="AN236" s="489"/>
      <c r="AO236" s="489"/>
      <c r="AP236" s="489"/>
      <c r="AQ236" s="489"/>
      <c r="AR236" s="489"/>
      <c r="AS236" s="489"/>
      <c r="AT236" s="489"/>
      <c r="AU236" s="489"/>
      <c r="AV236" s="486"/>
      <c r="AW236" s="486"/>
      <c r="BC236" s="352"/>
      <c r="BE236" s="340"/>
      <c r="BG236" s="341"/>
      <c r="BK236" s="342"/>
    </row>
    <row r="237" spans="1:65" ht="12" customHeight="1">
      <c r="A237" s="398"/>
      <c r="B237" s="348"/>
      <c r="C237" s="348"/>
      <c r="D237" s="336"/>
      <c r="X237" s="338"/>
      <c r="Y237" s="338"/>
      <c r="Z237" s="338"/>
      <c r="AA237" s="338"/>
      <c r="AB237" s="338"/>
      <c r="AC237" s="338"/>
      <c r="AD237" s="338"/>
      <c r="AE237" s="338"/>
      <c r="AF237" s="338"/>
      <c r="AG237" s="339"/>
      <c r="AH237" s="339"/>
      <c r="AI237" s="339"/>
      <c r="AJ237" s="339"/>
      <c r="AK237" s="339"/>
      <c r="AL237" s="339"/>
      <c r="AM237" s="339"/>
      <c r="AN237" s="339"/>
      <c r="AO237" s="339"/>
      <c r="AP237" s="339"/>
      <c r="AQ237" s="339"/>
      <c r="AR237" s="339"/>
      <c r="AS237" s="339"/>
      <c r="AT237" s="339"/>
      <c r="AU237" s="339"/>
      <c r="AV237" s="486"/>
      <c r="AW237" s="486"/>
      <c r="BC237" s="352"/>
      <c r="BE237" s="340"/>
      <c r="BG237" s="341"/>
      <c r="BK237" s="342"/>
    </row>
    <row r="238" spans="1:65" ht="12" customHeight="1">
      <c r="A238" s="333"/>
      <c r="B238" s="334"/>
      <c r="C238" s="389"/>
      <c r="D238" s="336"/>
      <c r="X238" s="338"/>
      <c r="Y238" s="338"/>
      <c r="Z238" s="338"/>
      <c r="AA238" s="338"/>
      <c r="AB238" s="338"/>
      <c r="AC238" s="338"/>
      <c r="AD238" s="338"/>
      <c r="AE238" s="338"/>
      <c r="AF238" s="338"/>
      <c r="AG238" s="339"/>
      <c r="AH238" s="339"/>
      <c r="AI238" s="339"/>
      <c r="AJ238" s="339"/>
      <c r="AK238" s="339"/>
      <c r="AL238" s="339"/>
      <c r="AM238" s="339"/>
      <c r="AN238" s="339"/>
      <c r="AO238" s="339"/>
      <c r="AP238" s="339"/>
      <c r="AQ238" s="339"/>
      <c r="AR238" s="339"/>
      <c r="AS238" s="339"/>
      <c r="AT238" s="339"/>
      <c r="AU238" s="339"/>
      <c r="AV238" s="339"/>
      <c r="AW238" s="339"/>
      <c r="BC238" s="352"/>
      <c r="BE238" s="340"/>
      <c r="BG238" s="341"/>
      <c r="BK238" s="342"/>
    </row>
    <row r="239" spans="1:65" ht="12" customHeight="1">
      <c r="A239" s="422"/>
      <c r="B239" s="348"/>
      <c r="C239" s="432"/>
      <c r="D239" s="336"/>
      <c r="X239" s="338"/>
      <c r="Y239" s="338"/>
      <c r="Z239" s="338"/>
      <c r="AA239" s="338"/>
      <c r="AB239" s="338"/>
      <c r="AC239" s="338"/>
      <c r="AD239" s="338"/>
      <c r="AE239" s="338"/>
      <c r="AF239" s="338"/>
      <c r="AG239" s="339"/>
      <c r="AH239" s="339"/>
      <c r="AI239" s="339"/>
      <c r="AJ239" s="339"/>
      <c r="AK239" s="339"/>
      <c r="AL239" s="339"/>
      <c r="AM239" s="339"/>
      <c r="AN239" s="339"/>
      <c r="AO239" s="339"/>
      <c r="AP239" s="339"/>
      <c r="AQ239" s="339"/>
      <c r="AR239" s="339"/>
      <c r="AS239" s="339"/>
      <c r="AT239" s="339"/>
      <c r="AU239" s="339"/>
      <c r="AV239" s="339"/>
      <c r="AW239" s="339"/>
      <c r="BC239" s="352"/>
      <c r="BE239" s="340"/>
      <c r="BG239" s="341"/>
      <c r="BK239" s="342"/>
    </row>
    <row r="240" spans="1:65" s="415" customFormat="1" ht="12" customHeight="1">
      <c r="A240" s="444"/>
      <c r="B240" s="490"/>
      <c r="C240" s="445"/>
      <c r="E240" s="491"/>
      <c r="F240" s="491"/>
      <c r="G240" s="491"/>
      <c r="H240" s="491"/>
      <c r="I240" s="491"/>
      <c r="J240" s="491"/>
      <c r="K240" s="491"/>
      <c r="L240" s="491"/>
      <c r="M240" s="491"/>
      <c r="N240" s="491"/>
      <c r="O240" s="491"/>
      <c r="P240" s="491"/>
      <c r="Q240" s="491"/>
      <c r="R240" s="491"/>
      <c r="S240" s="491"/>
      <c r="T240" s="491"/>
      <c r="U240" s="491"/>
      <c r="V240" s="412"/>
      <c r="W240" s="412"/>
      <c r="X240" s="446"/>
      <c r="Y240" s="446"/>
      <c r="Z240" s="446"/>
      <c r="AA240" s="446"/>
      <c r="AB240" s="446"/>
      <c r="AC240" s="446"/>
      <c r="AD240" s="446"/>
      <c r="AE240" s="446"/>
      <c r="AF240" s="446"/>
      <c r="AG240" s="429"/>
      <c r="AH240" s="429"/>
      <c r="AI240" s="429"/>
      <c r="AJ240" s="429"/>
      <c r="AK240" s="429"/>
      <c r="AL240" s="429"/>
      <c r="AM240" s="429"/>
      <c r="AN240" s="429"/>
      <c r="AO240" s="429"/>
      <c r="AP240" s="429"/>
      <c r="AQ240" s="429"/>
      <c r="AR240" s="429"/>
      <c r="AS240" s="429"/>
      <c r="AT240" s="429"/>
      <c r="AU240" s="429"/>
      <c r="AV240" s="429"/>
      <c r="AW240" s="429"/>
      <c r="BD240" s="430"/>
      <c r="BE240" s="430"/>
      <c r="BG240" s="431"/>
      <c r="BH240" s="430"/>
      <c r="BI240" s="430"/>
      <c r="BL240" s="430"/>
      <c r="BM240" s="430"/>
    </row>
    <row r="241" spans="1:65" ht="12" customHeight="1">
      <c r="A241" s="422"/>
      <c r="B241" s="432"/>
      <c r="C241" s="348"/>
      <c r="D241" s="336"/>
      <c r="X241" s="433"/>
      <c r="Y241" s="433"/>
      <c r="Z241" s="433"/>
      <c r="AA241" s="433"/>
      <c r="AB241" s="433"/>
      <c r="AC241" s="433"/>
      <c r="AD241" s="433"/>
      <c r="AE241" s="433"/>
      <c r="AF241" s="433"/>
      <c r="AG241" s="434"/>
      <c r="AH241" s="434"/>
      <c r="AI241" s="434"/>
      <c r="AJ241" s="434"/>
      <c r="AK241" s="434"/>
      <c r="AL241" s="434"/>
      <c r="AM241" s="434"/>
      <c r="AN241" s="434"/>
      <c r="AO241" s="434"/>
      <c r="AP241" s="434"/>
      <c r="AQ241" s="434"/>
      <c r="AR241" s="434"/>
      <c r="AS241" s="434"/>
      <c r="AT241" s="434"/>
      <c r="AU241" s="434"/>
      <c r="AV241" s="434"/>
      <c r="AW241" s="434"/>
      <c r="BC241" s="352"/>
      <c r="BE241" s="436"/>
      <c r="BG241" s="341"/>
      <c r="BH241" s="435"/>
      <c r="BI241" s="435"/>
      <c r="BK241" s="342"/>
      <c r="BL241" s="475"/>
      <c r="BM241" s="475"/>
    </row>
    <row r="242" spans="1:65" ht="12" customHeight="1">
      <c r="A242" s="422"/>
      <c r="B242" s="348"/>
      <c r="C242" s="432"/>
      <c r="D242" s="336"/>
      <c r="X242" s="338"/>
      <c r="Y242" s="338"/>
      <c r="Z242" s="338"/>
      <c r="AA242" s="338"/>
      <c r="AB242" s="338"/>
      <c r="AC242" s="338"/>
      <c r="AD242" s="338"/>
      <c r="AE242" s="338"/>
      <c r="AF242" s="338"/>
      <c r="AG242" s="339"/>
      <c r="AH242" s="339"/>
      <c r="AI242" s="339"/>
      <c r="AJ242" s="339"/>
      <c r="AK242" s="339"/>
      <c r="AL242" s="339"/>
      <c r="AM242" s="339"/>
      <c r="AN242" s="339"/>
      <c r="AO242" s="339"/>
      <c r="AP242" s="339"/>
      <c r="AQ242" s="339"/>
      <c r="AR242" s="339"/>
      <c r="AS242" s="339"/>
      <c r="AT242" s="339"/>
      <c r="AU242" s="339"/>
      <c r="AV242" s="339"/>
      <c r="AW242" s="339"/>
      <c r="BC242" s="352"/>
      <c r="BE242" s="340"/>
      <c r="BG242" s="341"/>
      <c r="BK242" s="342"/>
    </row>
    <row r="243" spans="1:65" ht="12" customHeight="1">
      <c r="A243" s="398"/>
      <c r="B243" s="348"/>
      <c r="C243" s="348"/>
      <c r="D243" s="336"/>
      <c r="X243" s="338"/>
      <c r="Y243" s="338"/>
      <c r="Z243" s="338"/>
      <c r="AA243" s="338"/>
      <c r="AB243" s="338"/>
      <c r="AC243" s="338"/>
      <c r="AD243" s="338"/>
      <c r="AE243" s="338"/>
      <c r="AF243" s="338"/>
      <c r="AG243" s="339"/>
      <c r="AH243" s="339"/>
      <c r="AI243" s="339"/>
      <c r="AJ243" s="339"/>
      <c r="AK243" s="339"/>
      <c r="AL243" s="339"/>
      <c r="AM243" s="339"/>
      <c r="AN243" s="339"/>
      <c r="AO243" s="339"/>
      <c r="AP243" s="339"/>
      <c r="AQ243" s="339"/>
      <c r="AR243" s="339"/>
      <c r="AS243" s="339"/>
      <c r="AT243" s="339"/>
      <c r="AU243" s="339"/>
      <c r="AV243" s="425"/>
      <c r="AW243" s="425"/>
      <c r="BC243" s="352"/>
      <c r="BE243" s="340"/>
      <c r="BG243" s="341"/>
      <c r="BK243" s="342"/>
    </row>
    <row r="244" spans="1:65" ht="12" customHeight="1">
      <c r="A244" s="333"/>
      <c r="B244" s="437"/>
      <c r="C244" s="334"/>
      <c r="D244" s="336"/>
      <c r="X244" s="338"/>
      <c r="Y244" s="338"/>
      <c r="Z244" s="338"/>
      <c r="AA244" s="338"/>
      <c r="AB244" s="338"/>
      <c r="AC244" s="338"/>
      <c r="AD244" s="338"/>
      <c r="AE244" s="338"/>
      <c r="AF244" s="338"/>
      <c r="AG244" s="339"/>
      <c r="AH244" s="339"/>
      <c r="AI244" s="339"/>
      <c r="AJ244" s="339"/>
      <c r="AK244" s="339"/>
      <c r="AL244" s="339"/>
      <c r="AM244" s="339"/>
      <c r="AN244" s="339"/>
      <c r="AO244" s="339"/>
      <c r="AP244" s="339"/>
      <c r="AQ244" s="339"/>
      <c r="AR244" s="339"/>
      <c r="AS244" s="339"/>
      <c r="AT244" s="339"/>
      <c r="AU244" s="339"/>
      <c r="AV244" s="339"/>
      <c r="AW244" s="339"/>
      <c r="BC244" s="352"/>
      <c r="BE244" s="340"/>
      <c r="BG244" s="341"/>
      <c r="BK244" s="342"/>
    </row>
    <row r="245" spans="1:65" ht="12" customHeight="1">
      <c r="A245" s="478"/>
      <c r="B245" s="479"/>
      <c r="C245" s="480"/>
      <c r="D245" s="336"/>
      <c r="E245" s="481"/>
      <c r="F245" s="481"/>
      <c r="G245" s="481"/>
      <c r="H245" s="481"/>
      <c r="I245" s="481"/>
      <c r="J245" s="481"/>
      <c r="K245" s="481"/>
      <c r="L245" s="481"/>
      <c r="M245" s="481"/>
      <c r="N245" s="481"/>
      <c r="O245" s="481"/>
      <c r="P245" s="481"/>
      <c r="Q245" s="481"/>
      <c r="R245" s="481"/>
      <c r="S245" s="481"/>
      <c r="T245" s="481"/>
      <c r="U245" s="481"/>
      <c r="X245" s="338"/>
      <c r="Y245" s="338"/>
      <c r="Z245" s="338"/>
      <c r="AA245" s="338"/>
      <c r="AB245" s="338"/>
      <c r="AC245" s="338"/>
      <c r="AD245" s="338"/>
      <c r="AE245" s="338"/>
      <c r="AF245" s="338"/>
      <c r="AG245" s="339"/>
      <c r="AH245" s="339"/>
      <c r="AI245" s="339"/>
      <c r="AJ245" s="339"/>
      <c r="AK245" s="339"/>
      <c r="AL245" s="339"/>
      <c r="AM245" s="339"/>
      <c r="AN245" s="339"/>
      <c r="AO245" s="339"/>
      <c r="AP245" s="339"/>
      <c r="AQ245" s="339"/>
      <c r="AR245" s="339"/>
      <c r="AS245" s="339"/>
      <c r="AT245" s="339"/>
      <c r="AU245" s="339"/>
      <c r="AV245" s="339"/>
      <c r="AW245" s="339"/>
      <c r="BC245" s="352"/>
      <c r="BE245" s="340"/>
      <c r="BG245" s="341"/>
      <c r="BK245" s="342"/>
    </row>
    <row r="246" spans="1:65" ht="12" customHeight="1">
      <c r="A246" s="333"/>
      <c r="B246" s="334"/>
      <c r="C246" s="334"/>
      <c r="D246" s="336"/>
      <c r="X246" s="338"/>
      <c r="Y246" s="338"/>
      <c r="Z246" s="338"/>
      <c r="AA246" s="338"/>
      <c r="AB246" s="338"/>
      <c r="AC246" s="338"/>
      <c r="AD246" s="338"/>
      <c r="AE246" s="338"/>
      <c r="AF246" s="338"/>
      <c r="AG246" s="339"/>
      <c r="AH246" s="339"/>
      <c r="AI246" s="339"/>
      <c r="AJ246" s="339"/>
      <c r="AK246" s="339"/>
      <c r="AL246" s="339"/>
      <c r="AM246" s="339"/>
      <c r="AN246" s="339"/>
      <c r="AO246" s="339"/>
      <c r="AP246" s="339"/>
      <c r="AQ246" s="339"/>
      <c r="AR246" s="339"/>
      <c r="AS246" s="339"/>
      <c r="AT246" s="339"/>
      <c r="AU246" s="339"/>
      <c r="AV246" s="339"/>
      <c r="AW246" s="339"/>
      <c r="BC246" s="352"/>
      <c r="BE246" s="340"/>
      <c r="BG246" s="341"/>
      <c r="BK246" s="342"/>
    </row>
    <row r="247" spans="1:65" ht="12" customHeight="1">
      <c r="A247" s="422"/>
      <c r="B247" s="348"/>
      <c r="C247" s="432"/>
      <c r="D247" s="336"/>
      <c r="X247" s="338"/>
      <c r="Y247" s="338"/>
      <c r="Z247" s="338"/>
      <c r="AA247" s="338"/>
      <c r="AB247" s="338"/>
      <c r="AC247" s="338"/>
      <c r="AD247" s="338"/>
      <c r="AE247" s="338"/>
      <c r="AF247" s="338"/>
      <c r="AG247" s="339"/>
      <c r="AH247" s="339"/>
      <c r="AI247" s="339"/>
      <c r="AJ247" s="339"/>
      <c r="AK247" s="339"/>
      <c r="AL247" s="339"/>
      <c r="AM247" s="339"/>
      <c r="AN247" s="339"/>
      <c r="AO247" s="339"/>
      <c r="AP247" s="339"/>
      <c r="AQ247" s="339"/>
      <c r="AR247" s="339"/>
      <c r="AS247" s="339"/>
      <c r="AT247" s="339"/>
      <c r="AU247" s="339"/>
      <c r="AV247" s="339"/>
      <c r="AW247" s="339"/>
      <c r="BC247" s="352"/>
      <c r="BE247" s="340"/>
      <c r="BG247" s="341"/>
      <c r="BK247" s="342"/>
    </row>
    <row r="248" spans="1:65" ht="12" customHeight="1">
      <c r="A248" s="398"/>
      <c r="B248" s="348"/>
      <c r="C248" s="348"/>
      <c r="D248" s="336"/>
      <c r="X248" s="338"/>
      <c r="Y248" s="338"/>
      <c r="Z248" s="338"/>
      <c r="AA248" s="338"/>
      <c r="AB248" s="338"/>
      <c r="AC248" s="338"/>
      <c r="AD248" s="338"/>
      <c r="AE248" s="338"/>
      <c r="AF248" s="338"/>
      <c r="AG248" s="339"/>
      <c r="AH248" s="339"/>
      <c r="AI248" s="339"/>
      <c r="AJ248" s="339"/>
      <c r="AK248" s="339"/>
      <c r="AL248" s="339"/>
      <c r="AM248" s="339"/>
      <c r="AN248" s="339"/>
      <c r="AO248" s="339"/>
      <c r="AP248" s="339"/>
      <c r="AQ248" s="339"/>
      <c r="AR248" s="339"/>
      <c r="AS248" s="339"/>
      <c r="AT248" s="339"/>
      <c r="AU248" s="339"/>
      <c r="AV248" s="339"/>
      <c r="AW248" s="339"/>
      <c r="BC248" s="352"/>
      <c r="BE248" s="340"/>
      <c r="BG248" s="341"/>
      <c r="BK248" s="342"/>
    </row>
    <row r="249" spans="1:65" ht="12" customHeight="1">
      <c r="A249" s="398"/>
      <c r="B249" s="348"/>
      <c r="C249" s="348"/>
      <c r="D249" s="336"/>
      <c r="X249" s="338"/>
      <c r="Y249" s="338"/>
      <c r="Z249" s="338"/>
      <c r="AA249" s="338"/>
      <c r="AB249" s="338"/>
      <c r="AC249" s="338"/>
      <c r="AD249" s="338"/>
      <c r="AE249" s="338"/>
      <c r="AF249" s="338"/>
      <c r="AG249" s="339"/>
      <c r="AH249" s="339"/>
      <c r="AI249" s="339"/>
      <c r="AJ249" s="339"/>
      <c r="AK249" s="339"/>
      <c r="AL249" s="339"/>
      <c r="AM249" s="339"/>
      <c r="AN249" s="339"/>
      <c r="AO249" s="339"/>
      <c r="AP249" s="339"/>
      <c r="AQ249" s="339"/>
      <c r="AR249" s="339"/>
      <c r="AS249" s="339"/>
      <c r="AT249" s="339"/>
      <c r="AU249" s="339"/>
      <c r="AV249" s="339"/>
      <c r="AW249" s="339"/>
      <c r="BC249" s="352"/>
      <c r="BE249" s="340"/>
      <c r="BG249" s="341"/>
      <c r="BK249" s="342"/>
    </row>
    <row r="250" spans="1:65" ht="12" customHeight="1">
      <c r="A250" s="422"/>
      <c r="B250" s="348"/>
      <c r="C250" s="432"/>
      <c r="D250" s="336"/>
      <c r="X250" s="338"/>
      <c r="Y250" s="338"/>
      <c r="Z250" s="338"/>
      <c r="AA250" s="338"/>
      <c r="AB250" s="338"/>
      <c r="AC250" s="338"/>
      <c r="AD250" s="338"/>
      <c r="AE250" s="338"/>
      <c r="AF250" s="338"/>
      <c r="AG250" s="339"/>
      <c r="AH250" s="339"/>
      <c r="AI250" s="339"/>
      <c r="AJ250" s="339"/>
      <c r="AK250" s="339"/>
      <c r="AL250" s="339"/>
      <c r="AM250" s="339"/>
      <c r="AN250" s="339"/>
      <c r="AO250" s="339"/>
      <c r="AP250" s="449"/>
      <c r="AQ250" s="449"/>
      <c r="AR250" s="449"/>
      <c r="AS250" s="449"/>
      <c r="AT250" s="449"/>
      <c r="AU250" s="449"/>
      <c r="AV250" s="339"/>
      <c r="AW250" s="339"/>
      <c r="BC250" s="352"/>
      <c r="BE250" s="340"/>
      <c r="BG250" s="341"/>
      <c r="BK250" s="342"/>
    </row>
    <row r="251" spans="1:65" ht="12" customHeight="1">
      <c r="A251" s="398"/>
      <c r="B251" s="348"/>
      <c r="C251" s="348"/>
      <c r="D251" s="336"/>
      <c r="X251" s="448"/>
      <c r="Y251" s="448"/>
      <c r="Z251" s="448"/>
      <c r="AA251" s="448"/>
      <c r="AB251" s="448"/>
      <c r="AC251" s="448"/>
      <c r="AD251" s="448"/>
      <c r="AE251" s="448"/>
      <c r="AF251" s="448"/>
      <c r="AG251" s="449"/>
      <c r="AH251" s="449"/>
      <c r="AI251" s="449"/>
      <c r="AJ251" s="449"/>
      <c r="AK251" s="449"/>
      <c r="AL251" s="449"/>
      <c r="AM251" s="449"/>
      <c r="AN251" s="449"/>
      <c r="AO251" s="449"/>
      <c r="AP251" s="449"/>
      <c r="AQ251" s="449"/>
      <c r="AR251" s="449"/>
      <c r="AS251" s="449"/>
      <c r="AT251" s="449"/>
      <c r="AU251" s="449"/>
      <c r="AV251" s="425"/>
      <c r="AW251" s="425"/>
      <c r="BC251" s="352"/>
      <c r="BE251" s="450"/>
      <c r="BG251" s="341"/>
      <c r="BK251" s="342"/>
    </row>
    <row r="252" spans="1:65" ht="12" customHeight="1">
      <c r="A252" s="398"/>
      <c r="D252" s="336"/>
      <c r="X252" s="448"/>
      <c r="Y252" s="448"/>
      <c r="Z252" s="448"/>
      <c r="AA252" s="448"/>
      <c r="AB252" s="448"/>
      <c r="AC252" s="448"/>
      <c r="AD252" s="448"/>
      <c r="AE252" s="448"/>
      <c r="AF252" s="448"/>
      <c r="AG252" s="449"/>
      <c r="AH252" s="449"/>
      <c r="AI252" s="449"/>
      <c r="AJ252" s="449"/>
      <c r="AK252" s="449"/>
      <c r="AL252" s="449"/>
      <c r="AM252" s="449"/>
      <c r="AN252" s="449"/>
      <c r="AO252" s="449"/>
      <c r="AP252" s="449"/>
      <c r="AQ252" s="449"/>
      <c r="AR252" s="449"/>
      <c r="AS252" s="449"/>
      <c r="AT252" s="449"/>
      <c r="AU252" s="449"/>
      <c r="AV252" s="449"/>
      <c r="AW252" s="425"/>
      <c r="BC252" s="352"/>
      <c r="BE252" s="450"/>
      <c r="BG252" s="341"/>
      <c r="BK252" s="342"/>
    </row>
    <row r="253" spans="1:65" ht="12" customHeight="1">
      <c r="A253" s="492"/>
      <c r="B253" s="348"/>
      <c r="C253" s="348"/>
      <c r="D253" s="336"/>
      <c r="X253" s="448"/>
      <c r="Y253" s="448"/>
      <c r="Z253" s="448"/>
      <c r="AA253" s="448"/>
      <c r="AB253" s="448"/>
      <c r="AC253" s="448"/>
      <c r="AD253" s="448"/>
      <c r="AE253" s="448"/>
      <c r="AF253" s="448"/>
      <c r="AG253" s="449"/>
      <c r="AH253" s="449"/>
      <c r="AI253" s="449"/>
      <c r="AJ253" s="449"/>
      <c r="AK253" s="449"/>
      <c r="AL253" s="449"/>
      <c r="AM253" s="449"/>
      <c r="AN253" s="449"/>
      <c r="AO253" s="449"/>
      <c r="AP253" s="449"/>
      <c r="AQ253" s="449"/>
      <c r="AR253" s="449"/>
      <c r="AS253" s="449"/>
      <c r="AT253" s="449"/>
      <c r="AU253" s="449"/>
      <c r="AV253" s="425"/>
      <c r="AW253" s="425"/>
      <c r="BC253" s="352"/>
      <c r="BE253" s="450"/>
      <c r="BG253" s="341"/>
      <c r="BK253" s="342"/>
    </row>
    <row r="254" spans="1:65" ht="12" customHeight="1">
      <c r="A254" s="422"/>
      <c r="B254" s="432"/>
      <c r="C254" s="484"/>
      <c r="D254" s="336"/>
      <c r="X254" s="433"/>
      <c r="Y254" s="433"/>
      <c r="Z254" s="433"/>
      <c r="AA254" s="433"/>
      <c r="AB254" s="433"/>
      <c r="AC254" s="433"/>
      <c r="AD254" s="433"/>
      <c r="AE254" s="433"/>
      <c r="AF254" s="433"/>
      <c r="AG254" s="434"/>
      <c r="AH254" s="434"/>
      <c r="AI254" s="434"/>
      <c r="AJ254" s="434"/>
      <c r="AK254" s="434"/>
      <c r="AL254" s="434"/>
      <c r="AM254" s="434"/>
      <c r="AN254" s="434"/>
      <c r="AO254" s="434"/>
      <c r="AP254" s="434"/>
      <c r="AQ254" s="434"/>
      <c r="AR254" s="434"/>
      <c r="AS254" s="434"/>
      <c r="AT254" s="434"/>
      <c r="AU254" s="434"/>
      <c r="AV254" s="434"/>
      <c r="AW254" s="434"/>
      <c r="BC254" s="352"/>
      <c r="BE254" s="436"/>
      <c r="BG254" s="341"/>
      <c r="BH254" s="435"/>
      <c r="BI254" s="435"/>
      <c r="BK254" s="342"/>
      <c r="BL254" s="475"/>
      <c r="BM254" s="475"/>
    </row>
    <row r="255" spans="1:65" ht="12" customHeight="1">
      <c r="A255" s="422"/>
      <c r="B255" s="423"/>
      <c r="C255" s="423"/>
      <c r="D255" s="336"/>
      <c r="W255" s="482"/>
      <c r="X255" s="338"/>
      <c r="Y255" s="338"/>
      <c r="Z255" s="338"/>
      <c r="AA255" s="338"/>
      <c r="AB255" s="338"/>
      <c r="AC255" s="338"/>
      <c r="AD255" s="338"/>
      <c r="AE255" s="338"/>
      <c r="AF255" s="338"/>
      <c r="AG255" s="339"/>
      <c r="AH255" s="339"/>
      <c r="AI255" s="339"/>
      <c r="AJ255" s="339"/>
      <c r="AK255" s="339"/>
      <c r="AL255" s="339"/>
      <c r="AM255" s="339"/>
      <c r="AN255" s="339"/>
      <c r="AO255" s="339"/>
      <c r="AP255" s="339"/>
      <c r="AQ255" s="339"/>
      <c r="AR255" s="339"/>
      <c r="AS255" s="339"/>
      <c r="AT255" s="339"/>
      <c r="AU255" s="339"/>
      <c r="AV255" s="425"/>
      <c r="AW255" s="425"/>
      <c r="BC255" s="352"/>
      <c r="BE255" s="340"/>
      <c r="BG255" s="341"/>
      <c r="BK255" s="342"/>
    </row>
    <row r="256" spans="1:65" ht="12" customHeight="1">
      <c r="A256" s="422"/>
      <c r="B256" s="348"/>
      <c r="C256" s="432"/>
      <c r="D256" s="336"/>
      <c r="X256" s="338"/>
      <c r="Y256" s="338"/>
      <c r="Z256" s="338"/>
      <c r="AA256" s="338"/>
      <c r="AB256" s="338"/>
      <c r="AC256" s="338"/>
      <c r="AD256" s="338"/>
      <c r="AE256" s="338"/>
      <c r="AF256" s="338"/>
      <c r="AG256" s="339"/>
      <c r="AH256" s="339"/>
      <c r="AI256" s="339"/>
      <c r="AJ256" s="339"/>
      <c r="AK256" s="339"/>
      <c r="AL256" s="339"/>
      <c r="AM256" s="339"/>
      <c r="AN256" s="339"/>
      <c r="AO256" s="339"/>
      <c r="AP256" s="339"/>
      <c r="AQ256" s="339"/>
      <c r="AR256" s="339"/>
      <c r="AS256" s="339"/>
      <c r="AT256" s="339"/>
      <c r="AU256" s="339"/>
      <c r="AV256" s="425"/>
      <c r="AW256" s="425"/>
      <c r="BC256" s="352"/>
      <c r="BE256" s="340"/>
      <c r="BG256" s="341"/>
      <c r="BK256" s="342"/>
    </row>
    <row r="257" spans="1:65" ht="12" customHeight="1">
      <c r="A257" s="398"/>
      <c r="B257" s="348"/>
      <c r="C257" s="348"/>
      <c r="D257" s="336"/>
      <c r="X257" s="338"/>
      <c r="Y257" s="338"/>
      <c r="Z257" s="338"/>
      <c r="AA257" s="338"/>
      <c r="AB257" s="338"/>
      <c r="AC257" s="338"/>
      <c r="AD257" s="338"/>
      <c r="AE257" s="338"/>
      <c r="AF257" s="338"/>
      <c r="AG257" s="339"/>
      <c r="AH257" s="339"/>
      <c r="AI257" s="339"/>
      <c r="AJ257" s="339"/>
      <c r="AK257" s="339"/>
      <c r="AL257" s="339"/>
      <c r="AM257" s="339"/>
      <c r="AN257" s="339"/>
      <c r="AO257" s="339"/>
      <c r="AP257" s="339"/>
      <c r="AQ257" s="339"/>
      <c r="AR257" s="339"/>
      <c r="AS257" s="339"/>
      <c r="AT257" s="339"/>
      <c r="AU257" s="339"/>
      <c r="AV257" s="425"/>
      <c r="AW257" s="425"/>
      <c r="BC257" s="352"/>
      <c r="BE257" s="340"/>
      <c r="BG257" s="341"/>
      <c r="BK257" s="342"/>
    </row>
    <row r="258" spans="1:65" ht="12" customHeight="1">
      <c r="A258" s="422"/>
      <c r="B258" s="348"/>
      <c r="C258" s="432"/>
      <c r="D258" s="336"/>
      <c r="X258" s="338"/>
      <c r="Y258" s="338"/>
      <c r="Z258" s="338"/>
      <c r="AA258" s="338"/>
      <c r="AB258" s="338"/>
      <c r="AC258" s="338"/>
      <c r="AD258" s="338"/>
      <c r="AE258" s="338"/>
      <c r="AF258" s="338"/>
      <c r="AG258" s="339"/>
      <c r="AH258" s="339"/>
      <c r="AI258" s="339"/>
      <c r="AJ258" s="339"/>
      <c r="AK258" s="339"/>
      <c r="AL258" s="339"/>
      <c r="AM258" s="339"/>
      <c r="AN258" s="339"/>
      <c r="AO258" s="339"/>
      <c r="AP258" s="339"/>
      <c r="AQ258" s="339"/>
      <c r="AR258" s="339"/>
      <c r="AS258" s="339"/>
      <c r="AT258" s="339"/>
      <c r="AU258" s="339"/>
      <c r="AV258" s="425"/>
      <c r="AW258" s="425"/>
      <c r="BC258" s="352"/>
      <c r="BE258" s="340"/>
      <c r="BG258" s="341"/>
      <c r="BK258" s="342"/>
    </row>
    <row r="259" spans="1:65" ht="12" customHeight="1">
      <c r="A259" s="398"/>
      <c r="B259" s="348"/>
      <c r="C259" s="348"/>
      <c r="D259" s="336"/>
      <c r="X259" s="338"/>
      <c r="Y259" s="338"/>
      <c r="Z259" s="338"/>
      <c r="AA259" s="338"/>
      <c r="AB259" s="338"/>
      <c r="AC259" s="338"/>
      <c r="AD259" s="338"/>
      <c r="AE259" s="338"/>
      <c r="AF259" s="338"/>
      <c r="AG259" s="339"/>
      <c r="AH259" s="339"/>
      <c r="AI259" s="339"/>
      <c r="AJ259" s="339"/>
      <c r="AK259" s="339"/>
      <c r="AL259" s="339"/>
      <c r="AM259" s="339"/>
      <c r="AN259" s="339"/>
      <c r="AO259" s="339"/>
      <c r="AP259" s="339"/>
      <c r="AQ259" s="339"/>
      <c r="AR259" s="339"/>
      <c r="AS259" s="339"/>
      <c r="AT259" s="339"/>
      <c r="AU259" s="339"/>
      <c r="AV259" s="425"/>
      <c r="AW259" s="425"/>
      <c r="BC259" s="352"/>
      <c r="BE259" s="340"/>
      <c r="BG259" s="341"/>
      <c r="BK259" s="342"/>
    </row>
    <row r="260" spans="1:65" ht="12" customHeight="1">
      <c r="A260" s="422"/>
      <c r="B260" s="389"/>
      <c r="C260" s="423"/>
      <c r="D260" s="336"/>
      <c r="X260" s="338"/>
      <c r="Y260" s="338"/>
      <c r="Z260" s="338"/>
      <c r="AA260" s="338"/>
      <c r="AB260" s="338"/>
      <c r="AC260" s="338"/>
      <c r="AD260" s="338"/>
      <c r="AE260" s="338"/>
      <c r="AF260" s="338"/>
      <c r="AG260" s="339"/>
      <c r="AH260" s="339"/>
      <c r="AI260" s="339"/>
      <c r="AJ260" s="339"/>
      <c r="AK260" s="339"/>
      <c r="AL260" s="339"/>
      <c r="AM260" s="339"/>
      <c r="AN260" s="339"/>
      <c r="AO260" s="339"/>
      <c r="AP260" s="339"/>
      <c r="AQ260" s="339"/>
      <c r="AR260" s="339"/>
      <c r="AS260" s="339"/>
      <c r="AT260" s="339"/>
      <c r="AU260" s="339"/>
      <c r="AV260" s="339"/>
      <c r="AW260" s="339"/>
      <c r="BC260" s="352"/>
      <c r="BE260" s="340"/>
      <c r="BG260" s="341"/>
      <c r="BK260" s="342"/>
    </row>
    <row r="261" spans="1:65" ht="12" customHeight="1">
      <c r="A261" s="422"/>
      <c r="B261" s="432"/>
      <c r="C261" s="348"/>
      <c r="D261" s="336"/>
      <c r="X261" s="433"/>
      <c r="Y261" s="433"/>
      <c r="Z261" s="433"/>
      <c r="AA261" s="433"/>
      <c r="AB261" s="433"/>
      <c r="AC261" s="433"/>
      <c r="AD261" s="433"/>
      <c r="AE261" s="433"/>
      <c r="AF261" s="433"/>
      <c r="AG261" s="434"/>
      <c r="AH261" s="434"/>
      <c r="AI261" s="434"/>
      <c r="AJ261" s="434"/>
      <c r="AK261" s="434"/>
      <c r="AL261" s="434"/>
      <c r="AM261" s="434"/>
      <c r="AN261" s="434"/>
      <c r="AO261" s="434"/>
      <c r="AP261" s="434"/>
      <c r="AQ261" s="434"/>
      <c r="AR261" s="434"/>
      <c r="AS261" s="434"/>
      <c r="AT261" s="434"/>
      <c r="AU261" s="434"/>
      <c r="AV261" s="434"/>
      <c r="AW261" s="434"/>
      <c r="BC261" s="352"/>
      <c r="BD261" s="436"/>
      <c r="BE261" s="436"/>
      <c r="BG261" s="341"/>
      <c r="BH261" s="436"/>
      <c r="BI261" s="436"/>
      <c r="BK261" s="342"/>
      <c r="BL261" s="436"/>
      <c r="BM261" s="436"/>
    </row>
    <row r="262" spans="1:65" ht="12" customHeight="1">
      <c r="A262" s="422"/>
      <c r="B262" s="348"/>
      <c r="C262" s="432"/>
      <c r="D262" s="336"/>
      <c r="X262" s="338"/>
      <c r="Y262" s="338"/>
      <c r="Z262" s="338"/>
      <c r="AA262" s="338"/>
      <c r="AB262" s="338"/>
      <c r="AC262" s="338"/>
      <c r="AD262" s="338"/>
      <c r="AE262" s="338"/>
      <c r="AF262" s="338"/>
      <c r="AG262" s="339"/>
      <c r="AH262" s="339"/>
      <c r="AI262" s="339"/>
      <c r="AJ262" s="339"/>
      <c r="AK262" s="339"/>
      <c r="AL262" s="339"/>
      <c r="AM262" s="339"/>
      <c r="AN262" s="339"/>
      <c r="AO262" s="339"/>
      <c r="AP262" s="339"/>
      <c r="AQ262" s="339"/>
      <c r="AR262" s="339"/>
      <c r="AS262" s="339"/>
      <c r="AT262" s="339"/>
      <c r="AU262" s="339"/>
      <c r="AV262" s="339"/>
      <c r="AW262" s="339"/>
      <c r="BC262" s="352"/>
      <c r="BG262" s="341"/>
      <c r="BK262" s="342"/>
      <c r="BL262" s="340"/>
      <c r="BM262" s="340"/>
    </row>
    <row r="263" spans="1:65" ht="12" customHeight="1">
      <c r="A263" s="398"/>
      <c r="B263" s="348"/>
      <c r="C263" s="348"/>
      <c r="D263" s="336"/>
      <c r="X263" s="338"/>
      <c r="Y263" s="338"/>
      <c r="Z263" s="338"/>
      <c r="AA263" s="338"/>
      <c r="AB263" s="338"/>
      <c r="AC263" s="338"/>
      <c r="AD263" s="338"/>
      <c r="AE263" s="338"/>
      <c r="AF263" s="338"/>
      <c r="AG263" s="339"/>
      <c r="AH263" s="339"/>
      <c r="AI263" s="339"/>
      <c r="AJ263" s="339"/>
      <c r="AK263" s="339"/>
      <c r="AL263" s="339"/>
      <c r="AM263" s="339"/>
      <c r="AN263" s="339"/>
      <c r="AO263" s="339"/>
      <c r="AP263" s="339"/>
      <c r="AQ263" s="339"/>
      <c r="AR263" s="339"/>
      <c r="AS263" s="339"/>
      <c r="AT263" s="339"/>
      <c r="AU263" s="339"/>
      <c r="AV263" s="339"/>
      <c r="AW263" s="339"/>
      <c r="BC263" s="352"/>
      <c r="BE263" s="340"/>
      <c r="BG263" s="341"/>
      <c r="BK263" s="342"/>
    </row>
    <row r="264" spans="1:65" ht="12" customHeight="1">
      <c r="A264" s="398"/>
      <c r="B264" s="348"/>
      <c r="C264" s="348"/>
      <c r="D264" s="336"/>
      <c r="X264" s="338"/>
      <c r="Y264" s="338"/>
      <c r="Z264" s="338"/>
      <c r="AA264" s="338"/>
      <c r="AB264" s="338"/>
      <c r="AC264" s="338"/>
      <c r="AD264" s="338"/>
      <c r="AE264" s="338"/>
      <c r="AF264" s="338"/>
      <c r="AG264" s="339"/>
      <c r="AH264" s="339"/>
      <c r="AI264" s="339"/>
      <c r="AJ264" s="339"/>
      <c r="AK264" s="339"/>
      <c r="AL264" s="339"/>
      <c r="AM264" s="339"/>
      <c r="AN264" s="339"/>
      <c r="AO264" s="339"/>
      <c r="AP264" s="339"/>
      <c r="AQ264" s="339"/>
      <c r="AR264" s="339"/>
      <c r="AS264" s="339"/>
      <c r="AT264" s="339"/>
      <c r="AU264" s="339"/>
      <c r="AV264" s="339"/>
      <c r="AW264" s="339"/>
      <c r="BC264" s="352"/>
      <c r="BE264" s="340"/>
      <c r="BG264" s="341"/>
      <c r="BK264" s="342"/>
    </row>
    <row r="265" spans="1:65" ht="12" customHeight="1">
      <c r="A265" s="398"/>
      <c r="B265" s="348"/>
      <c r="C265" s="348"/>
      <c r="D265" s="336"/>
      <c r="X265" s="338"/>
      <c r="Y265" s="338"/>
      <c r="Z265" s="338"/>
      <c r="AA265" s="338"/>
      <c r="AB265" s="338"/>
      <c r="AC265" s="338"/>
      <c r="AD265" s="338"/>
      <c r="AE265" s="338"/>
      <c r="AF265" s="338"/>
      <c r="AG265" s="339"/>
      <c r="AH265" s="339"/>
      <c r="AI265" s="339"/>
      <c r="AJ265" s="339"/>
      <c r="AK265" s="339"/>
      <c r="AL265" s="339"/>
      <c r="AM265" s="339"/>
      <c r="AN265" s="339"/>
      <c r="AO265" s="339"/>
      <c r="AP265" s="425"/>
      <c r="AQ265" s="425"/>
      <c r="AR265" s="425"/>
      <c r="AS265" s="425"/>
      <c r="AT265" s="425"/>
      <c r="AU265" s="425"/>
      <c r="AV265" s="425"/>
      <c r="AW265" s="425"/>
      <c r="BE265" s="340"/>
      <c r="BG265" s="341"/>
      <c r="BK265" s="342"/>
    </row>
    <row r="266" spans="1:65" ht="12" customHeight="1">
      <c r="A266" s="398"/>
      <c r="B266" s="348"/>
      <c r="C266" s="348"/>
      <c r="D266" s="336"/>
      <c r="X266" s="338"/>
      <c r="Y266" s="338"/>
      <c r="Z266" s="338"/>
      <c r="AA266" s="338"/>
      <c r="AB266" s="338"/>
      <c r="AC266" s="338"/>
      <c r="AD266" s="338"/>
      <c r="AE266" s="338"/>
      <c r="AF266" s="338"/>
      <c r="AG266" s="339"/>
      <c r="AH266" s="339"/>
      <c r="AI266" s="339"/>
      <c r="AJ266" s="339"/>
      <c r="AK266" s="339"/>
      <c r="AL266" s="339"/>
      <c r="AM266" s="339"/>
      <c r="AN266" s="339"/>
      <c r="AO266" s="339"/>
      <c r="AP266" s="339"/>
      <c r="AQ266" s="339"/>
      <c r="AR266" s="339"/>
      <c r="AS266" s="339"/>
      <c r="AT266" s="339"/>
      <c r="AU266" s="339"/>
      <c r="AV266" s="339"/>
      <c r="AW266" s="339"/>
      <c r="BE266" s="340"/>
      <c r="BG266" s="341"/>
      <c r="BK266" s="342"/>
    </row>
    <row r="267" spans="1:65" ht="12" customHeight="1">
      <c r="A267" s="398"/>
      <c r="B267" s="348"/>
      <c r="C267" s="348"/>
      <c r="D267" s="336"/>
      <c r="X267" s="338"/>
      <c r="Y267" s="338"/>
      <c r="Z267" s="338"/>
      <c r="AA267" s="338"/>
      <c r="AB267" s="338"/>
      <c r="AC267" s="338"/>
      <c r="AD267" s="338"/>
      <c r="AE267" s="338"/>
      <c r="AF267" s="338"/>
      <c r="AG267" s="339"/>
      <c r="AH267" s="339"/>
      <c r="AI267" s="339"/>
      <c r="AJ267" s="339"/>
      <c r="AK267" s="339"/>
      <c r="AL267" s="339"/>
      <c r="AM267" s="339"/>
      <c r="AN267" s="339"/>
      <c r="AO267" s="339"/>
      <c r="AP267" s="425"/>
      <c r="AQ267" s="339"/>
      <c r="AR267" s="339"/>
      <c r="AS267" s="425"/>
      <c r="AT267" s="425"/>
      <c r="AU267" s="425"/>
      <c r="AV267" s="425"/>
      <c r="AW267" s="425"/>
      <c r="BE267" s="340"/>
      <c r="BG267" s="341"/>
      <c r="BK267" s="342"/>
    </row>
    <row r="268" spans="1:65" ht="12" customHeight="1">
      <c r="A268" s="398"/>
      <c r="B268" s="348"/>
      <c r="C268" s="348"/>
      <c r="D268" s="336"/>
      <c r="X268" s="338"/>
      <c r="Y268" s="338"/>
      <c r="Z268" s="338"/>
      <c r="AA268" s="338"/>
      <c r="AB268" s="338"/>
      <c r="AC268" s="338"/>
      <c r="AD268" s="338"/>
      <c r="AE268" s="338"/>
      <c r="AF268" s="338"/>
      <c r="AG268" s="339"/>
      <c r="AH268" s="339"/>
      <c r="AI268" s="339"/>
      <c r="AJ268" s="339"/>
      <c r="AK268" s="339"/>
      <c r="AL268" s="339"/>
      <c r="AM268" s="339"/>
      <c r="AN268" s="339"/>
      <c r="AO268" s="339"/>
      <c r="AP268" s="339"/>
      <c r="AQ268" s="339"/>
      <c r="AR268" s="339"/>
      <c r="AS268" s="339"/>
      <c r="AT268" s="339"/>
      <c r="AU268" s="339"/>
      <c r="AV268" s="339"/>
      <c r="AW268" s="339"/>
      <c r="BE268" s="340"/>
      <c r="BG268" s="341"/>
      <c r="BK268" s="342"/>
    </row>
    <row r="269" spans="1:65" ht="12" customHeight="1">
      <c r="A269" s="398"/>
      <c r="B269" s="348"/>
      <c r="C269" s="348"/>
      <c r="D269" s="336"/>
      <c r="X269" s="338"/>
      <c r="Y269" s="338"/>
      <c r="Z269" s="338"/>
      <c r="AA269" s="338"/>
      <c r="AB269" s="338"/>
      <c r="AC269" s="338"/>
      <c r="AD269" s="338"/>
      <c r="AE269" s="338"/>
      <c r="AF269" s="338"/>
      <c r="AG269" s="339"/>
      <c r="AH269" s="339"/>
      <c r="AI269" s="339"/>
      <c r="AJ269" s="339"/>
      <c r="AK269" s="339"/>
      <c r="AL269" s="339"/>
      <c r="AM269" s="339"/>
      <c r="AN269" s="339"/>
      <c r="AO269" s="339"/>
      <c r="AP269" s="425"/>
      <c r="AQ269" s="425"/>
      <c r="AR269" s="425"/>
      <c r="AS269" s="425"/>
      <c r="AT269" s="425"/>
      <c r="AU269" s="425"/>
      <c r="AV269" s="425"/>
      <c r="AW269" s="425"/>
      <c r="BE269" s="340"/>
      <c r="BG269" s="341"/>
      <c r="BK269" s="342"/>
    </row>
    <row r="270" spans="1:65" ht="12" customHeight="1">
      <c r="A270" s="398"/>
      <c r="B270" s="348"/>
      <c r="C270" s="348"/>
      <c r="D270" s="336"/>
      <c r="X270" s="338"/>
      <c r="Y270" s="338"/>
      <c r="Z270" s="338"/>
      <c r="AA270" s="338"/>
      <c r="AB270" s="338"/>
      <c r="AC270" s="338"/>
      <c r="AD270" s="338"/>
      <c r="AE270" s="338"/>
      <c r="AF270" s="338"/>
      <c r="AG270" s="339"/>
      <c r="AH270" s="339"/>
      <c r="AI270" s="339"/>
      <c r="AJ270" s="339"/>
      <c r="AK270" s="339"/>
      <c r="AL270" s="339"/>
      <c r="AM270" s="339"/>
      <c r="AN270" s="339"/>
      <c r="AO270" s="339"/>
      <c r="AP270" s="339"/>
      <c r="AQ270" s="339"/>
      <c r="AR270" s="339"/>
      <c r="AS270" s="425"/>
      <c r="AT270" s="425"/>
      <c r="AU270" s="425"/>
      <c r="AV270" s="425"/>
      <c r="AW270" s="425"/>
      <c r="BE270" s="340"/>
      <c r="BG270" s="341"/>
      <c r="BK270" s="342"/>
    </row>
    <row r="271" spans="1:65" ht="12" customHeight="1">
      <c r="A271" s="398"/>
      <c r="B271" s="348"/>
      <c r="C271" s="348"/>
      <c r="D271" s="336"/>
      <c r="X271" s="493"/>
      <c r="Y271" s="493"/>
      <c r="Z271" s="493"/>
      <c r="AA271" s="493"/>
      <c r="AB271" s="493"/>
      <c r="AC271" s="493"/>
      <c r="AD271" s="493"/>
      <c r="AE271" s="493"/>
      <c r="AF271" s="493"/>
      <c r="AG271" s="494"/>
      <c r="AH271" s="494"/>
      <c r="AI271" s="494"/>
      <c r="AJ271" s="494"/>
      <c r="AK271" s="339"/>
      <c r="AL271" s="339"/>
      <c r="AM271" s="339"/>
      <c r="AN271" s="339"/>
      <c r="AO271" s="339"/>
      <c r="AP271" s="339"/>
      <c r="AQ271" s="339"/>
      <c r="AR271" s="339"/>
      <c r="AS271" s="425"/>
      <c r="AT271" s="425"/>
      <c r="AU271" s="425"/>
      <c r="AV271" s="425"/>
      <c r="AW271" s="425"/>
      <c r="BC271" s="352"/>
      <c r="BE271" s="340"/>
      <c r="BG271" s="341"/>
      <c r="BK271" s="342"/>
    </row>
    <row r="272" spans="1:65" ht="12" customHeight="1">
      <c r="A272" s="398"/>
      <c r="B272" s="348"/>
      <c r="C272" s="348"/>
      <c r="D272" s="336"/>
      <c r="X272" s="338"/>
      <c r="Y272" s="338"/>
      <c r="Z272" s="338"/>
      <c r="AA272" s="338"/>
      <c r="AB272" s="338"/>
      <c r="AC272" s="338"/>
      <c r="AD272" s="338"/>
      <c r="AE272" s="338"/>
      <c r="AF272" s="338"/>
      <c r="AG272" s="339"/>
      <c r="AH272" s="339"/>
      <c r="AI272" s="339"/>
      <c r="AJ272" s="339"/>
      <c r="AK272" s="339"/>
      <c r="AL272" s="339"/>
      <c r="AM272" s="339"/>
      <c r="AN272" s="339"/>
      <c r="AO272" s="339"/>
      <c r="AP272" s="339"/>
      <c r="AQ272" s="339"/>
      <c r="AR272" s="339"/>
      <c r="AS272" s="339"/>
      <c r="AT272" s="339"/>
      <c r="AU272" s="339"/>
      <c r="AV272" s="339"/>
      <c r="AW272" s="339"/>
      <c r="BC272" s="352"/>
      <c r="BE272" s="340"/>
      <c r="BG272" s="341"/>
      <c r="BK272" s="342"/>
    </row>
    <row r="273" spans="1:65" ht="12" customHeight="1">
      <c r="A273" s="398"/>
      <c r="B273" s="348"/>
      <c r="C273" s="348"/>
      <c r="D273" s="336"/>
      <c r="X273" s="338"/>
      <c r="Y273" s="338"/>
      <c r="Z273" s="338"/>
      <c r="AA273" s="338"/>
      <c r="AB273" s="338"/>
      <c r="AC273" s="338"/>
      <c r="AD273" s="338"/>
      <c r="AE273" s="338"/>
      <c r="AF273" s="338"/>
      <c r="AG273" s="339"/>
      <c r="AH273" s="339"/>
      <c r="AI273" s="339"/>
      <c r="AJ273" s="339"/>
      <c r="AK273" s="339"/>
      <c r="AL273" s="339"/>
      <c r="AM273" s="339"/>
      <c r="AN273" s="339"/>
      <c r="AO273" s="339"/>
      <c r="AP273" s="339"/>
      <c r="AQ273" s="339"/>
      <c r="AR273" s="339"/>
      <c r="AS273" s="339"/>
      <c r="AT273" s="339"/>
      <c r="AU273" s="339"/>
      <c r="AV273" s="339"/>
      <c r="AW273" s="339"/>
      <c r="BE273" s="340"/>
    </row>
    <row r="274" spans="1:65" ht="12" customHeight="1">
      <c r="A274" s="398"/>
      <c r="B274" s="348"/>
      <c r="C274" s="348"/>
      <c r="D274" s="336"/>
      <c r="X274" s="338"/>
      <c r="Y274" s="338"/>
      <c r="Z274" s="338"/>
      <c r="AA274" s="338"/>
      <c r="AB274" s="338"/>
      <c r="AC274" s="338"/>
      <c r="AD274" s="338"/>
      <c r="AE274" s="338"/>
      <c r="AF274" s="338"/>
      <c r="AG274" s="339"/>
      <c r="AH274" s="339"/>
      <c r="AI274" s="339"/>
      <c r="AJ274" s="339"/>
      <c r="AK274" s="339"/>
      <c r="AL274" s="339"/>
      <c r="AM274" s="339"/>
      <c r="AN274" s="339"/>
      <c r="AO274" s="339"/>
      <c r="AP274" s="339"/>
      <c r="AQ274" s="339"/>
      <c r="AR274" s="339"/>
      <c r="AS274" s="339"/>
      <c r="AT274" s="339"/>
      <c r="AU274" s="339"/>
      <c r="AV274" s="339"/>
      <c r="AW274" s="339"/>
      <c r="BE274" s="340"/>
    </row>
    <row r="275" spans="1:65" ht="12" customHeight="1">
      <c r="A275" s="398"/>
      <c r="B275" s="348"/>
      <c r="C275" s="348"/>
      <c r="D275" s="336"/>
      <c r="X275" s="338"/>
      <c r="Y275" s="338"/>
      <c r="Z275" s="338"/>
      <c r="AA275" s="338"/>
      <c r="AB275" s="338"/>
      <c r="AC275" s="338"/>
      <c r="AD275" s="338"/>
      <c r="AE275" s="338"/>
      <c r="AF275" s="338"/>
      <c r="AG275" s="339"/>
      <c r="AH275" s="339"/>
      <c r="AI275" s="339"/>
      <c r="AJ275" s="339"/>
      <c r="AK275" s="339"/>
      <c r="AL275" s="339"/>
      <c r="AM275" s="339"/>
      <c r="AN275" s="339"/>
      <c r="AO275" s="339"/>
      <c r="AP275" s="339"/>
      <c r="AQ275" s="339"/>
      <c r="AR275" s="339"/>
      <c r="AS275" s="339"/>
      <c r="AT275" s="339"/>
      <c r="AU275" s="339"/>
      <c r="AV275" s="339"/>
      <c r="AW275" s="339"/>
      <c r="BE275" s="340"/>
    </row>
    <row r="276" spans="1:65" ht="12" customHeight="1">
      <c r="A276" s="398"/>
      <c r="B276" s="348"/>
      <c r="C276" s="348"/>
      <c r="D276" s="336"/>
      <c r="X276" s="338"/>
      <c r="Y276" s="338"/>
      <c r="Z276" s="338"/>
      <c r="AA276" s="338"/>
      <c r="AB276" s="338"/>
      <c r="AC276" s="338"/>
      <c r="AD276" s="338"/>
      <c r="AE276" s="338"/>
      <c r="AF276" s="338"/>
      <c r="AG276" s="339"/>
      <c r="AH276" s="339"/>
      <c r="AI276" s="339"/>
      <c r="AJ276" s="339"/>
      <c r="AK276" s="339"/>
      <c r="AL276" s="339"/>
      <c r="AM276" s="339"/>
      <c r="AN276" s="339"/>
      <c r="AO276" s="339"/>
      <c r="AP276" s="339"/>
      <c r="AQ276" s="339"/>
      <c r="AR276" s="339"/>
      <c r="AS276" s="339"/>
      <c r="AT276" s="339"/>
      <c r="AU276" s="339"/>
      <c r="AV276" s="339"/>
      <c r="AW276" s="339"/>
      <c r="BC276" s="352"/>
      <c r="BE276" s="340"/>
      <c r="BG276" s="341"/>
      <c r="BK276" s="342"/>
    </row>
    <row r="277" spans="1:65" ht="12" customHeight="1">
      <c r="A277" s="398"/>
      <c r="B277" s="348"/>
      <c r="C277" s="348"/>
      <c r="D277" s="336"/>
      <c r="X277" s="338"/>
      <c r="Y277" s="338"/>
      <c r="Z277" s="338"/>
      <c r="AA277" s="338"/>
      <c r="AB277" s="338"/>
      <c r="AC277" s="338"/>
      <c r="AD277" s="338"/>
      <c r="AE277" s="338"/>
      <c r="AF277" s="338"/>
      <c r="AG277" s="339"/>
      <c r="AH277" s="339"/>
      <c r="AI277" s="339"/>
      <c r="AJ277" s="339"/>
      <c r="AK277" s="339"/>
      <c r="AL277" s="339"/>
      <c r="AM277" s="339"/>
      <c r="AN277" s="339"/>
      <c r="AO277" s="339"/>
      <c r="AP277" s="339"/>
      <c r="AQ277" s="339"/>
      <c r="AR277" s="339"/>
      <c r="AS277" s="339"/>
      <c r="AT277" s="339"/>
      <c r="AU277" s="339"/>
      <c r="AV277" s="339"/>
      <c r="AW277" s="339"/>
      <c r="BC277" s="352"/>
      <c r="BE277" s="340"/>
      <c r="BG277" s="341"/>
      <c r="BK277" s="342"/>
    </row>
    <row r="278" spans="1:65" ht="12" customHeight="1">
      <c r="A278" s="398"/>
      <c r="B278" s="348"/>
      <c r="C278" s="348"/>
      <c r="D278" s="336"/>
      <c r="X278" s="338"/>
      <c r="Y278" s="338"/>
      <c r="Z278" s="338"/>
      <c r="AA278" s="338"/>
      <c r="AB278" s="338"/>
      <c r="AC278" s="338"/>
      <c r="AD278" s="338"/>
      <c r="AE278" s="338"/>
      <c r="AF278" s="338"/>
      <c r="AG278" s="339"/>
      <c r="AH278" s="339"/>
      <c r="AI278" s="339"/>
      <c r="AJ278" s="339"/>
      <c r="AK278" s="339"/>
      <c r="AL278" s="339"/>
      <c r="AM278" s="339"/>
      <c r="AN278" s="339"/>
      <c r="AO278" s="339"/>
      <c r="AP278" s="339"/>
      <c r="AQ278" s="339"/>
      <c r="AR278" s="339"/>
      <c r="AS278" s="339"/>
      <c r="AT278" s="339"/>
      <c r="AU278" s="339"/>
      <c r="AV278" s="339"/>
      <c r="AW278" s="339"/>
      <c r="BE278" s="340"/>
    </row>
    <row r="279" spans="1:65" ht="12" customHeight="1">
      <c r="A279" s="398"/>
      <c r="B279" s="348"/>
      <c r="C279" s="348"/>
      <c r="D279" s="336"/>
      <c r="X279" s="338"/>
      <c r="Y279" s="338"/>
      <c r="Z279" s="338"/>
      <c r="AA279" s="338"/>
      <c r="AB279" s="338"/>
      <c r="AC279" s="338"/>
      <c r="AD279" s="338"/>
      <c r="AE279" s="338"/>
      <c r="AF279" s="338"/>
      <c r="AG279" s="339"/>
      <c r="AH279" s="339"/>
      <c r="AI279" s="339"/>
      <c r="AJ279" s="339"/>
      <c r="AK279" s="339"/>
      <c r="AL279" s="339"/>
      <c r="AM279" s="339"/>
      <c r="AN279" s="339"/>
      <c r="AO279" s="339"/>
      <c r="AP279" s="339"/>
      <c r="AQ279" s="339"/>
      <c r="AR279" s="339"/>
      <c r="AS279" s="339"/>
      <c r="AT279" s="339"/>
      <c r="AU279" s="339"/>
      <c r="AV279" s="339"/>
      <c r="AW279" s="339"/>
      <c r="BE279" s="340"/>
    </row>
    <row r="280" spans="1:65" ht="12" customHeight="1">
      <c r="A280" s="439"/>
      <c r="B280" s="439"/>
      <c r="C280" s="440"/>
      <c r="D280" s="336"/>
      <c r="E280" s="441"/>
      <c r="F280" s="441"/>
      <c r="G280" s="441"/>
      <c r="H280" s="441"/>
      <c r="I280" s="441"/>
      <c r="J280" s="441"/>
      <c r="K280" s="441"/>
      <c r="L280" s="441"/>
      <c r="M280" s="441"/>
      <c r="N280" s="441"/>
      <c r="O280" s="441"/>
      <c r="P280" s="441"/>
      <c r="Q280" s="441"/>
      <c r="R280" s="441"/>
      <c r="S280" s="441"/>
      <c r="T280" s="441"/>
      <c r="U280" s="441"/>
      <c r="W280" s="482"/>
      <c r="X280" s="495"/>
      <c r="Y280" s="495"/>
      <c r="Z280" s="495"/>
      <c r="AA280" s="495"/>
      <c r="AB280" s="495"/>
      <c r="AC280" s="495"/>
      <c r="AD280" s="495"/>
      <c r="AE280" s="495"/>
      <c r="AF280" s="495"/>
      <c r="AG280" s="496"/>
      <c r="AH280" s="496"/>
      <c r="AI280" s="496"/>
      <c r="AJ280" s="496"/>
      <c r="AK280" s="483"/>
      <c r="AL280" s="483"/>
      <c r="AM280" s="483"/>
      <c r="AN280" s="483"/>
      <c r="AO280" s="483"/>
      <c r="AP280" s="483"/>
      <c r="AQ280" s="483"/>
      <c r="AR280" s="483"/>
      <c r="AS280" s="483"/>
      <c r="AT280" s="483"/>
      <c r="AU280" s="483"/>
      <c r="AV280" s="483"/>
      <c r="AW280" s="483"/>
      <c r="BC280" s="352"/>
      <c r="BE280" s="340"/>
      <c r="BG280" s="341"/>
      <c r="BK280" s="342"/>
    </row>
    <row r="281" spans="1:65" ht="12" customHeight="1">
      <c r="A281" s="439"/>
      <c r="B281" s="439"/>
      <c r="C281" s="440"/>
      <c r="D281" s="336"/>
      <c r="E281" s="441"/>
      <c r="F281" s="441"/>
      <c r="G281" s="441"/>
      <c r="H281" s="441"/>
      <c r="I281" s="441"/>
      <c r="J281" s="441"/>
      <c r="K281" s="441"/>
      <c r="L281" s="441"/>
      <c r="M281" s="441"/>
      <c r="N281" s="441"/>
      <c r="O281" s="441"/>
      <c r="P281" s="441"/>
      <c r="Q281" s="441"/>
      <c r="R281" s="441"/>
      <c r="S281" s="441"/>
      <c r="T281" s="441"/>
      <c r="U281" s="441"/>
      <c r="W281" s="482"/>
      <c r="X281" s="495"/>
      <c r="Y281" s="495"/>
      <c r="Z281" s="495"/>
      <c r="AA281" s="495"/>
      <c r="AB281" s="495"/>
      <c r="AC281" s="495"/>
      <c r="AD281" s="495"/>
      <c r="AE281" s="495"/>
      <c r="AF281" s="495"/>
      <c r="AG281" s="496"/>
      <c r="AH281" s="496"/>
      <c r="AI281" s="496"/>
      <c r="AJ281" s="496"/>
      <c r="AK281" s="483"/>
      <c r="AL281" s="483"/>
      <c r="AM281" s="483"/>
      <c r="AN281" s="483"/>
      <c r="AO281" s="483"/>
      <c r="AP281" s="483"/>
      <c r="AQ281" s="483"/>
      <c r="AR281" s="483"/>
      <c r="AS281" s="483"/>
      <c r="AT281" s="483"/>
      <c r="AU281" s="483"/>
      <c r="AV281" s="483"/>
      <c r="AW281" s="483"/>
      <c r="BE281" s="340"/>
      <c r="BG281" s="341"/>
      <c r="BK281" s="342"/>
    </row>
    <row r="282" spans="1:65" ht="12" customHeight="1">
      <c r="A282" s="422"/>
      <c r="B282" s="348"/>
      <c r="C282" s="432"/>
      <c r="D282" s="336"/>
      <c r="X282" s="338"/>
      <c r="Y282" s="338"/>
      <c r="Z282" s="338"/>
      <c r="AA282" s="338"/>
      <c r="AB282" s="338"/>
      <c r="AC282" s="338"/>
      <c r="AD282" s="338"/>
      <c r="AE282" s="338"/>
      <c r="AF282" s="338"/>
      <c r="AG282" s="339"/>
      <c r="AH282" s="339"/>
      <c r="AI282" s="339"/>
      <c r="AJ282" s="339"/>
      <c r="AK282" s="339"/>
      <c r="AL282" s="339"/>
      <c r="AM282" s="339"/>
      <c r="AN282" s="339"/>
      <c r="AO282" s="339"/>
      <c r="AP282" s="339"/>
      <c r="AQ282" s="339"/>
      <c r="AR282" s="339"/>
      <c r="AS282" s="339"/>
      <c r="AT282" s="339"/>
      <c r="AU282" s="339"/>
      <c r="AV282" s="339"/>
      <c r="AW282" s="339"/>
      <c r="BD282" s="340"/>
      <c r="BE282" s="340"/>
      <c r="BG282" s="341"/>
      <c r="BH282" s="340"/>
      <c r="BI282" s="340"/>
      <c r="BK282" s="342"/>
      <c r="BL282" s="340"/>
      <c r="BM282" s="340"/>
    </row>
    <row r="283" spans="1:65" ht="12" customHeight="1">
      <c r="A283" s="398"/>
      <c r="B283" s="348"/>
      <c r="C283" s="348"/>
      <c r="D283" s="336"/>
      <c r="X283" s="338"/>
      <c r="Y283" s="338"/>
      <c r="Z283" s="338"/>
      <c r="AA283" s="338"/>
      <c r="AB283" s="338"/>
      <c r="AC283" s="338"/>
      <c r="AD283" s="338"/>
      <c r="AE283" s="338"/>
      <c r="AF283" s="338"/>
      <c r="AG283" s="339"/>
      <c r="AH283" s="339"/>
      <c r="AI283" s="339"/>
      <c r="AJ283" s="339"/>
      <c r="AK283" s="339"/>
      <c r="AL283" s="339"/>
      <c r="AM283" s="339"/>
      <c r="AN283" s="339"/>
      <c r="AO283" s="339"/>
      <c r="AP283" s="339"/>
      <c r="AQ283" s="339"/>
      <c r="AR283" s="339"/>
      <c r="AS283" s="339"/>
      <c r="AT283" s="339"/>
      <c r="AU283" s="339"/>
      <c r="AV283" s="339"/>
      <c r="AW283" s="339"/>
      <c r="BC283" s="352"/>
      <c r="BE283" s="340"/>
      <c r="BG283" s="341"/>
      <c r="BK283" s="342"/>
    </row>
    <row r="284" spans="1:65" ht="12" customHeight="1">
      <c r="A284" s="398"/>
      <c r="B284" s="348"/>
      <c r="C284" s="348"/>
      <c r="D284" s="336"/>
      <c r="X284" s="338"/>
      <c r="Y284" s="338"/>
      <c r="Z284" s="338"/>
      <c r="AA284" s="338"/>
      <c r="AB284" s="338"/>
      <c r="AC284" s="338"/>
      <c r="AD284" s="338"/>
      <c r="AE284" s="338"/>
      <c r="AF284" s="338"/>
      <c r="AG284" s="339"/>
      <c r="AH284" s="339"/>
      <c r="AI284" s="339"/>
      <c r="AJ284" s="339"/>
      <c r="AK284" s="339"/>
      <c r="AL284" s="339"/>
      <c r="AM284" s="339"/>
      <c r="AN284" s="339"/>
      <c r="AO284" s="339"/>
      <c r="AP284" s="425"/>
      <c r="AQ284" s="425"/>
      <c r="AR284" s="425"/>
      <c r="AS284" s="425"/>
      <c r="AT284" s="425"/>
      <c r="AU284" s="425"/>
      <c r="AV284" s="425"/>
      <c r="AW284" s="425"/>
      <c r="BC284" s="352"/>
      <c r="BE284" s="340"/>
      <c r="BG284" s="341"/>
      <c r="BK284" s="342"/>
    </row>
    <row r="285" spans="1:65" ht="12" customHeight="1">
      <c r="A285" s="398"/>
      <c r="B285" s="348"/>
      <c r="C285" s="348"/>
      <c r="D285" s="336"/>
      <c r="X285" s="338"/>
      <c r="Y285" s="338"/>
      <c r="Z285" s="338"/>
      <c r="AA285" s="338"/>
      <c r="AB285" s="338"/>
      <c r="AC285" s="338"/>
      <c r="AD285" s="338"/>
      <c r="AE285" s="338"/>
      <c r="AF285" s="338"/>
      <c r="AG285" s="339"/>
      <c r="AH285" s="339"/>
      <c r="AI285" s="339"/>
      <c r="AJ285" s="339"/>
      <c r="AK285" s="339"/>
      <c r="AL285" s="339"/>
      <c r="AM285" s="339"/>
      <c r="AN285" s="339"/>
      <c r="AO285" s="339"/>
      <c r="AP285" s="339"/>
      <c r="AQ285" s="339"/>
      <c r="AR285" s="339"/>
      <c r="AS285" s="339"/>
      <c r="AT285" s="339"/>
      <c r="AU285" s="339"/>
      <c r="AV285" s="339"/>
      <c r="AW285" s="339"/>
      <c r="BC285" s="352"/>
      <c r="BE285" s="340"/>
      <c r="BG285" s="341"/>
      <c r="BK285" s="342"/>
    </row>
    <row r="286" spans="1:65" ht="12" customHeight="1">
      <c r="A286" s="398"/>
      <c r="B286" s="348"/>
      <c r="C286" s="348"/>
      <c r="D286" s="336"/>
      <c r="X286" s="338"/>
      <c r="Y286" s="338"/>
      <c r="Z286" s="338"/>
      <c r="AA286" s="338"/>
      <c r="AB286" s="338"/>
      <c r="AC286" s="338"/>
      <c r="AD286" s="338"/>
      <c r="AE286" s="338"/>
      <c r="AF286" s="338"/>
      <c r="AG286" s="339"/>
      <c r="AH286" s="339"/>
      <c r="AI286" s="339"/>
      <c r="AJ286" s="339"/>
      <c r="AK286" s="339"/>
      <c r="AL286" s="339"/>
      <c r="AM286" s="339"/>
      <c r="AN286" s="339"/>
      <c r="AO286" s="339"/>
      <c r="AP286" s="339"/>
      <c r="AQ286" s="339"/>
      <c r="AR286" s="339"/>
      <c r="AS286" s="339"/>
      <c r="AT286" s="339"/>
      <c r="AU286" s="339"/>
      <c r="AV286" s="339"/>
      <c r="AW286" s="339"/>
      <c r="BE286" s="340"/>
    </row>
    <row r="287" spans="1:65" ht="12" customHeight="1">
      <c r="A287" s="398"/>
      <c r="B287" s="348"/>
      <c r="C287" s="348"/>
      <c r="D287" s="336"/>
      <c r="X287" s="338"/>
      <c r="Y287" s="338"/>
      <c r="Z287" s="338"/>
      <c r="AA287" s="338"/>
      <c r="AB287" s="338"/>
      <c r="AC287" s="338"/>
      <c r="AD287" s="338"/>
      <c r="AE287" s="338"/>
      <c r="AF287" s="338"/>
      <c r="AG287" s="339"/>
      <c r="AH287" s="339"/>
      <c r="AI287" s="339"/>
      <c r="AJ287" s="339"/>
      <c r="AK287" s="339"/>
      <c r="AL287" s="339"/>
      <c r="AM287" s="339"/>
      <c r="AN287" s="339"/>
      <c r="AO287" s="339"/>
      <c r="AP287" s="339"/>
      <c r="AQ287" s="339"/>
      <c r="AR287" s="339"/>
      <c r="AS287" s="339"/>
      <c r="AT287" s="339"/>
      <c r="AU287" s="339"/>
      <c r="AV287" s="339"/>
      <c r="AW287" s="339"/>
      <c r="BE287" s="340"/>
    </row>
    <row r="288" spans="1:65" ht="12" customHeight="1">
      <c r="A288" s="439"/>
      <c r="B288" s="439"/>
      <c r="C288" s="440"/>
      <c r="D288" s="336"/>
      <c r="E288" s="441"/>
      <c r="F288" s="441"/>
      <c r="G288" s="441"/>
      <c r="H288" s="441"/>
      <c r="I288" s="441"/>
      <c r="J288" s="441"/>
      <c r="K288" s="441"/>
      <c r="L288" s="441"/>
      <c r="M288" s="441"/>
      <c r="N288" s="441"/>
      <c r="O288" s="441"/>
      <c r="P288" s="441"/>
      <c r="Q288" s="441"/>
      <c r="R288" s="441"/>
      <c r="S288" s="441"/>
      <c r="T288" s="441"/>
      <c r="U288" s="441"/>
      <c r="W288" s="482"/>
      <c r="X288" s="495"/>
      <c r="Y288" s="495"/>
      <c r="Z288" s="495"/>
      <c r="AA288" s="495"/>
      <c r="AB288" s="495"/>
      <c r="AC288" s="495"/>
      <c r="AD288" s="495"/>
      <c r="AE288" s="495"/>
      <c r="AF288" s="495"/>
      <c r="AG288" s="496"/>
      <c r="AH288" s="496"/>
      <c r="AI288" s="496"/>
      <c r="AJ288" s="496"/>
      <c r="AK288" s="483"/>
      <c r="AL288" s="483"/>
      <c r="AM288" s="483"/>
      <c r="AN288" s="483"/>
      <c r="AO288" s="483"/>
      <c r="AP288" s="483"/>
      <c r="AQ288" s="483"/>
      <c r="AR288" s="483"/>
      <c r="AS288" s="483"/>
      <c r="AT288" s="483"/>
      <c r="AU288" s="483"/>
      <c r="AV288" s="483"/>
      <c r="AW288" s="483"/>
      <c r="BC288" s="352"/>
      <c r="BE288" s="340"/>
      <c r="BG288" s="341"/>
      <c r="BK288" s="342"/>
    </row>
    <row r="289" spans="1:65" ht="12" customHeight="1">
      <c r="A289" s="439"/>
      <c r="B289" s="439"/>
      <c r="C289" s="440"/>
      <c r="D289" s="336"/>
      <c r="E289" s="441"/>
      <c r="F289" s="441"/>
      <c r="G289" s="441"/>
      <c r="H289" s="441"/>
      <c r="I289" s="441"/>
      <c r="J289" s="441"/>
      <c r="K289" s="441"/>
      <c r="L289" s="441"/>
      <c r="M289" s="441"/>
      <c r="N289" s="441"/>
      <c r="O289" s="441"/>
      <c r="P289" s="441"/>
      <c r="Q289" s="441"/>
      <c r="R289" s="441"/>
      <c r="S289" s="441"/>
      <c r="T289" s="441"/>
      <c r="U289" s="441"/>
      <c r="W289" s="482"/>
      <c r="X289" s="495"/>
      <c r="Y289" s="495"/>
      <c r="Z289" s="495"/>
      <c r="AA289" s="495"/>
      <c r="AB289" s="495"/>
      <c r="AC289" s="495"/>
      <c r="AD289" s="495"/>
      <c r="AE289" s="495"/>
      <c r="AF289" s="495"/>
      <c r="AG289" s="496"/>
      <c r="AH289" s="496"/>
      <c r="AI289" s="496"/>
      <c r="AJ289" s="496"/>
      <c r="AK289" s="483"/>
      <c r="AL289" s="483"/>
      <c r="AM289" s="483"/>
      <c r="AN289" s="483"/>
      <c r="AO289" s="483"/>
      <c r="AP289" s="483"/>
      <c r="AQ289" s="483"/>
      <c r="AR289" s="483"/>
      <c r="AS289" s="483"/>
      <c r="AT289" s="483"/>
      <c r="AU289" s="483"/>
      <c r="AV289" s="483"/>
      <c r="AW289" s="483"/>
      <c r="BC289" s="352"/>
      <c r="BE289" s="340"/>
      <c r="BG289" s="341"/>
      <c r="BK289" s="342"/>
    </row>
    <row r="290" spans="1:65" ht="12" customHeight="1">
      <c r="A290" s="422"/>
      <c r="B290" s="348"/>
      <c r="C290" s="432"/>
      <c r="D290" s="336"/>
      <c r="X290" s="338"/>
      <c r="Y290" s="338"/>
      <c r="Z290" s="338"/>
      <c r="AA290" s="338"/>
      <c r="AB290" s="338"/>
      <c r="AC290" s="338"/>
      <c r="AD290" s="338"/>
      <c r="AE290" s="338"/>
      <c r="AF290" s="338"/>
      <c r="AG290" s="339"/>
      <c r="AH290" s="339"/>
      <c r="AI290" s="339"/>
      <c r="AJ290" s="339"/>
      <c r="AK290" s="339"/>
      <c r="AL290" s="339"/>
      <c r="AM290" s="339"/>
      <c r="AN290" s="339"/>
      <c r="AO290" s="339"/>
      <c r="AP290" s="339"/>
      <c r="AQ290" s="339"/>
      <c r="AR290" s="339"/>
      <c r="AS290" s="339"/>
      <c r="AT290" s="339"/>
      <c r="AU290" s="339"/>
      <c r="AV290" s="339"/>
      <c r="AW290" s="339"/>
      <c r="BC290" s="352"/>
      <c r="BD290" s="340"/>
      <c r="BE290" s="340"/>
      <c r="BG290" s="341"/>
      <c r="BH290" s="340"/>
      <c r="BI290" s="340"/>
      <c r="BK290" s="342"/>
      <c r="BL290" s="340"/>
      <c r="BM290" s="340"/>
    </row>
    <row r="291" spans="1:65" ht="12" customHeight="1">
      <c r="A291" s="398"/>
      <c r="B291" s="348"/>
      <c r="C291" s="348"/>
      <c r="D291" s="336"/>
      <c r="X291" s="338"/>
      <c r="Y291" s="338"/>
      <c r="Z291" s="338"/>
      <c r="AA291" s="338"/>
      <c r="AB291" s="338"/>
      <c r="AC291" s="338"/>
      <c r="AD291" s="338"/>
      <c r="AE291" s="338"/>
      <c r="AF291" s="338"/>
      <c r="AG291" s="339"/>
      <c r="AH291" s="339"/>
      <c r="AI291" s="339"/>
      <c r="AJ291" s="339"/>
      <c r="AK291" s="339"/>
      <c r="AL291" s="339"/>
      <c r="AM291" s="339"/>
      <c r="AN291" s="339"/>
      <c r="AO291" s="339"/>
      <c r="AP291" s="425"/>
      <c r="AQ291" s="425"/>
      <c r="AR291" s="425"/>
      <c r="AS291" s="425"/>
      <c r="AT291" s="425"/>
      <c r="AU291" s="425"/>
      <c r="AV291" s="425"/>
      <c r="AW291" s="425"/>
      <c r="BC291" s="352"/>
      <c r="BE291" s="340"/>
      <c r="BG291" s="341"/>
      <c r="BK291" s="342"/>
    </row>
    <row r="292" spans="1:65" ht="12" customHeight="1">
      <c r="A292" s="398"/>
      <c r="B292" s="348"/>
      <c r="C292" s="348"/>
      <c r="D292" s="336"/>
      <c r="X292" s="338"/>
      <c r="Y292" s="338"/>
      <c r="Z292" s="338"/>
      <c r="AA292" s="338"/>
      <c r="AB292" s="338"/>
      <c r="AC292" s="338"/>
      <c r="AD292" s="338"/>
      <c r="AE292" s="338"/>
      <c r="AF292" s="338"/>
      <c r="AG292" s="339"/>
      <c r="AH292" s="339"/>
      <c r="AI292" s="339"/>
      <c r="AJ292" s="339"/>
      <c r="AK292" s="339"/>
      <c r="AL292" s="339"/>
      <c r="AM292" s="339"/>
      <c r="AN292" s="339"/>
      <c r="AO292" s="339"/>
      <c r="AP292" s="425"/>
      <c r="AQ292" s="425"/>
      <c r="AR292" s="425"/>
      <c r="AS292" s="425"/>
      <c r="AT292" s="425"/>
      <c r="AU292" s="425"/>
      <c r="AV292" s="425"/>
      <c r="AW292" s="425"/>
      <c r="BC292" s="352"/>
      <c r="BE292" s="340"/>
      <c r="BG292" s="341"/>
      <c r="BK292" s="342"/>
    </row>
    <row r="293" spans="1:65" ht="12" customHeight="1">
      <c r="A293" s="398"/>
      <c r="B293" s="348"/>
      <c r="C293" s="348"/>
      <c r="D293" s="336"/>
      <c r="X293" s="338"/>
      <c r="Y293" s="338"/>
      <c r="Z293" s="338"/>
      <c r="AA293" s="338"/>
      <c r="AB293" s="338"/>
      <c r="AC293" s="338"/>
      <c r="AD293" s="338"/>
      <c r="AE293" s="338"/>
      <c r="AF293" s="338"/>
      <c r="AG293" s="339"/>
      <c r="AH293" s="339"/>
      <c r="AI293" s="339"/>
      <c r="AJ293" s="339"/>
      <c r="AK293" s="339"/>
      <c r="AL293" s="339"/>
      <c r="AM293" s="339"/>
      <c r="AN293" s="339"/>
      <c r="AO293" s="339"/>
      <c r="AP293" s="425"/>
      <c r="AQ293" s="425"/>
      <c r="AR293" s="425"/>
      <c r="AS293" s="425"/>
      <c r="AT293" s="425"/>
      <c r="AU293" s="425"/>
      <c r="AV293" s="425"/>
      <c r="AW293" s="425"/>
      <c r="BE293" s="340"/>
      <c r="BG293" s="341"/>
      <c r="BK293" s="342"/>
    </row>
    <row r="294" spans="1:65" ht="12" customHeight="1">
      <c r="A294" s="398"/>
      <c r="B294" s="348"/>
      <c r="C294" s="348"/>
      <c r="D294" s="336"/>
      <c r="X294" s="338"/>
      <c r="Y294" s="338"/>
      <c r="Z294" s="338"/>
      <c r="AA294" s="338"/>
      <c r="AB294" s="338"/>
      <c r="AC294" s="338"/>
      <c r="AD294" s="338"/>
      <c r="AE294" s="338"/>
      <c r="AF294" s="338"/>
      <c r="AG294" s="339"/>
      <c r="AH294" s="339"/>
      <c r="AI294" s="339"/>
      <c r="AJ294" s="339"/>
      <c r="AK294" s="339"/>
      <c r="AL294" s="339"/>
      <c r="AM294" s="339"/>
      <c r="AN294" s="339"/>
      <c r="AO294" s="339"/>
      <c r="AP294" s="339"/>
      <c r="AQ294" s="339"/>
      <c r="AR294" s="339"/>
      <c r="AS294" s="339"/>
      <c r="AT294" s="339"/>
      <c r="AU294" s="339"/>
      <c r="AV294" s="339"/>
      <c r="AW294" s="339"/>
      <c r="BE294" s="340"/>
      <c r="BG294" s="341"/>
      <c r="BK294" s="342"/>
    </row>
    <row r="295" spans="1:65" ht="12" customHeight="1">
      <c r="A295" s="398"/>
      <c r="B295" s="348"/>
      <c r="C295" s="348"/>
      <c r="D295" s="336"/>
      <c r="X295" s="338"/>
      <c r="Y295" s="338"/>
      <c r="Z295" s="338"/>
      <c r="AA295" s="338"/>
      <c r="AB295" s="338"/>
      <c r="AC295" s="338"/>
      <c r="AD295" s="338"/>
      <c r="AE295" s="338"/>
      <c r="AF295" s="338"/>
      <c r="AG295" s="339"/>
      <c r="AH295" s="339"/>
      <c r="AI295" s="339"/>
      <c r="AJ295" s="339"/>
      <c r="AK295" s="339"/>
      <c r="AL295" s="339"/>
      <c r="AM295" s="339"/>
      <c r="AN295" s="339"/>
      <c r="AO295" s="339"/>
      <c r="AP295" s="339"/>
      <c r="AQ295" s="339"/>
      <c r="AR295" s="339"/>
      <c r="AS295" s="339"/>
      <c r="AT295" s="339"/>
      <c r="AU295" s="339"/>
      <c r="AV295" s="339"/>
      <c r="AW295" s="339"/>
      <c r="BE295" s="340"/>
      <c r="BG295" s="341"/>
      <c r="BK295" s="342"/>
    </row>
    <row r="296" spans="1:65" ht="12" customHeight="1">
      <c r="A296" s="398"/>
      <c r="B296" s="348"/>
      <c r="C296" s="348"/>
      <c r="D296" s="336"/>
      <c r="X296" s="338"/>
      <c r="Y296" s="338"/>
      <c r="Z296" s="338"/>
      <c r="AA296" s="338"/>
      <c r="AB296" s="338"/>
      <c r="AC296" s="338"/>
      <c r="AD296" s="338"/>
      <c r="AE296" s="338"/>
      <c r="AF296" s="338"/>
      <c r="AG296" s="339"/>
      <c r="AH296" s="339"/>
      <c r="AI296" s="339"/>
      <c r="AJ296" s="339"/>
      <c r="AK296" s="339"/>
      <c r="AL296" s="339"/>
      <c r="AM296" s="339"/>
      <c r="AN296" s="339"/>
      <c r="AO296" s="339"/>
      <c r="AP296" s="339"/>
      <c r="AQ296" s="339"/>
      <c r="AR296" s="339"/>
      <c r="AS296" s="339"/>
      <c r="AT296" s="339"/>
      <c r="AU296" s="339"/>
      <c r="AV296" s="339"/>
      <c r="AW296" s="339"/>
      <c r="BE296" s="340"/>
      <c r="BG296" s="341"/>
      <c r="BK296" s="342"/>
    </row>
    <row r="297" spans="1:65" ht="12" customHeight="1">
      <c r="A297" s="398"/>
      <c r="B297" s="348"/>
      <c r="C297" s="348"/>
      <c r="D297" s="336"/>
      <c r="X297" s="338"/>
      <c r="Y297" s="338"/>
      <c r="Z297" s="338"/>
      <c r="AA297" s="338"/>
      <c r="AB297" s="338"/>
      <c r="AC297" s="338"/>
      <c r="AD297" s="338"/>
      <c r="AE297" s="338"/>
      <c r="AF297" s="338"/>
      <c r="AG297" s="339"/>
      <c r="AH297" s="339"/>
      <c r="AI297" s="339"/>
      <c r="AJ297" s="339"/>
      <c r="AK297" s="339"/>
      <c r="AL297" s="339"/>
      <c r="AM297" s="339"/>
      <c r="AN297" s="339"/>
      <c r="AO297" s="339"/>
      <c r="AP297" s="339"/>
      <c r="AQ297" s="339"/>
      <c r="AR297" s="339"/>
      <c r="AS297" s="339"/>
      <c r="AT297" s="339"/>
      <c r="AU297" s="339"/>
      <c r="AV297" s="339"/>
      <c r="AW297" s="339"/>
      <c r="BE297" s="340"/>
      <c r="BG297" s="341"/>
      <c r="BK297" s="342"/>
    </row>
    <row r="298" spans="1:65" ht="12" customHeight="1">
      <c r="A298" s="398"/>
      <c r="B298" s="348"/>
      <c r="C298" s="348"/>
      <c r="D298" s="336"/>
      <c r="W298" s="485"/>
      <c r="X298" s="338"/>
      <c r="Y298" s="338"/>
      <c r="Z298" s="338"/>
      <c r="AA298" s="338"/>
      <c r="AB298" s="338"/>
      <c r="AC298" s="338"/>
      <c r="AD298" s="338"/>
      <c r="AE298" s="338"/>
      <c r="AF298" s="338"/>
      <c r="AG298" s="339"/>
      <c r="AH298" s="339"/>
      <c r="AI298" s="339"/>
      <c r="AJ298" s="339"/>
      <c r="AK298" s="339"/>
      <c r="AL298" s="339"/>
      <c r="AM298" s="339"/>
      <c r="AN298" s="339"/>
      <c r="AO298" s="339"/>
      <c r="AP298" s="339"/>
      <c r="AQ298" s="339"/>
      <c r="AR298" s="339"/>
      <c r="AS298" s="339"/>
      <c r="AT298" s="339"/>
      <c r="AU298" s="339"/>
      <c r="AV298" s="339"/>
      <c r="AW298" s="339"/>
      <c r="BE298" s="340"/>
      <c r="BG298" s="341"/>
      <c r="BK298" s="342"/>
    </row>
    <row r="299" spans="1:65" ht="12" customHeight="1">
      <c r="A299" s="398"/>
      <c r="B299" s="348"/>
      <c r="C299" s="348"/>
      <c r="D299" s="336"/>
      <c r="X299" s="338"/>
      <c r="Y299" s="338"/>
      <c r="Z299" s="338"/>
      <c r="AA299" s="338"/>
      <c r="AB299" s="338"/>
      <c r="AC299" s="338"/>
      <c r="AD299" s="338"/>
      <c r="AE299" s="338"/>
      <c r="AF299" s="338"/>
      <c r="AG299" s="339"/>
      <c r="AH299" s="339"/>
      <c r="AI299" s="339"/>
      <c r="AJ299" s="339"/>
      <c r="AK299" s="339"/>
      <c r="AL299" s="339"/>
      <c r="AM299" s="339"/>
      <c r="AN299" s="425"/>
      <c r="AO299" s="425"/>
      <c r="AP299" s="425"/>
      <c r="AQ299" s="425"/>
      <c r="AR299" s="425"/>
      <c r="AS299" s="425"/>
      <c r="AT299" s="425"/>
      <c r="AU299" s="425"/>
      <c r="AV299" s="425"/>
      <c r="AW299" s="425"/>
      <c r="BE299" s="340"/>
      <c r="BG299" s="341"/>
      <c r="BK299" s="342"/>
    </row>
    <row r="300" spans="1:65" ht="12" customHeight="1">
      <c r="A300" s="398"/>
      <c r="B300" s="348"/>
      <c r="C300" s="348"/>
      <c r="D300" s="336"/>
      <c r="X300" s="338"/>
      <c r="Y300" s="338"/>
      <c r="Z300" s="338"/>
      <c r="AA300" s="338"/>
      <c r="AB300" s="338"/>
      <c r="AC300" s="338"/>
      <c r="AD300" s="338"/>
      <c r="AE300" s="338"/>
      <c r="AF300" s="338"/>
      <c r="AG300" s="339"/>
      <c r="AH300" s="339"/>
      <c r="AI300" s="339"/>
      <c r="AJ300" s="339"/>
      <c r="AK300" s="339"/>
      <c r="AL300" s="339"/>
      <c r="AM300" s="339"/>
      <c r="AN300" s="339"/>
      <c r="AO300" s="339"/>
      <c r="AP300" s="339"/>
      <c r="AQ300" s="339"/>
      <c r="AR300" s="339"/>
      <c r="AS300" s="339"/>
      <c r="AT300" s="339"/>
      <c r="AU300" s="339"/>
      <c r="AV300" s="339"/>
      <c r="AW300" s="339"/>
      <c r="BE300" s="340"/>
      <c r="BG300" s="341"/>
      <c r="BK300" s="342"/>
    </row>
    <row r="301" spans="1:65" ht="12" customHeight="1">
      <c r="A301" s="398"/>
      <c r="B301" s="348"/>
      <c r="C301" s="348"/>
      <c r="D301" s="336"/>
      <c r="X301" s="338"/>
      <c r="Y301" s="338"/>
      <c r="Z301" s="338"/>
      <c r="AA301" s="338"/>
      <c r="AB301" s="338"/>
      <c r="AC301" s="338"/>
      <c r="AD301" s="338"/>
      <c r="AE301" s="338"/>
      <c r="AF301" s="338"/>
      <c r="AG301" s="339"/>
      <c r="AH301" s="339"/>
      <c r="AI301" s="339"/>
      <c r="AJ301" s="339"/>
      <c r="AK301" s="339"/>
      <c r="AL301" s="339"/>
      <c r="AM301" s="339"/>
      <c r="AN301" s="339"/>
      <c r="AO301" s="339"/>
      <c r="AP301" s="339"/>
      <c r="AQ301" s="339"/>
      <c r="AR301" s="339"/>
      <c r="AS301" s="339"/>
      <c r="AT301" s="339"/>
      <c r="AU301" s="339"/>
      <c r="AV301" s="339"/>
      <c r="AW301" s="339"/>
      <c r="BE301" s="340"/>
      <c r="BG301" s="341"/>
      <c r="BK301" s="342"/>
    </row>
    <row r="302" spans="1:65" ht="12" customHeight="1">
      <c r="A302" s="398"/>
      <c r="B302" s="348"/>
      <c r="C302" s="348"/>
      <c r="D302" s="336"/>
      <c r="X302" s="338"/>
      <c r="Y302" s="338"/>
      <c r="Z302" s="338"/>
      <c r="AA302" s="338"/>
      <c r="AB302" s="338"/>
      <c r="AC302" s="338"/>
      <c r="AD302" s="338"/>
      <c r="AE302" s="338"/>
      <c r="AF302" s="338"/>
      <c r="AG302" s="339"/>
      <c r="AH302" s="339"/>
      <c r="AI302" s="339"/>
      <c r="AJ302" s="339"/>
      <c r="AK302" s="339"/>
      <c r="AL302" s="339"/>
      <c r="AM302" s="339"/>
      <c r="AN302" s="339"/>
      <c r="AO302" s="339"/>
      <c r="AP302" s="339"/>
      <c r="AQ302" s="339"/>
      <c r="AR302" s="339"/>
      <c r="AS302" s="339"/>
      <c r="AT302" s="339"/>
      <c r="AU302" s="339"/>
      <c r="AV302" s="339"/>
      <c r="AW302" s="339"/>
      <c r="BE302" s="340"/>
      <c r="BG302" s="341"/>
      <c r="BK302" s="342"/>
    </row>
    <row r="303" spans="1:65" ht="12" customHeight="1">
      <c r="A303" s="398"/>
      <c r="B303" s="348"/>
      <c r="C303" s="348"/>
      <c r="D303" s="336"/>
      <c r="X303" s="338"/>
      <c r="Y303" s="338"/>
      <c r="Z303" s="338"/>
      <c r="AA303" s="338"/>
      <c r="AB303" s="338"/>
      <c r="AC303" s="338"/>
      <c r="AD303" s="338"/>
      <c r="AE303" s="338"/>
      <c r="AF303" s="338"/>
      <c r="AG303" s="339"/>
      <c r="AH303" s="339"/>
      <c r="AI303" s="339"/>
      <c r="AJ303" s="339"/>
      <c r="AK303" s="339"/>
      <c r="AL303" s="339"/>
      <c r="AM303" s="339"/>
      <c r="AN303" s="339"/>
      <c r="AO303" s="339"/>
      <c r="AP303" s="339"/>
      <c r="AQ303" s="339"/>
      <c r="AR303" s="339"/>
      <c r="AS303" s="339"/>
      <c r="AT303" s="339"/>
      <c r="AU303" s="339"/>
      <c r="AV303" s="339"/>
      <c r="AW303" s="339"/>
      <c r="BE303" s="340"/>
      <c r="BG303" s="341"/>
      <c r="BK303" s="342"/>
    </row>
    <row r="304" spans="1:65" ht="12" customHeight="1">
      <c r="A304" s="439"/>
      <c r="B304" s="439"/>
      <c r="C304" s="440"/>
      <c r="D304" s="336"/>
      <c r="E304" s="440"/>
      <c r="F304" s="440"/>
      <c r="G304" s="440"/>
      <c r="H304" s="440"/>
      <c r="I304" s="440"/>
      <c r="J304" s="440"/>
      <c r="K304" s="440"/>
      <c r="L304" s="440"/>
      <c r="M304" s="440"/>
      <c r="N304" s="440"/>
      <c r="O304" s="440"/>
      <c r="P304" s="440"/>
      <c r="Q304" s="440"/>
      <c r="R304" s="440"/>
      <c r="S304" s="440"/>
      <c r="T304" s="440"/>
      <c r="U304" s="440"/>
      <c r="W304" s="482"/>
      <c r="X304" s="495"/>
      <c r="Y304" s="495"/>
      <c r="Z304" s="495"/>
      <c r="AA304" s="495"/>
      <c r="AB304" s="495"/>
      <c r="AC304" s="495"/>
      <c r="AD304" s="495"/>
      <c r="AE304" s="495"/>
      <c r="AF304" s="495"/>
      <c r="AG304" s="496"/>
      <c r="AH304" s="496"/>
      <c r="AI304" s="496"/>
      <c r="AJ304" s="496"/>
      <c r="AK304" s="483"/>
      <c r="AL304" s="483"/>
      <c r="AM304" s="483"/>
      <c r="AN304" s="483"/>
      <c r="AO304" s="483"/>
      <c r="AP304" s="483"/>
      <c r="AQ304" s="483"/>
      <c r="AR304" s="483"/>
      <c r="AS304" s="483"/>
      <c r="AT304" s="483"/>
      <c r="AU304" s="483"/>
      <c r="AV304" s="483"/>
      <c r="AW304" s="483"/>
      <c r="BE304" s="340"/>
      <c r="BG304" s="341"/>
      <c r="BK304" s="342"/>
    </row>
    <row r="305" spans="1:65" ht="12" customHeight="1">
      <c r="A305" s="439"/>
      <c r="B305" s="439"/>
      <c r="C305" s="440"/>
      <c r="D305" s="336"/>
      <c r="E305" s="440"/>
      <c r="F305" s="440"/>
      <c r="G305" s="440"/>
      <c r="H305" s="440"/>
      <c r="I305" s="440"/>
      <c r="J305" s="440"/>
      <c r="K305" s="440"/>
      <c r="L305" s="440"/>
      <c r="M305" s="440"/>
      <c r="N305" s="440"/>
      <c r="O305" s="440"/>
      <c r="P305" s="440"/>
      <c r="Q305" s="440"/>
      <c r="R305" s="440"/>
      <c r="S305" s="440"/>
      <c r="T305" s="440"/>
      <c r="U305" s="440"/>
      <c r="W305" s="482"/>
      <c r="X305" s="495"/>
      <c r="Y305" s="495"/>
      <c r="Z305" s="495"/>
      <c r="AA305" s="495"/>
      <c r="AB305" s="495"/>
      <c r="AC305" s="495"/>
      <c r="AD305" s="495"/>
      <c r="AE305" s="495"/>
      <c r="AF305" s="495"/>
      <c r="AG305" s="496"/>
      <c r="AH305" s="496"/>
      <c r="AI305" s="496"/>
      <c r="AJ305" s="496"/>
      <c r="AK305" s="483"/>
      <c r="AL305" s="483"/>
      <c r="AM305" s="483"/>
      <c r="AN305" s="483"/>
      <c r="AO305" s="483"/>
      <c r="AP305" s="483"/>
      <c r="AQ305" s="483"/>
      <c r="AR305" s="483"/>
      <c r="AS305" s="483"/>
      <c r="AT305" s="483"/>
      <c r="AU305" s="483"/>
      <c r="AV305" s="483"/>
      <c r="AW305" s="483"/>
      <c r="BC305" s="352"/>
      <c r="BE305" s="340"/>
      <c r="BG305" s="341"/>
      <c r="BK305" s="342"/>
    </row>
    <row r="306" spans="1:65" ht="12" customHeight="1">
      <c r="A306" s="422"/>
      <c r="B306" s="348"/>
      <c r="C306" s="432"/>
      <c r="D306" s="336"/>
      <c r="X306" s="338"/>
      <c r="Y306" s="338"/>
      <c r="Z306" s="338"/>
      <c r="AA306" s="338"/>
      <c r="AB306" s="338"/>
      <c r="AC306" s="338"/>
      <c r="AD306" s="338"/>
      <c r="AE306" s="338"/>
      <c r="AF306" s="338"/>
      <c r="AG306" s="339"/>
      <c r="AH306" s="339"/>
      <c r="AI306" s="339"/>
      <c r="AJ306" s="339"/>
      <c r="AK306" s="339"/>
      <c r="AL306" s="339"/>
      <c r="AM306" s="339"/>
      <c r="AN306" s="339"/>
      <c r="AO306" s="339"/>
      <c r="AP306" s="339"/>
      <c r="AQ306" s="339"/>
      <c r="AR306" s="339"/>
      <c r="AS306" s="339"/>
      <c r="AT306" s="339"/>
      <c r="AU306" s="339"/>
      <c r="AV306" s="339"/>
      <c r="AW306" s="339"/>
      <c r="BC306" s="352"/>
      <c r="BD306" s="340"/>
      <c r="BE306" s="340"/>
      <c r="BG306" s="341"/>
      <c r="BH306" s="340"/>
      <c r="BI306" s="340"/>
      <c r="BK306" s="342"/>
      <c r="BL306" s="340"/>
      <c r="BM306" s="340"/>
    </row>
    <row r="307" spans="1:65" ht="12" customHeight="1">
      <c r="A307" s="422"/>
      <c r="B307" s="348"/>
      <c r="C307" s="432"/>
      <c r="D307" s="336"/>
      <c r="X307" s="338"/>
      <c r="Y307" s="338"/>
      <c r="Z307" s="338"/>
      <c r="AA307" s="338"/>
      <c r="AB307" s="338"/>
      <c r="AC307" s="338"/>
      <c r="AD307" s="338"/>
      <c r="AE307" s="338"/>
      <c r="AF307" s="338"/>
      <c r="AG307" s="339"/>
      <c r="AH307" s="339"/>
      <c r="AI307" s="339"/>
      <c r="AJ307" s="339"/>
      <c r="AK307" s="339"/>
      <c r="AL307" s="339"/>
      <c r="AM307" s="339"/>
      <c r="AN307" s="339"/>
      <c r="AO307" s="339"/>
      <c r="AP307" s="339"/>
      <c r="AQ307" s="339"/>
      <c r="AR307" s="339"/>
      <c r="AS307" s="339"/>
      <c r="AT307" s="339"/>
      <c r="AU307" s="339"/>
      <c r="AV307" s="339"/>
      <c r="AW307" s="339"/>
      <c r="BE307" s="340"/>
    </row>
    <row r="308" spans="1:65" ht="12" customHeight="1">
      <c r="A308" s="398"/>
      <c r="B308" s="348"/>
      <c r="C308" s="348"/>
      <c r="D308" s="336"/>
      <c r="X308" s="338"/>
      <c r="Y308" s="338"/>
      <c r="Z308" s="338"/>
      <c r="AA308" s="338"/>
      <c r="AB308" s="338"/>
      <c r="AC308" s="338"/>
      <c r="AD308" s="338"/>
      <c r="AE308" s="338"/>
      <c r="AF308" s="338"/>
      <c r="AG308" s="339"/>
      <c r="AH308" s="339"/>
      <c r="AI308" s="339"/>
      <c r="AJ308" s="339"/>
      <c r="AK308" s="339"/>
      <c r="AL308" s="339"/>
      <c r="AM308" s="339"/>
      <c r="AN308" s="339"/>
      <c r="AO308" s="339"/>
      <c r="AP308" s="339"/>
      <c r="AQ308" s="339"/>
      <c r="AR308" s="339"/>
      <c r="AS308" s="339"/>
      <c r="AT308" s="339"/>
      <c r="AU308" s="339"/>
      <c r="AV308" s="339"/>
      <c r="AW308" s="339"/>
      <c r="BC308" s="352"/>
      <c r="BE308" s="340"/>
      <c r="BG308" s="341"/>
      <c r="BK308" s="342"/>
    </row>
    <row r="309" spans="1:65" ht="12" customHeight="1">
      <c r="A309" s="398"/>
      <c r="B309" s="348"/>
      <c r="C309" s="348"/>
      <c r="D309" s="336"/>
      <c r="X309" s="338"/>
      <c r="Y309" s="338"/>
      <c r="Z309" s="338"/>
      <c r="AA309" s="338"/>
      <c r="AB309" s="338"/>
      <c r="AC309" s="338"/>
      <c r="AD309" s="338"/>
      <c r="AE309" s="338"/>
      <c r="AF309" s="338"/>
      <c r="AG309" s="339"/>
      <c r="AH309" s="339"/>
      <c r="AI309" s="339"/>
      <c r="AJ309" s="339"/>
      <c r="AK309" s="339"/>
      <c r="AL309" s="339"/>
      <c r="AM309" s="339"/>
      <c r="AN309" s="339"/>
      <c r="AO309" s="339"/>
      <c r="AP309" s="339"/>
      <c r="AQ309" s="339"/>
      <c r="AR309" s="339"/>
      <c r="AS309" s="339"/>
      <c r="AT309" s="339"/>
      <c r="AU309" s="339"/>
      <c r="AV309" s="339"/>
      <c r="AW309" s="339"/>
      <c r="BC309" s="352"/>
      <c r="BE309" s="340"/>
      <c r="BG309" s="341"/>
      <c r="BK309" s="342"/>
    </row>
    <row r="310" spans="1:65" ht="12" customHeight="1">
      <c r="A310" s="439"/>
      <c r="B310" s="439"/>
      <c r="C310" s="440"/>
      <c r="D310" s="336"/>
      <c r="E310" s="440"/>
      <c r="F310" s="440"/>
      <c r="G310" s="440"/>
      <c r="H310" s="440"/>
      <c r="I310" s="440"/>
      <c r="J310" s="440"/>
      <c r="K310" s="440"/>
      <c r="L310" s="440"/>
      <c r="M310" s="440"/>
      <c r="N310" s="440"/>
      <c r="O310" s="440"/>
      <c r="P310" s="440"/>
      <c r="Q310" s="440"/>
      <c r="R310" s="440"/>
      <c r="S310" s="440"/>
      <c r="T310" s="440"/>
      <c r="U310" s="440"/>
      <c r="W310" s="482"/>
      <c r="X310" s="495"/>
      <c r="Y310" s="495"/>
      <c r="Z310" s="495"/>
      <c r="AA310" s="495"/>
      <c r="AB310" s="495"/>
      <c r="AC310" s="495"/>
      <c r="AD310" s="495"/>
      <c r="AE310" s="495"/>
      <c r="AF310" s="495"/>
      <c r="AG310" s="496"/>
      <c r="AH310" s="496"/>
      <c r="AI310" s="496"/>
      <c r="AJ310" s="496"/>
      <c r="AK310" s="483"/>
      <c r="AL310" s="483"/>
      <c r="AM310" s="483"/>
      <c r="AN310" s="483"/>
      <c r="AO310" s="483"/>
      <c r="AP310" s="483"/>
      <c r="AQ310" s="483"/>
      <c r="AR310" s="483"/>
      <c r="AS310" s="483"/>
      <c r="AT310" s="483"/>
      <c r="AU310" s="483"/>
      <c r="AV310" s="483"/>
      <c r="AW310" s="483"/>
      <c r="BC310" s="352"/>
      <c r="BE310" s="340"/>
      <c r="BG310" s="341"/>
      <c r="BK310" s="342"/>
    </row>
    <row r="311" spans="1:65" ht="12" customHeight="1">
      <c r="A311" s="439"/>
      <c r="B311" s="439"/>
      <c r="C311" s="440"/>
      <c r="D311" s="336"/>
      <c r="E311" s="440"/>
      <c r="F311" s="440"/>
      <c r="G311" s="440"/>
      <c r="H311" s="440"/>
      <c r="I311" s="440"/>
      <c r="J311" s="440"/>
      <c r="K311" s="440"/>
      <c r="L311" s="440"/>
      <c r="M311" s="440"/>
      <c r="N311" s="440"/>
      <c r="O311" s="440"/>
      <c r="P311" s="440"/>
      <c r="Q311" s="440"/>
      <c r="R311" s="440"/>
      <c r="S311" s="440"/>
      <c r="T311" s="440"/>
      <c r="U311" s="440"/>
      <c r="W311" s="482"/>
      <c r="X311" s="495"/>
      <c r="Y311" s="495"/>
      <c r="Z311" s="495"/>
      <c r="AA311" s="495"/>
      <c r="AB311" s="495"/>
      <c r="AC311" s="495"/>
      <c r="AD311" s="495"/>
      <c r="AE311" s="495"/>
      <c r="AF311" s="495"/>
      <c r="AG311" s="496"/>
      <c r="AH311" s="496"/>
      <c r="AI311" s="496"/>
      <c r="AJ311" s="496"/>
      <c r="AK311" s="483"/>
      <c r="AL311" s="483"/>
      <c r="AM311" s="483"/>
      <c r="AN311" s="483"/>
      <c r="AO311" s="483"/>
      <c r="AP311" s="483"/>
      <c r="AQ311" s="483"/>
      <c r="AR311" s="483"/>
      <c r="AS311" s="483"/>
      <c r="AT311" s="483"/>
      <c r="AU311" s="483"/>
      <c r="AV311" s="483"/>
      <c r="AW311" s="483"/>
      <c r="BC311" s="352"/>
      <c r="BE311" s="340"/>
      <c r="BG311" s="341"/>
      <c r="BK311" s="342"/>
    </row>
    <row r="312" spans="1:65" ht="12" customHeight="1">
      <c r="A312" s="422"/>
      <c r="B312" s="348"/>
      <c r="C312" s="432"/>
      <c r="D312" s="336"/>
      <c r="X312" s="493"/>
      <c r="Y312" s="493"/>
      <c r="Z312" s="493"/>
      <c r="AA312" s="493"/>
      <c r="AB312" s="493"/>
      <c r="AC312" s="493"/>
      <c r="AD312" s="493"/>
      <c r="AE312" s="493"/>
      <c r="AF312" s="493"/>
      <c r="AG312" s="494"/>
      <c r="AH312" s="494"/>
      <c r="AI312" s="494"/>
      <c r="AJ312" s="494"/>
      <c r="AK312" s="339"/>
      <c r="AL312" s="339"/>
      <c r="AM312" s="339"/>
      <c r="AN312" s="339"/>
      <c r="AO312" s="339"/>
      <c r="AP312" s="339"/>
      <c r="AQ312" s="339"/>
      <c r="AR312" s="339"/>
      <c r="AS312" s="339"/>
      <c r="AT312" s="339"/>
      <c r="AU312" s="339"/>
      <c r="AV312" s="339"/>
      <c r="AW312" s="339"/>
      <c r="BC312" s="352"/>
      <c r="BE312" s="340"/>
      <c r="BG312" s="341"/>
      <c r="BH312" s="340"/>
      <c r="BI312" s="340"/>
      <c r="BK312" s="342"/>
      <c r="BL312" s="340"/>
      <c r="BM312" s="340"/>
    </row>
    <row r="313" spans="1:65" ht="12" customHeight="1">
      <c r="A313" s="398"/>
      <c r="B313" s="348"/>
      <c r="C313" s="348"/>
      <c r="D313" s="336"/>
      <c r="X313" s="493"/>
      <c r="Y313" s="493"/>
      <c r="Z313" s="493"/>
      <c r="AA313" s="493"/>
      <c r="AB313" s="493"/>
      <c r="AC313" s="493"/>
      <c r="AD313" s="493"/>
      <c r="AE313" s="493"/>
      <c r="AF313" s="493"/>
      <c r="AG313" s="494"/>
      <c r="AH313" s="494"/>
      <c r="AI313" s="494"/>
      <c r="AJ313" s="494"/>
      <c r="AK313" s="339"/>
      <c r="AL313" s="339"/>
      <c r="AM313" s="339"/>
      <c r="AN313" s="339"/>
      <c r="AO313" s="339"/>
      <c r="AP313" s="339"/>
      <c r="AQ313" s="339"/>
      <c r="AR313" s="339"/>
      <c r="AS313" s="425"/>
      <c r="AT313" s="425"/>
      <c r="AU313" s="425"/>
      <c r="AV313" s="425"/>
      <c r="AW313" s="425"/>
      <c r="BC313" s="352"/>
      <c r="BG313" s="341"/>
      <c r="BK313" s="342"/>
    </row>
    <row r="314" spans="1:65" ht="12" customHeight="1">
      <c r="A314" s="422"/>
      <c r="B314" s="432"/>
      <c r="C314" s="348"/>
      <c r="D314" s="336"/>
      <c r="X314" s="433"/>
      <c r="Y314" s="433"/>
      <c r="Z314" s="433"/>
      <c r="AA314" s="433"/>
      <c r="AB314" s="433"/>
      <c r="AC314" s="433"/>
      <c r="AD314" s="433"/>
      <c r="AE314" s="433"/>
      <c r="AF314" s="433"/>
      <c r="AG314" s="434"/>
      <c r="AH314" s="434"/>
      <c r="AI314" s="434"/>
      <c r="AJ314" s="434"/>
      <c r="AK314" s="434"/>
      <c r="AL314" s="434"/>
      <c r="AM314" s="434"/>
      <c r="AN314" s="434"/>
      <c r="AO314" s="434"/>
      <c r="AP314" s="434"/>
      <c r="AQ314" s="434"/>
      <c r="AR314" s="434"/>
      <c r="AS314" s="434"/>
      <c r="AT314" s="434"/>
      <c r="AU314" s="434"/>
      <c r="AV314" s="434"/>
      <c r="AW314" s="434"/>
      <c r="BC314" s="352"/>
      <c r="BD314" s="436"/>
      <c r="BE314" s="436"/>
      <c r="BG314" s="341"/>
      <c r="BH314" s="435"/>
      <c r="BI314" s="435"/>
      <c r="BK314" s="342"/>
      <c r="BL314" s="435"/>
      <c r="BM314" s="435"/>
    </row>
    <row r="315" spans="1:65" ht="12" customHeight="1">
      <c r="A315" s="422"/>
      <c r="B315" s="348"/>
      <c r="C315" s="432"/>
      <c r="D315" s="336"/>
      <c r="X315" s="497"/>
      <c r="Y315" s="497"/>
      <c r="Z315" s="497"/>
      <c r="AA315" s="497"/>
      <c r="AB315" s="497"/>
      <c r="AC315" s="497"/>
      <c r="AD315" s="497"/>
      <c r="AE315" s="497"/>
      <c r="AF315" s="497"/>
      <c r="AG315" s="483"/>
      <c r="AH315" s="483"/>
      <c r="AI315" s="483"/>
      <c r="AJ315" s="483"/>
      <c r="AK315" s="483"/>
      <c r="AL315" s="483"/>
      <c r="AM315" s="483"/>
      <c r="AN315" s="483"/>
      <c r="AO315" s="483"/>
      <c r="AP315" s="483"/>
      <c r="AQ315" s="483"/>
      <c r="AR315" s="483"/>
      <c r="AS315" s="483"/>
      <c r="AT315" s="483"/>
      <c r="AU315" s="483"/>
      <c r="AV315" s="483"/>
      <c r="AW315" s="483"/>
      <c r="BC315" s="352"/>
      <c r="BE315" s="340"/>
      <c r="BG315" s="341"/>
      <c r="BK315" s="342"/>
      <c r="BL315" s="337"/>
      <c r="BM315" s="337"/>
    </row>
    <row r="316" spans="1:65" ht="12" customHeight="1">
      <c r="A316" s="422"/>
      <c r="B316" s="348"/>
      <c r="C316" s="432"/>
      <c r="D316" s="336"/>
      <c r="X316" s="497"/>
      <c r="Y316" s="497"/>
      <c r="Z316" s="497"/>
      <c r="AA316" s="497"/>
      <c r="AB316" s="497"/>
      <c r="AC316" s="497"/>
      <c r="AD316" s="497"/>
      <c r="AE316" s="497"/>
      <c r="AF316" s="497"/>
      <c r="AG316" s="483"/>
      <c r="AH316" s="483"/>
      <c r="AI316" s="483"/>
      <c r="AJ316" s="483"/>
      <c r="AK316" s="483"/>
      <c r="AL316" s="483"/>
      <c r="AM316" s="483"/>
      <c r="AN316" s="483"/>
      <c r="AO316" s="483"/>
      <c r="AP316" s="483"/>
      <c r="AQ316" s="483"/>
      <c r="AR316" s="483"/>
      <c r="AS316" s="483"/>
      <c r="AT316" s="483"/>
      <c r="AU316" s="483"/>
      <c r="AV316" s="498"/>
      <c r="AW316" s="498"/>
      <c r="BC316" s="352"/>
      <c r="BE316" s="340"/>
      <c r="BG316" s="341"/>
      <c r="BK316" s="342"/>
    </row>
    <row r="317" spans="1:65" ht="12" customHeight="1">
      <c r="A317" s="422"/>
      <c r="B317" s="348"/>
      <c r="C317" s="432"/>
      <c r="D317" s="336"/>
      <c r="X317" s="338"/>
      <c r="Y317" s="338"/>
      <c r="Z317" s="338"/>
      <c r="AA317" s="338"/>
      <c r="AB317" s="338"/>
      <c r="AC317" s="338"/>
      <c r="AD317" s="338"/>
      <c r="AE317" s="338"/>
      <c r="AF317" s="338"/>
      <c r="AG317" s="339"/>
      <c r="AH317" s="339"/>
      <c r="AI317" s="339"/>
      <c r="AJ317" s="339"/>
      <c r="AK317" s="339"/>
      <c r="AL317" s="499"/>
      <c r="AM317" s="339"/>
      <c r="AN317" s="339"/>
      <c r="AO317" s="339"/>
      <c r="AP317" s="339"/>
      <c r="AQ317" s="339"/>
      <c r="AR317" s="339"/>
      <c r="AS317" s="339"/>
      <c r="AT317" s="425"/>
      <c r="AU317" s="425"/>
      <c r="AW317" s="339"/>
      <c r="BG317" s="341"/>
      <c r="BK317" s="342"/>
    </row>
    <row r="318" spans="1:65" ht="12" customHeight="1">
      <c r="A318" s="422"/>
      <c r="B318" s="348"/>
      <c r="C318" s="432"/>
      <c r="D318" s="336"/>
      <c r="X318" s="338"/>
      <c r="Y318" s="338"/>
      <c r="Z318" s="338"/>
      <c r="AA318" s="338"/>
      <c r="AB318" s="338"/>
      <c r="AC318" s="338"/>
      <c r="AD318" s="338"/>
      <c r="AE318" s="338"/>
      <c r="AF318" s="338"/>
      <c r="AG318" s="339"/>
      <c r="AH318" s="339"/>
      <c r="AI318" s="339"/>
      <c r="AJ318" s="339"/>
      <c r="AK318" s="339"/>
      <c r="AL318" s="339"/>
      <c r="AM318" s="339"/>
      <c r="AN318" s="499"/>
      <c r="AO318" s="339"/>
      <c r="AP318" s="339"/>
      <c r="AQ318" s="339"/>
      <c r="AR318" s="339"/>
      <c r="AS318" s="339"/>
      <c r="AT318" s="425"/>
      <c r="AU318" s="425"/>
      <c r="AW318" s="339"/>
      <c r="BG318" s="341"/>
      <c r="BK318" s="342"/>
    </row>
    <row r="319" spans="1:65" ht="12" customHeight="1">
      <c r="A319" s="422"/>
      <c r="B319" s="348"/>
      <c r="C319" s="432"/>
      <c r="D319" s="336"/>
      <c r="X319" s="338"/>
      <c r="Y319" s="338"/>
      <c r="Z319" s="338"/>
      <c r="AA319" s="338"/>
      <c r="AB319" s="338"/>
      <c r="AC319" s="338"/>
      <c r="AD319" s="338"/>
      <c r="AE319" s="338"/>
      <c r="AF319" s="338"/>
      <c r="AG319" s="339"/>
      <c r="AH319" s="339"/>
      <c r="AI319" s="339"/>
      <c r="AJ319" s="339"/>
      <c r="AK319" s="339"/>
      <c r="AL319" s="339"/>
      <c r="AM319" s="339"/>
      <c r="AN319" s="337"/>
      <c r="AO319" s="337"/>
      <c r="AP319" s="337"/>
      <c r="AQ319" s="337"/>
      <c r="AR319" s="337"/>
      <c r="AS319" s="339"/>
      <c r="AT319" s="339"/>
      <c r="AU319" s="339"/>
      <c r="AV319" s="339"/>
      <c r="AW319" s="339"/>
      <c r="AX319" s="339"/>
      <c r="BG319" s="341"/>
      <c r="BK319" s="342"/>
    </row>
    <row r="320" spans="1:65" ht="12" customHeight="1">
      <c r="A320" s="422"/>
      <c r="B320" s="348"/>
      <c r="C320" s="432"/>
      <c r="D320" s="336"/>
      <c r="X320" s="338"/>
      <c r="Y320" s="338"/>
      <c r="Z320" s="338"/>
      <c r="AA320" s="338"/>
      <c r="AB320" s="338"/>
      <c r="AC320" s="338"/>
      <c r="AD320" s="338"/>
      <c r="AE320" s="338"/>
      <c r="AF320" s="338"/>
      <c r="AG320" s="339"/>
      <c r="AH320" s="339"/>
      <c r="AI320" s="339"/>
      <c r="AJ320" s="337"/>
      <c r="AK320" s="337"/>
      <c r="AL320" s="337"/>
      <c r="AM320" s="337"/>
      <c r="AN320" s="337"/>
      <c r="AO320" s="337"/>
      <c r="AP320" s="337"/>
      <c r="AQ320" s="337"/>
      <c r="AR320" s="337"/>
      <c r="AS320" s="339"/>
      <c r="AT320" s="339"/>
      <c r="AU320" s="339"/>
      <c r="AV320" s="339"/>
      <c r="AW320" s="339"/>
      <c r="AX320" s="339"/>
      <c r="BG320" s="341"/>
      <c r="BK320" s="342"/>
    </row>
    <row r="321" spans="1:65" ht="12" customHeight="1">
      <c r="A321" s="422"/>
      <c r="B321" s="348"/>
      <c r="C321" s="432"/>
      <c r="D321" s="336"/>
      <c r="X321" s="338"/>
      <c r="Y321" s="338"/>
      <c r="Z321" s="338"/>
      <c r="AA321" s="338"/>
      <c r="AB321" s="338"/>
      <c r="AC321" s="338"/>
      <c r="AD321" s="338"/>
      <c r="AE321" s="338"/>
      <c r="AF321" s="338"/>
      <c r="AG321" s="339"/>
      <c r="AH321" s="339"/>
      <c r="AI321" s="339"/>
      <c r="AJ321" s="339"/>
      <c r="AK321" s="348"/>
      <c r="AL321" s="337"/>
      <c r="AM321" s="337"/>
      <c r="AN321" s="337"/>
      <c r="AO321" s="337"/>
      <c r="AP321" s="337"/>
      <c r="AQ321" s="337"/>
      <c r="AR321" s="337"/>
      <c r="AS321" s="339"/>
      <c r="AT321" s="339"/>
      <c r="AU321" s="339"/>
      <c r="AV321" s="339"/>
      <c r="AW321" s="339"/>
      <c r="BG321" s="341"/>
      <c r="BK321" s="342"/>
    </row>
    <row r="322" spans="1:65" ht="12" customHeight="1">
      <c r="A322" s="422"/>
      <c r="B322" s="348"/>
      <c r="C322" s="432"/>
      <c r="D322" s="336"/>
      <c r="X322" s="338"/>
      <c r="Y322" s="338"/>
      <c r="Z322" s="338"/>
      <c r="AA322" s="338"/>
      <c r="AB322" s="338"/>
      <c r="AC322" s="338"/>
      <c r="AD322" s="338"/>
      <c r="AE322" s="338"/>
      <c r="AF322" s="338"/>
      <c r="AG322" s="339"/>
      <c r="AH322" s="339"/>
      <c r="AI322" s="339"/>
      <c r="AJ322" s="339"/>
      <c r="AK322" s="339"/>
      <c r="AL322" s="339"/>
      <c r="AM322" s="339"/>
      <c r="AN322" s="339"/>
      <c r="AO322" s="339"/>
      <c r="AP322" s="339"/>
      <c r="AQ322" s="339"/>
      <c r="AR322" s="339"/>
      <c r="AS322" s="339"/>
      <c r="AT322" s="339"/>
      <c r="AU322" s="339"/>
      <c r="AV322" s="339"/>
      <c r="AW322" s="339"/>
      <c r="BG322" s="341"/>
      <c r="BK322" s="342"/>
    </row>
    <row r="323" spans="1:65" ht="12" customHeight="1">
      <c r="A323" s="422"/>
      <c r="B323" s="348"/>
      <c r="C323" s="432"/>
      <c r="D323" s="336"/>
      <c r="X323" s="338"/>
      <c r="Y323" s="338"/>
      <c r="Z323" s="338"/>
      <c r="AA323" s="338"/>
      <c r="AB323" s="338"/>
      <c r="AC323" s="338"/>
      <c r="AD323" s="338"/>
      <c r="AE323" s="338"/>
      <c r="AF323" s="338"/>
      <c r="AG323" s="339"/>
      <c r="AH323" s="339"/>
      <c r="AI323" s="339"/>
      <c r="AJ323" s="339"/>
      <c r="AK323" s="339"/>
      <c r="AL323" s="339"/>
      <c r="AM323" s="339"/>
      <c r="AN323" s="339"/>
      <c r="AO323" s="339"/>
      <c r="AP323" s="499"/>
      <c r="AQ323" s="499"/>
      <c r="AR323" s="499"/>
      <c r="AS323" s="499"/>
      <c r="AT323" s="499"/>
      <c r="AU323" s="500"/>
      <c r="AV323" s="339"/>
      <c r="AW323" s="339"/>
      <c r="BG323" s="341"/>
      <c r="BK323" s="342"/>
    </row>
    <row r="324" spans="1:65" ht="12" customHeight="1">
      <c r="A324" s="422"/>
      <c r="B324" s="348"/>
      <c r="C324" s="432"/>
      <c r="D324" s="336"/>
      <c r="X324" s="338"/>
      <c r="Y324" s="338"/>
      <c r="Z324" s="338"/>
      <c r="AA324" s="338"/>
      <c r="AB324" s="338"/>
      <c r="AC324" s="338"/>
      <c r="AD324" s="338"/>
      <c r="AE324" s="338"/>
      <c r="AF324" s="338"/>
      <c r="AG324" s="339"/>
      <c r="AH324" s="339"/>
      <c r="AI324" s="339"/>
      <c r="AJ324" s="339"/>
      <c r="AK324" s="339"/>
      <c r="AL324" s="339"/>
      <c r="AM324" s="339"/>
      <c r="AN324" s="339"/>
      <c r="AO324" s="339"/>
      <c r="AP324" s="339"/>
      <c r="AQ324" s="339"/>
      <c r="AR324" s="339"/>
      <c r="AS324" s="339"/>
      <c r="AT324" s="339"/>
      <c r="AU324" s="339"/>
      <c r="AV324" s="339"/>
      <c r="AW324" s="339"/>
      <c r="BG324" s="341"/>
      <c r="BK324" s="342"/>
    </row>
    <row r="325" spans="1:65" ht="12" customHeight="1">
      <c r="A325" s="501"/>
      <c r="B325" s="389"/>
      <c r="C325" s="389"/>
      <c r="D325" s="336"/>
      <c r="E325" s="389"/>
      <c r="F325" s="389"/>
      <c r="G325" s="389"/>
      <c r="H325" s="389"/>
      <c r="I325" s="389"/>
      <c r="J325" s="389"/>
      <c r="K325" s="389"/>
      <c r="L325" s="389"/>
      <c r="M325" s="389"/>
      <c r="N325" s="389"/>
      <c r="O325" s="389"/>
      <c r="P325" s="389"/>
      <c r="Q325" s="389"/>
      <c r="R325" s="389"/>
      <c r="S325" s="389"/>
      <c r="T325" s="389"/>
      <c r="U325" s="389"/>
      <c r="X325" s="338"/>
      <c r="Y325" s="338"/>
      <c r="Z325" s="338"/>
      <c r="AA325" s="338"/>
      <c r="AB325" s="338"/>
      <c r="AC325" s="338"/>
      <c r="AD325" s="338"/>
      <c r="AE325" s="338"/>
      <c r="AF325" s="338"/>
      <c r="AG325" s="339"/>
      <c r="AH325" s="339"/>
      <c r="AI325" s="339"/>
      <c r="AJ325" s="339"/>
      <c r="AK325" s="339"/>
      <c r="AL325" s="339"/>
      <c r="AM325" s="339"/>
      <c r="AN325" s="339"/>
      <c r="AO325" s="339"/>
      <c r="AP325" s="339"/>
      <c r="AQ325" s="339"/>
      <c r="AR325" s="339"/>
      <c r="AS325" s="339"/>
      <c r="AT325" s="339"/>
      <c r="AU325" s="339"/>
      <c r="AV325" s="339"/>
      <c r="AW325" s="339"/>
      <c r="BE325" s="340"/>
      <c r="BG325" s="341"/>
      <c r="BK325" s="342"/>
    </row>
    <row r="326" spans="1:65" ht="12" customHeight="1">
      <c r="A326" s="501"/>
      <c r="B326" s="479"/>
      <c r="C326" s="480"/>
      <c r="D326" s="336"/>
      <c r="E326" s="481"/>
      <c r="F326" s="481"/>
      <c r="G326" s="481"/>
      <c r="H326" s="481"/>
      <c r="I326" s="481"/>
      <c r="J326" s="481"/>
      <c r="K326" s="481"/>
      <c r="L326" s="481"/>
      <c r="M326" s="481"/>
      <c r="N326" s="481"/>
      <c r="O326" s="481"/>
      <c r="P326" s="481"/>
      <c r="Q326" s="481"/>
      <c r="R326" s="481"/>
      <c r="S326" s="481"/>
      <c r="T326" s="481"/>
      <c r="U326" s="481"/>
      <c r="X326" s="338"/>
      <c r="Y326" s="338"/>
      <c r="Z326" s="338"/>
      <c r="AA326" s="338"/>
      <c r="AB326" s="338"/>
      <c r="AC326" s="338"/>
      <c r="AD326" s="338"/>
      <c r="AE326" s="338"/>
      <c r="AF326" s="338"/>
      <c r="AG326" s="339"/>
      <c r="AH326" s="339"/>
      <c r="AI326" s="339"/>
      <c r="AJ326" s="339"/>
      <c r="AK326" s="339"/>
      <c r="AL326" s="339"/>
      <c r="AM326" s="339"/>
      <c r="AN326" s="339"/>
      <c r="AO326" s="339"/>
      <c r="AP326" s="339"/>
      <c r="AQ326" s="339"/>
      <c r="AR326" s="339"/>
      <c r="AS326" s="339"/>
      <c r="AT326" s="339"/>
      <c r="AU326" s="339"/>
      <c r="AV326" s="339"/>
      <c r="AW326" s="339"/>
      <c r="BE326" s="340"/>
      <c r="BG326" s="341"/>
      <c r="BK326" s="342"/>
    </row>
    <row r="327" spans="1:65" ht="12" customHeight="1">
      <c r="A327" s="422"/>
      <c r="B327" s="432"/>
      <c r="C327" s="484"/>
      <c r="D327" s="336"/>
      <c r="X327" s="433"/>
      <c r="Y327" s="433"/>
      <c r="Z327" s="433"/>
      <c r="AA327" s="433"/>
      <c r="AB327" s="433"/>
      <c r="AC327" s="433"/>
      <c r="AD327" s="433"/>
      <c r="AE327" s="433"/>
      <c r="AF327" s="433"/>
      <c r="AG327" s="434"/>
      <c r="AH327" s="434"/>
      <c r="AI327" s="434"/>
      <c r="AJ327" s="434"/>
      <c r="AK327" s="434"/>
      <c r="AL327" s="434"/>
      <c r="AM327" s="434"/>
      <c r="AN327" s="434"/>
      <c r="AO327" s="434"/>
      <c r="AP327" s="434"/>
      <c r="AQ327" s="434"/>
      <c r="AR327" s="434"/>
      <c r="AS327" s="434"/>
      <c r="AT327" s="434"/>
      <c r="AU327" s="434"/>
      <c r="AV327" s="434"/>
      <c r="AW327" s="434"/>
      <c r="BC327" s="352"/>
      <c r="BE327" s="436"/>
      <c r="BG327" s="341"/>
      <c r="BH327" s="435"/>
      <c r="BI327" s="435"/>
      <c r="BK327" s="342"/>
      <c r="BL327" s="475"/>
      <c r="BM327" s="475"/>
    </row>
    <row r="328" spans="1:65" ht="12" customHeight="1">
      <c r="A328" s="422"/>
      <c r="B328" s="423"/>
      <c r="C328" s="423"/>
      <c r="D328" s="336"/>
      <c r="X328" s="338"/>
      <c r="Y328" s="338"/>
      <c r="Z328" s="338"/>
      <c r="AA328" s="338"/>
      <c r="AB328" s="338"/>
      <c r="AC328" s="338"/>
      <c r="AD328" s="338"/>
      <c r="AE328" s="338"/>
      <c r="AF328" s="338"/>
      <c r="AG328" s="339"/>
      <c r="AH328" s="339"/>
      <c r="AI328" s="339"/>
      <c r="AJ328" s="339"/>
      <c r="AK328" s="339"/>
      <c r="AL328" s="339"/>
      <c r="AM328" s="339"/>
      <c r="AN328" s="339"/>
      <c r="AO328" s="502"/>
      <c r="AP328" s="339"/>
      <c r="AQ328" s="339"/>
      <c r="AR328" s="339"/>
      <c r="AS328" s="339"/>
      <c r="AT328" s="339"/>
      <c r="AU328" s="339"/>
      <c r="AV328" s="339"/>
      <c r="AW328" s="339"/>
      <c r="BC328" s="352"/>
      <c r="BE328" s="340"/>
      <c r="BG328" s="341"/>
      <c r="BK328" s="342"/>
      <c r="BL328" s="475"/>
      <c r="BM328" s="475"/>
    </row>
    <row r="329" spans="1:65" ht="12" customHeight="1">
      <c r="A329" s="422"/>
      <c r="B329" s="432"/>
      <c r="C329" s="348"/>
      <c r="D329" s="336"/>
      <c r="X329" s="433"/>
      <c r="Y329" s="433"/>
      <c r="Z329" s="433"/>
      <c r="AA329" s="433"/>
      <c r="AB329" s="433"/>
      <c r="AC329" s="433"/>
      <c r="AD329" s="433"/>
      <c r="AE329" s="433"/>
      <c r="AF329" s="433"/>
      <c r="AG329" s="434"/>
      <c r="AH329" s="434"/>
      <c r="AI329" s="434"/>
      <c r="AJ329" s="434"/>
      <c r="AK329" s="434"/>
      <c r="AL329" s="434"/>
      <c r="AM329" s="434"/>
      <c r="AN329" s="434"/>
      <c r="AO329" s="434"/>
      <c r="AP329" s="434"/>
      <c r="AQ329" s="434"/>
      <c r="AR329" s="434"/>
      <c r="AS329" s="434"/>
      <c r="AT329" s="434"/>
      <c r="AU329" s="434"/>
      <c r="AV329" s="434"/>
      <c r="AW329" s="434"/>
      <c r="BC329" s="352"/>
      <c r="BE329" s="436"/>
      <c r="BG329" s="341"/>
      <c r="BH329" s="435"/>
      <c r="BI329" s="435"/>
      <c r="BK329" s="342"/>
      <c r="BL329" s="475"/>
      <c r="BM329" s="475"/>
    </row>
    <row r="330" spans="1:65" ht="12" customHeight="1">
      <c r="A330" s="333"/>
      <c r="B330" s="476"/>
      <c r="C330" s="443"/>
      <c r="D330" s="336"/>
      <c r="X330" s="338"/>
      <c r="Y330" s="338"/>
      <c r="Z330" s="338"/>
      <c r="AA330" s="338"/>
      <c r="AB330" s="338"/>
      <c r="AC330" s="338"/>
      <c r="AD330" s="338"/>
      <c r="AE330" s="338"/>
      <c r="AF330" s="338"/>
      <c r="AG330" s="339"/>
      <c r="AH330" s="339"/>
      <c r="AI330" s="339"/>
      <c r="AJ330" s="339"/>
      <c r="AK330" s="339"/>
      <c r="AL330" s="339"/>
      <c r="AM330" s="339"/>
      <c r="AN330" s="339"/>
      <c r="AO330" s="339"/>
      <c r="AP330" s="339"/>
      <c r="AQ330" s="339"/>
      <c r="AR330" s="339"/>
      <c r="AS330" s="339"/>
      <c r="AT330" s="339"/>
      <c r="AU330" s="339"/>
      <c r="AV330" s="425"/>
      <c r="AW330" s="425"/>
      <c r="BC330" s="352"/>
      <c r="BE330" s="340"/>
      <c r="BG330" s="341"/>
      <c r="BK330" s="342"/>
    </row>
    <row r="331" spans="1:65" ht="12" customHeight="1">
      <c r="A331" s="439"/>
      <c r="B331" s="439"/>
      <c r="C331" s="440"/>
      <c r="D331" s="336"/>
      <c r="E331" s="440"/>
      <c r="F331" s="440"/>
      <c r="G331" s="440"/>
      <c r="H331" s="440"/>
      <c r="I331" s="440"/>
      <c r="J331" s="440"/>
      <c r="K331" s="440"/>
      <c r="L331" s="440"/>
      <c r="M331" s="440"/>
      <c r="N331" s="440"/>
      <c r="O331" s="440"/>
      <c r="P331" s="440"/>
      <c r="Q331" s="440"/>
      <c r="R331" s="440"/>
      <c r="S331" s="440"/>
      <c r="T331" s="440"/>
      <c r="U331" s="440"/>
      <c r="X331" s="338"/>
      <c r="Y331" s="338"/>
      <c r="Z331" s="338"/>
      <c r="AA331" s="338"/>
      <c r="AB331" s="338"/>
      <c r="AC331" s="338"/>
      <c r="AD331" s="338"/>
      <c r="AE331" s="338"/>
      <c r="AF331" s="338"/>
      <c r="AG331" s="339"/>
      <c r="AH331" s="339"/>
      <c r="AI331" s="339"/>
      <c r="AJ331" s="339"/>
      <c r="AK331" s="339"/>
      <c r="AL331" s="339"/>
      <c r="AM331" s="339"/>
      <c r="AN331" s="339"/>
      <c r="AO331" s="339"/>
      <c r="AP331" s="339"/>
      <c r="AQ331" s="339"/>
      <c r="AR331" s="339"/>
      <c r="AS331" s="339"/>
      <c r="AT331" s="339"/>
      <c r="AU331" s="339"/>
      <c r="AV331" s="339"/>
      <c r="AW331" s="339"/>
      <c r="BC331" s="352"/>
      <c r="BE331" s="340"/>
      <c r="BG331" s="341"/>
      <c r="BK331" s="342"/>
    </row>
    <row r="332" spans="1:65" ht="12" customHeight="1">
      <c r="A332" s="422"/>
      <c r="B332" s="484"/>
      <c r="C332" s="484"/>
      <c r="D332" s="336"/>
      <c r="E332" s="389"/>
      <c r="F332" s="389"/>
      <c r="G332" s="389"/>
      <c r="H332" s="389"/>
      <c r="I332" s="389"/>
      <c r="J332" s="389"/>
      <c r="K332" s="389"/>
      <c r="L332" s="389"/>
      <c r="M332" s="389"/>
      <c r="N332" s="389"/>
      <c r="O332" s="389"/>
      <c r="P332" s="389"/>
      <c r="Q332" s="389"/>
      <c r="R332" s="389"/>
      <c r="S332" s="389"/>
      <c r="T332" s="389"/>
      <c r="U332" s="389"/>
      <c r="X332" s="338"/>
      <c r="Y332" s="338"/>
      <c r="Z332" s="338"/>
      <c r="AA332" s="338"/>
      <c r="AB332" s="338"/>
      <c r="AC332" s="338"/>
      <c r="AD332" s="338"/>
      <c r="AE332" s="338"/>
      <c r="AF332" s="338"/>
      <c r="AG332" s="339"/>
      <c r="AH332" s="339"/>
      <c r="AI332" s="339"/>
      <c r="AJ332" s="339"/>
      <c r="AK332" s="339"/>
      <c r="AL332" s="339"/>
      <c r="AM332" s="339"/>
      <c r="AN332" s="339"/>
      <c r="AO332" s="339"/>
      <c r="AP332" s="339"/>
      <c r="AQ332" s="339"/>
      <c r="AR332" s="339"/>
      <c r="AS332" s="339"/>
      <c r="AT332" s="339"/>
      <c r="AU332" s="339"/>
      <c r="AV332" s="339"/>
      <c r="AW332" s="339"/>
      <c r="BC332" s="352"/>
      <c r="BE332" s="340"/>
      <c r="BG332" s="341"/>
      <c r="BK332" s="342"/>
    </row>
    <row r="333" spans="1:65" ht="12" customHeight="1">
      <c r="A333" s="398"/>
      <c r="B333" s="482"/>
      <c r="D333" s="336"/>
      <c r="E333" s="482"/>
      <c r="F333" s="482"/>
      <c r="G333" s="482"/>
      <c r="H333" s="482"/>
      <c r="I333" s="482"/>
      <c r="J333" s="482"/>
      <c r="K333" s="482"/>
      <c r="L333" s="482"/>
      <c r="M333" s="482"/>
      <c r="N333" s="482"/>
      <c r="O333" s="482"/>
      <c r="P333" s="482"/>
      <c r="Q333" s="482"/>
      <c r="R333" s="482"/>
      <c r="S333" s="482"/>
      <c r="T333" s="482"/>
      <c r="U333" s="482"/>
      <c r="X333" s="338"/>
      <c r="Y333" s="338"/>
      <c r="Z333" s="338"/>
      <c r="AA333" s="338"/>
      <c r="AB333" s="338"/>
      <c r="AC333" s="338"/>
      <c r="AD333" s="338"/>
      <c r="AE333" s="338"/>
      <c r="AF333" s="338"/>
      <c r="AG333" s="339"/>
      <c r="AH333" s="339"/>
      <c r="AI333" s="339"/>
      <c r="AJ333" s="339"/>
      <c r="AK333" s="339"/>
      <c r="AL333" s="339"/>
      <c r="AM333" s="339"/>
      <c r="AN333" s="339"/>
      <c r="AO333" s="339"/>
      <c r="AP333" s="339"/>
      <c r="AQ333" s="339"/>
      <c r="AR333" s="339"/>
      <c r="AS333" s="339"/>
      <c r="AT333" s="339"/>
      <c r="AU333" s="339"/>
      <c r="AV333" s="339"/>
      <c r="AW333" s="339"/>
      <c r="BC333" s="339"/>
      <c r="BD333" s="340"/>
      <c r="BE333" s="340"/>
      <c r="BG333" s="341"/>
      <c r="BK333" s="342"/>
    </row>
    <row r="334" spans="1:65" ht="12" customHeight="1">
      <c r="A334" s="439"/>
      <c r="B334" s="439"/>
      <c r="D334" s="336"/>
      <c r="E334" s="440"/>
      <c r="F334" s="440"/>
      <c r="G334" s="440"/>
      <c r="H334" s="440"/>
      <c r="I334" s="440"/>
      <c r="J334" s="440"/>
      <c r="K334" s="440"/>
      <c r="L334" s="440"/>
      <c r="M334" s="440"/>
      <c r="N334" s="440"/>
      <c r="O334" s="440"/>
      <c r="P334" s="440"/>
      <c r="Q334" s="440"/>
      <c r="R334" s="440"/>
      <c r="S334" s="440"/>
      <c r="T334" s="440"/>
      <c r="U334" s="440"/>
      <c r="X334" s="338"/>
      <c r="Y334" s="338"/>
      <c r="Z334" s="338"/>
      <c r="AA334" s="338"/>
      <c r="AB334" s="338"/>
      <c r="AC334" s="338"/>
      <c r="AD334" s="338"/>
      <c r="AE334" s="338"/>
      <c r="AF334" s="338"/>
      <c r="AG334" s="339"/>
      <c r="AH334" s="339"/>
      <c r="AI334" s="339"/>
      <c r="AJ334" s="339"/>
      <c r="AK334" s="339"/>
      <c r="AL334" s="339"/>
      <c r="AM334" s="339"/>
      <c r="AN334" s="339"/>
      <c r="AO334" s="339"/>
      <c r="AP334" s="339"/>
      <c r="AQ334" s="339"/>
      <c r="AR334" s="339"/>
      <c r="AS334" s="339"/>
      <c r="AT334" s="339"/>
      <c r="AU334" s="339"/>
      <c r="AV334" s="339"/>
      <c r="AW334" s="339"/>
      <c r="BC334" s="339"/>
      <c r="BD334" s="340"/>
      <c r="BE334" s="340"/>
      <c r="BG334" s="341"/>
      <c r="BK334" s="342"/>
    </row>
    <row r="335" spans="1:65" ht="12" customHeight="1">
      <c r="A335" s="439"/>
      <c r="B335" s="439"/>
      <c r="C335" s="440"/>
      <c r="D335" s="336"/>
      <c r="E335" s="440"/>
      <c r="F335" s="440"/>
      <c r="G335" s="440"/>
      <c r="H335" s="440"/>
      <c r="I335" s="440"/>
      <c r="J335" s="440"/>
      <c r="K335" s="440"/>
      <c r="L335" s="440"/>
      <c r="M335" s="440"/>
      <c r="N335" s="440"/>
      <c r="O335" s="440"/>
      <c r="P335" s="440"/>
      <c r="Q335" s="440"/>
      <c r="R335" s="440"/>
      <c r="S335" s="440"/>
      <c r="T335" s="440"/>
      <c r="U335" s="440"/>
      <c r="X335" s="338"/>
      <c r="Y335" s="338"/>
      <c r="Z335" s="338"/>
      <c r="AA335" s="338"/>
      <c r="AB335" s="338"/>
      <c r="AC335" s="338"/>
      <c r="AD335" s="338"/>
      <c r="AE335" s="338"/>
      <c r="AF335" s="338"/>
      <c r="AG335" s="339"/>
      <c r="AH335" s="339"/>
      <c r="AI335" s="339"/>
      <c r="AJ335" s="339"/>
      <c r="AK335" s="339"/>
      <c r="AL335" s="339"/>
      <c r="AM335" s="339"/>
      <c r="AN335" s="339"/>
      <c r="AO335" s="339"/>
      <c r="AP335" s="339"/>
      <c r="AQ335" s="339"/>
      <c r="AR335" s="339"/>
      <c r="AS335" s="339"/>
      <c r="AT335" s="339"/>
      <c r="AU335" s="339"/>
      <c r="AV335" s="339"/>
      <c r="AW335" s="339"/>
      <c r="BC335" s="339"/>
      <c r="BD335" s="340"/>
      <c r="BE335" s="340"/>
      <c r="BG335" s="341"/>
      <c r="BK335" s="342"/>
    </row>
    <row r="336" spans="1:65" ht="12" customHeight="1">
      <c r="A336" s="439"/>
      <c r="B336" s="439"/>
      <c r="C336" s="440"/>
      <c r="D336" s="336"/>
      <c r="E336" s="440"/>
      <c r="F336" s="440"/>
      <c r="G336" s="440"/>
      <c r="H336" s="440"/>
      <c r="I336" s="440"/>
      <c r="J336" s="440"/>
      <c r="K336" s="440"/>
      <c r="L336" s="440"/>
      <c r="M336" s="440"/>
      <c r="N336" s="440"/>
      <c r="O336" s="440"/>
      <c r="P336" s="440"/>
      <c r="Q336" s="440"/>
      <c r="R336" s="440"/>
      <c r="S336" s="440"/>
      <c r="T336" s="440"/>
      <c r="U336" s="440"/>
      <c r="X336" s="338"/>
      <c r="Y336" s="338"/>
      <c r="Z336" s="338"/>
      <c r="AA336" s="338"/>
      <c r="AB336" s="338"/>
      <c r="AC336" s="338"/>
      <c r="AD336" s="338"/>
      <c r="AE336" s="338"/>
      <c r="AF336" s="338"/>
      <c r="AG336" s="339"/>
      <c r="AH336" s="339"/>
      <c r="AI336" s="339"/>
      <c r="AJ336" s="339"/>
      <c r="AK336" s="339"/>
      <c r="AL336" s="339"/>
      <c r="AM336" s="339"/>
      <c r="AN336" s="339"/>
      <c r="AO336" s="339"/>
      <c r="AP336" s="339"/>
      <c r="AQ336" s="339"/>
      <c r="AR336" s="339"/>
      <c r="AS336" s="339"/>
      <c r="AT336" s="339"/>
      <c r="AU336" s="339"/>
      <c r="AV336" s="339"/>
      <c r="AW336" s="339"/>
      <c r="BC336" s="339"/>
      <c r="BD336" s="340"/>
      <c r="BE336" s="340"/>
      <c r="BG336" s="341"/>
      <c r="BK336" s="342"/>
    </row>
    <row r="337" spans="1:65" ht="12" customHeight="1">
      <c r="A337" s="422"/>
      <c r="B337" s="432"/>
      <c r="C337" s="348"/>
      <c r="D337" s="336"/>
      <c r="X337" s="433"/>
      <c r="Y337" s="433"/>
      <c r="Z337" s="433"/>
      <c r="AA337" s="433"/>
      <c r="AB337" s="433"/>
      <c r="AC337" s="433"/>
      <c r="AD337" s="433"/>
      <c r="AE337" s="433"/>
      <c r="AF337" s="433"/>
      <c r="AG337" s="434"/>
      <c r="AH337" s="434"/>
      <c r="AI337" s="434"/>
      <c r="AJ337" s="434"/>
      <c r="AK337" s="434"/>
      <c r="AL337" s="434"/>
      <c r="AM337" s="434"/>
      <c r="AN337" s="434"/>
      <c r="AO337" s="434"/>
      <c r="AP337" s="434"/>
      <c r="AQ337" s="434"/>
      <c r="AR337" s="434"/>
      <c r="AS337" s="434"/>
      <c r="AT337" s="434"/>
      <c r="AU337" s="434"/>
      <c r="AV337" s="434"/>
      <c r="AW337" s="434"/>
      <c r="BC337" s="352"/>
      <c r="BE337" s="340"/>
      <c r="BG337" s="341"/>
      <c r="BH337" s="436"/>
      <c r="BI337" s="436"/>
      <c r="BK337" s="342"/>
      <c r="BL337" s="436"/>
      <c r="BM337" s="436"/>
    </row>
    <row r="338" spans="1:65" ht="12" customHeight="1">
      <c r="A338" s="422"/>
      <c r="B338" s="432"/>
      <c r="C338" s="484"/>
      <c r="D338" s="336"/>
      <c r="X338" s="338"/>
      <c r="Y338" s="338"/>
      <c r="Z338" s="338"/>
      <c r="AA338" s="338"/>
      <c r="AB338" s="338"/>
      <c r="AC338" s="338"/>
      <c r="AD338" s="338"/>
      <c r="AE338" s="338"/>
      <c r="AF338" s="338"/>
      <c r="AG338" s="339"/>
      <c r="AH338" s="339"/>
      <c r="AI338" s="339"/>
      <c r="AJ338" s="339"/>
      <c r="AK338" s="339"/>
      <c r="AL338" s="339"/>
      <c r="AM338" s="339"/>
      <c r="AN338" s="339"/>
      <c r="AO338" s="339"/>
      <c r="AP338" s="339"/>
      <c r="AQ338" s="339"/>
      <c r="AR338" s="339"/>
      <c r="AS338" s="339"/>
      <c r="AT338" s="339"/>
      <c r="AU338" s="339"/>
      <c r="AV338" s="339"/>
      <c r="AW338" s="339"/>
      <c r="BC338" s="339"/>
      <c r="BD338" s="340"/>
      <c r="BE338" s="340"/>
      <c r="BG338" s="341"/>
      <c r="BH338" s="340"/>
      <c r="BI338" s="340"/>
      <c r="BK338" s="342"/>
      <c r="BL338" s="340"/>
      <c r="BM338" s="340"/>
    </row>
    <row r="339" spans="1:65" ht="12" customHeight="1">
      <c r="A339" s="422"/>
      <c r="B339" s="432"/>
      <c r="C339" s="348"/>
      <c r="D339" s="336"/>
      <c r="X339" s="448"/>
      <c r="Y339" s="448"/>
      <c r="Z339" s="448"/>
      <c r="AA339" s="448"/>
      <c r="AB339" s="448"/>
      <c r="AC339" s="448"/>
      <c r="AD339" s="448"/>
      <c r="AE339" s="448"/>
      <c r="AF339" s="448"/>
      <c r="AG339" s="449"/>
      <c r="AH339" s="449"/>
      <c r="AI339" s="449"/>
      <c r="AJ339" s="449"/>
      <c r="AK339" s="449"/>
      <c r="AL339" s="449"/>
      <c r="AM339" s="449"/>
      <c r="AN339" s="449"/>
      <c r="AO339" s="449"/>
      <c r="AP339" s="449"/>
      <c r="AQ339" s="449"/>
      <c r="AR339" s="449"/>
      <c r="AS339" s="449"/>
      <c r="AT339" s="449"/>
      <c r="AU339" s="449"/>
      <c r="AV339" s="449"/>
      <c r="AW339" s="449"/>
      <c r="BC339" s="449"/>
      <c r="BD339" s="450"/>
      <c r="BE339" s="450"/>
      <c r="BG339" s="341"/>
      <c r="BK339" s="342"/>
    </row>
    <row r="340" spans="1:65" ht="12" customHeight="1">
      <c r="A340" s="398"/>
      <c r="B340" s="432"/>
      <c r="C340" s="348"/>
      <c r="D340" s="336"/>
      <c r="X340" s="448"/>
      <c r="Y340" s="448"/>
      <c r="Z340" s="448"/>
      <c r="AA340" s="448"/>
      <c r="AB340" s="448"/>
      <c r="AC340" s="448"/>
      <c r="AD340" s="448"/>
      <c r="AE340" s="448"/>
      <c r="AF340" s="448"/>
      <c r="AG340" s="449"/>
      <c r="AH340" s="449"/>
      <c r="AI340" s="449"/>
      <c r="AJ340" s="449"/>
      <c r="AK340" s="449"/>
      <c r="AL340" s="449"/>
      <c r="AM340" s="449"/>
      <c r="AN340" s="449"/>
      <c r="AO340" s="449"/>
      <c r="AP340" s="449"/>
      <c r="AQ340" s="449"/>
      <c r="AR340" s="449"/>
      <c r="AS340" s="449"/>
      <c r="AT340" s="449"/>
      <c r="AU340" s="449"/>
      <c r="AV340" s="449"/>
      <c r="AW340" s="449"/>
      <c r="BC340" s="449"/>
      <c r="BD340" s="450"/>
      <c r="BE340" s="450"/>
      <c r="BG340" s="341"/>
      <c r="BK340" s="342"/>
    </row>
    <row r="341" spans="1:65" ht="12" customHeight="1">
      <c r="A341" s="398"/>
      <c r="B341" s="432"/>
      <c r="C341" s="348"/>
      <c r="D341" s="336"/>
      <c r="X341" s="448"/>
      <c r="Y341" s="448"/>
      <c r="Z341" s="448"/>
      <c r="AA341" s="448"/>
      <c r="AB341" s="448"/>
      <c r="AC341" s="448"/>
      <c r="AD341" s="448"/>
      <c r="AE341" s="448"/>
      <c r="AF341" s="448"/>
      <c r="AG341" s="449"/>
      <c r="AH341" s="449"/>
      <c r="AI341" s="449"/>
      <c r="AJ341" s="449"/>
      <c r="AK341" s="449"/>
      <c r="AL341" s="449"/>
      <c r="AM341" s="449"/>
      <c r="AN341" s="449"/>
      <c r="AO341" s="449"/>
      <c r="AP341" s="449"/>
      <c r="AQ341" s="449"/>
      <c r="AR341" s="449"/>
      <c r="AS341" s="449"/>
      <c r="AT341" s="449"/>
      <c r="AU341" s="449"/>
      <c r="AV341" s="339"/>
      <c r="AW341" s="339"/>
      <c r="BC341" s="449"/>
      <c r="BD341" s="450"/>
      <c r="BE341" s="450"/>
      <c r="BG341" s="341"/>
      <c r="BK341" s="342"/>
    </row>
    <row r="342" spans="1:65" ht="12" customHeight="1">
      <c r="A342" s="398"/>
      <c r="B342" s="432"/>
      <c r="C342" s="348"/>
      <c r="D342" s="336"/>
      <c r="X342" s="448"/>
      <c r="Y342" s="448"/>
      <c r="Z342" s="448"/>
      <c r="AA342" s="448"/>
      <c r="AB342" s="448"/>
      <c r="AC342" s="448"/>
      <c r="AD342" s="448"/>
      <c r="AE342" s="448"/>
      <c r="AF342" s="448"/>
      <c r="AG342" s="449"/>
      <c r="AH342" s="449"/>
      <c r="AI342" s="449"/>
      <c r="AJ342" s="449"/>
      <c r="AK342" s="449"/>
      <c r="AL342" s="449"/>
      <c r="AM342" s="449"/>
      <c r="AN342" s="449"/>
      <c r="AO342" s="449"/>
      <c r="AP342" s="449"/>
      <c r="AQ342" s="449"/>
      <c r="AR342" s="449"/>
      <c r="AS342" s="449"/>
      <c r="AT342" s="449"/>
      <c r="AU342" s="449"/>
      <c r="AV342" s="449"/>
      <c r="AW342" s="449"/>
      <c r="BC342" s="449"/>
      <c r="BD342" s="450"/>
      <c r="BE342" s="450"/>
      <c r="BG342" s="341"/>
      <c r="BK342" s="342"/>
    </row>
    <row r="343" spans="1:65" ht="12" customHeight="1">
      <c r="A343" s="398"/>
      <c r="B343" s="432"/>
      <c r="C343" s="348"/>
      <c r="D343" s="336"/>
      <c r="X343" s="448"/>
      <c r="Y343" s="448"/>
      <c r="Z343" s="448"/>
      <c r="AA343" s="448"/>
      <c r="AB343" s="448"/>
      <c r="AC343" s="448"/>
      <c r="AD343" s="448"/>
      <c r="AE343" s="448"/>
      <c r="AF343" s="448"/>
      <c r="AG343" s="449"/>
      <c r="AH343" s="449"/>
      <c r="AI343" s="449"/>
      <c r="AJ343" s="449"/>
      <c r="AK343" s="449"/>
      <c r="AL343" s="449"/>
      <c r="AM343" s="449"/>
      <c r="AN343" s="449"/>
      <c r="AO343" s="449"/>
      <c r="AP343" s="449"/>
      <c r="AQ343" s="449"/>
      <c r="AR343" s="449"/>
      <c r="AS343" s="449"/>
      <c r="AT343" s="449"/>
      <c r="AU343" s="449"/>
      <c r="AV343" s="449"/>
      <c r="AW343" s="449"/>
      <c r="BC343" s="449"/>
      <c r="BD343" s="450"/>
      <c r="BE343" s="450"/>
      <c r="BG343" s="341"/>
      <c r="BK343" s="342"/>
    </row>
    <row r="344" spans="1:65" ht="12" customHeight="1">
      <c r="A344" s="439"/>
      <c r="B344" s="439"/>
      <c r="C344" s="440"/>
      <c r="D344" s="336"/>
      <c r="E344" s="440"/>
      <c r="F344" s="440"/>
      <c r="G344" s="440"/>
      <c r="H344" s="440"/>
      <c r="I344" s="440"/>
      <c r="J344" s="440"/>
      <c r="K344" s="440"/>
      <c r="L344" s="440"/>
      <c r="M344" s="440"/>
      <c r="N344" s="440"/>
      <c r="O344" s="440"/>
      <c r="P344" s="440"/>
      <c r="Q344" s="440"/>
      <c r="R344" s="440"/>
      <c r="S344" s="440"/>
      <c r="T344" s="440"/>
      <c r="U344" s="440"/>
      <c r="W344" s="503"/>
      <c r="X344" s="497"/>
      <c r="Y344" s="497"/>
      <c r="Z344" s="497"/>
      <c r="AA344" s="497"/>
      <c r="AB344" s="497"/>
      <c r="AC344" s="497"/>
      <c r="AD344" s="497"/>
      <c r="AE344" s="497"/>
      <c r="AF344" s="497"/>
      <c r="AG344" s="483"/>
      <c r="AH344" s="483"/>
      <c r="AI344" s="483"/>
      <c r="AJ344" s="483"/>
      <c r="AK344" s="483"/>
      <c r="AL344" s="483"/>
      <c r="AM344" s="483"/>
      <c r="AN344" s="483"/>
      <c r="AO344" s="483"/>
      <c r="AP344" s="483"/>
      <c r="AQ344" s="483"/>
      <c r="AR344" s="483"/>
      <c r="AS344" s="483"/>
      <c r="AT344" s="483"/>
      <c r="AU344" s="483"/>
      <c r="AV344" s="483"/>
      <c r="AW344" s="483"/>
      <c r="BC344" s="483"/>
      <c r="BD344" s="340"/>
      <c r="BE344" s="340"/>
      <c r="BG344" s="341"/>
      <c r="BK344" s="342"/>
    </row>
    <row r="345" spans="1:65" ht="12" customHeight="1">
      <c r="A345" s="439"/>
      <c r="B345" s="439"/>
      <c r="C345" s="440"/>
      <c r="D345" s="336"/>
      <c r="E345" s="440"/>
      <c r="F345" s="440"/>
      <c r="G345" s="440"/>
      <c r="H345" s="440"/>
      <c r="I345" s="440"/>
      <c r="J345" s="440"/>
      <c r="K345" s="440"/>
      <c r="L345" s="440"/>
      <c r="M345" s="440"/>
      <c r="N345" s="440"/>
      <c r="O345" s="440"/>
      <c r="P345" s="440"/>
      <c r="Q345" s="440"/>
      <c r="R345" s="440"/>
      <c r="S345" s="440"/>
      <c r="T345" s="440"/>
      <c r="U345" s="440"/>
      <c r="W345" s="503"/>
      <c r="X345" s="497"/>
      <c r="Y345" s="497"/>
      <c r="Z345" s="497"/>
      <c r="AA345" s="497"/>
      <c r="AB345" s="497"/>
      <c r="AC345" s="497"/>
      <c r="AD345" s="497"/>
      <c r="AE345" s="497"/>
      <c r="AF345" s="497"/>
      <c r="AG345" s="483"/>
      <c r="AH345" s="483"/>
      <c r="AI345" s="483"/>
      <c r="AJ345" s="483"/>
      <c r="AK345" s="483"/>
      <c r="AL345" s="483"/>
      <c r="AM345" s="483"/>
      <c r="AN345" s="483"/>
      <c r="AO345" s="483"/>
      <c r="AP345" s="483"/>
      <c r="AQ345" s="483"/>
      <c r="AR345" s="483"/>
      <c r="AS345" s="483"/>
      <c r="AT345" s="483"/>
      <c r="AU345" s="483"/>
      <c r="AV345" s="483"/>
      <c r="AW345" s="483"/>
      <c r="BC345" s="483"/>
      <c r="BD345" s="340"/>
      <c r="BE345" s="340"/>
      <c r="BG345" s="341"/>
      <c r="BK345" s="342"/>
    </row>
    <row r="346" spans="1:65" ht="12" customHeight="1">
      <c r="A346" s="333"/>
      <c r="B346" s="334"/>
      <c r="C346" s="437"/>
      <c r="D346" s="336"/>
      <c r="W346" s="347"/>
      <c r="X346" s="497"/>
      <c r="Y346" s="497"/>
      <c r="Z346" s="497"/>
      <c r="AA346" s="497"/>
      <c r="AB346" s="497"/>
      <c r="AC346" s="497"/>
      <c r="AD346" s="497"/>
      <c r="AE346" s="497"/>
      <c r="AF346" s="497"/>
      <c r="AG346" s="483"/>
      <c r="AH346" s="483"/>
      <c r="AI346" s="483"/>
      <c r="AJ346" s="483"/>
      <c r="AK346" s="483"/>
      <c r="AL346" s="483"/>
      <c r="AM346" s="483"/>
      <c r="AN346" s="483"/>
      <c r="AO346" s="483"/>
      <c r="AP346" s="483"/>
      <c r="AQ346" s="483"/>
      <c r="AR346" s="483"/>
      <c r="AS346" s="483"/>
      <c r="AT346" s="483"/>
      <c r="AU346" s="483"/>
      <c r="AV346" s="483"/>
      <c r="AW346" s="483"/>
      <c r="BC346" s="483"/>
      <c r="BD346" s="340"/>
      <c r="BE346" s="340"/>
      <c r="BG346" s="341"/>
      <c r="BK346" s="342"/>
    </row>
    <row r="347" spans="1:65" ht="12" customHeight="1">
      <c r="A347" s="439"/>
      <c r="B347" s="439"/>
      <c r="C347" s="440"/>
      <c r="D347" s="336"/>
      <c r="E347" s="440"/>
      <c r="F347" s="440"/>
      <c r="G347" s="440"/>
      <c r="H347" s="440"/>
      <c r="I347" s="440"/>
      <c r="J347" s="440"/>
      <c r="K347" s="440"/>
      <c r="L347" s="440"/>
      <c r="M347" s="440"/>
      <c r="N347" s="440"/>
      <c r="O347" s="440"/>
      <c r="P347" s="440"/>
      <c r="Q347" s="440"/>
      <c r="R347" s="440"/>
      <c r="S347" s="440"/>
      <c r="T347" s="440"/>
      <c r="U347" s="440"/>
      <c r="W347" s="347"/>
      <c r="X347" s="497"/>
      <c r="Y347" s="497"/>
      <c r="Z347" s="497"/>
      <c r="AA347" s="497"/>
      <c r="AB347" s="497"/>
      <c r="AC347" s="497"/>
      <c r="AD347" s="497"/>
      <c r="AE347" s="497"/>
      <c r="AF347" s="497"/>
      <c r="AG347" s="483"/>
      <c r="AH347" s="483"/>
      <c r="AI347" s="483"/>
      <c r="AJ347" s="483"/>
      <c r="AK347" s="483"/>
      <c r="AL347" s="483"/>
      <c r="AM347" s="483"/>
      <c r="AN347" s="483"/>
      <c r="AO347" s="483"/>
      <c r="AP347" s="483"/>
      <c r="AQ347" s="483"/>
      <c r="AR347" s="483"/>
      <c r="AS347" s="483"/>
      <c r="AT347" s="483"/>
      <c r="AU347" s="483"/>
      <c r="AV347" s="483"/>
      <c r="AW347" s="483"/>
      <c r="BC347" s="483"/>
      <c r="BD347" s="340"/>
      <c r="BE347" s="340"/>
      <c r="BG347" s="341"/>
      <c r="BK347" s="342"/>
    </row>
    <row r="348" spans="1:65" ht="12" customHeight="1">
      <c r="A348" s="439"/>
      <c r="B348" s="439"/>
      <c r="C348" s="440"/>
      <c r="D348" s="336"/>
      <c r="E348" s="440"/>
      <c r="F348" s="440"/>
      <c r="G348" s="440"/>
      <c r="H348" s="440"/>
      <c r="I348" s="440"/>
      <c r="J348" s="440"/>
      <c r="K348" s="440"/>
      <c r="L348" s="440"/>
      <c r="M348" s="440"/>
      <c r="N348" s="440"/>
      <c r="O348" s="440"/>
      <c r="P348" s="440"/>
      <c r="Q348" s="440"/>
      <c r="R348" s="440"/>
      <c r="S348" s="440"/>
      <c r="T348" s="440"/>
      <c r="U348" s="440"/>
      <c r="W348" s="347"/>
      <c r="X348" s="497"/>
      <c r="Y348" s="497"/>
      <c r="Z348" s="497"/>
      <c r="AA348" s="497"/>
      <c r="AB348" s="497"/>
      <c r="AC348" s="497"/>
      <c r="AD348" s="497"/>
      <c r="AE348" s="497"/>
      <c r="AF348" s="497"/>
      <c r="AG348" s="483"/>
      <c r="AH348" s="483"/>
      <c r="AI348" s="483"/>
      <c r="AJ348" s="483"/>
      <c r="AK348" s="483"/>
      <c r="AL348" s="483"/>
      <c r="AM348" s="483"/>
      <c r="AN348" s="483"/>
      <c r="AO348" s="483"/>
      <c r="AP348" s="483"/>
      <c r="AQ348" s="483"/>
      <c r="AR348" s="483"/>
      <c r="AS348" s="483"/>
      <c r="AT348" s="483"/>
      <c r="AU348" s="483"/>
      <c r="AV348" s="483"/>
      <c r="AW348" s="483"/>
      <c r="BC348" s="483"/>
      <c r="BD348" s="340"/>
      <c r="BE348" s="340"/>
      <c r="BG348" s="341"/>
      <c r="BK348" s="342"/>
    </row>
    <row r="349" spans="1:65" ht="12" customHeight="1">
      <c r="A349" s="422"/>
      <c r="B349" s="423"/>
      <c r="C349" s="423"/>
      <c r="D349" s="336"/>
      <c r="W349" s="482"/>
      <c r="X349" s="497"/>
      <c r="Y349" s="497"/>
      <c r="Z349" s="497"/>
      <c r="AA349" s="497"/>
      <c r="AB349" s="497"/>
      <c r="AC349" s="497"/>
      <c r="AD349" s="497"/>
      <c r="AE349" s="497"/>
      <c r="AF349" s="497"/>
      <c r="AG349" s="483"/>
      <c r="AH349" s="483"/>
      <c r="AI349" s="483"/>
      <c r="AJ349" s="483"/>
      <c r="AK349" s="483"/>
      <c r="AL349" s="483"/>
      <c r="AM349" s="483"/>
      <c r="AN349" s="483"/>
      <c r="AO349" s="483"/>
      <c r="AP349" s="483"/>
      <c r="AQ349" s="483"/>
      <c r="AR349" s="483"/>
      <c r="AS349" s="483"/>
      <c r="AT349" s="483"/>
      <c r="AU349" s="483"/>
      <c r="AV349" s="483"/>
      <c r="AW349" s="483"/>
      <c r="BC349" s="483"/>
      <c r="BD349" s="340"/>
      <c r="BE349" s="340"/>
      <c r="BG349" s="341"/>
      <c r="BK349" s="342"/>
    </row>
    <row r="350" spans="1:65" ht="12" customHeight="1">
      <c r="A350" s="439"/>
      <c r="B350" s="439"/>
      <c r="C350" s="440"/>
      <c r="D350" s="336"/>
      <c r="E350" s="440"/>
      <c r="F350" s="440"/>
      <c r="G350" s="440"/>
      <c r="H350" s="440"/>
      <c r="I350" s="440"/>
      <c r="J350" s="440"/>
      <c r="K350" s="440"/>
      <c r="L350" s="440"/>
      <c r="M350" s="440"/>
      <c r="N350" s="440"/>
      <c r="O350" s="440"/>
      <c r="P350" s="440"/>
      <c r="Q350" s="440"/>
      <c r="R350" s="440"/>
      <c r="S350" s="440"/>
      <c r="T350" s="440"/>
      <c r="U350" s="440"/>
      <c r="W350" s="482"/>
      <c r="X350" s="497"/>
      <c r="Y350" s="497"/>
      <c r="Z350" s="497"/>
      <c r="AA350" s="497"/>
      <c r="AB350" s="497"/>
      <c r="AC350" s="497"/>
      <c r="AD350" s="497"/>
      <c r="AE350" s="497"/>
      <c r="AF350" s="497"/>
      <c r="AG350" s="483"/>
      <c r="AH350" s="483"/>
      <c r="AI350" s="483"/>
      <c r="AJ350" s="483"/>
      <c r="AK350" s="483"/>
      <c r="AL350" s="483"/>
      <c r="AM350" s="483"/>
      <c r="AN350" s="483"/>
      <c r="AO350" s="483"/>
      <c r="AP350" s="483"/>
      <c r="AQ350" s="483"/>
      <c r="AR350" s="483"/>
      <c r="AS350" s="483"/>
      <c r="AT350" s="483"/>
      <c r="AU350" s="483"/>
      <c r="AV350" s="483"/>
      <c r="AW350" s="483"/>
      <c r="BC350" s="483"/>
      <c r="BD350" s="340"/>
      <c r="BE350" s="340"/>
      <c r="BG350" s="341"/>
      <c r="BK350" s="342"/>
    </row>
    <row r="351" spans="1:65" ht="12" customHeight="1">
      <c r="A351" s="439"/>
      <c r="B351" s="439"/>
      <c r="C351" s="440"/>
      <c r="D351" s="336"/>
      <c r="E351" s="440"/>
      <c r="F351" s="440"/>
      <c r="G351" s="440"/>
      <c r="H351" s="440"/>
      <c r="I351" s="440"/>
      <c r="J351" s="440"/>
      <c r="K351" s="440"/>
      <c r="L351" s="440"/>
      <c r="M351" s="440"/>
      <c r="N351" s="440"/>
      <c r="O351" s="440"/>
      <c r="P351" s="440"/>
      <c r="Q351" s="440"/>
      <c r="R351" s="440"/>
      <c r="S351" s="440"/>
      <c r="T351" s="440"/>
      <c r="U351" s="440"/>
      <c r="W351" s="482"/>
      <c r="X351" s="497"/>
      <c r="Y351" s="497"/>
      <c r="Z351" s="497"/>
      <c r="AA351" s="497"/>
      <c r="AB351" s="497"/>
      <c r="AC351" s="497"/>
      <c r="AD351" s="497"/>
      <c r="AE351" s="497"/>
      <c r="AF351" s="497"/>
      <c r="AG351" s="483"/>
      <c r="AH351" s="483"/>
      <c r="AI351" s="483"/>
      <c r="AJ351" s="483"/>
      <c r="AK351" s="483"/>
      <c r="AL351" s="483"/>
      <c r="AM351" s="483"/>
      <c r="AN351" s="483"/>
      <c r="AO351" s="483"/>
      <c r="AP351" s="483"/>
      <c r="AQ351" s="483"/>
      <c r="AR351" s="483"/>
      <c r="AS351" s="483"/>
      <c r="AT351" s="483"/>
      <c r="AU351" s="483"/>
      <c r="AV351" s="483"/>
      <c r="AW351" s="483"/>
      <c r="BC351" s="483"/>
      <c r="BD351" s="340"/>
      <c r="BE351" s="340"/>
      <c r="BG351" s="341"/>
      <c r="BK351" s="342"/>
    </row>
    <row r="352" spans="1:65" ht="12" customHeight="1">
      <c r="A352" s="333"/>
      <c r="B352" s="476"/>
      <c r="C352" s="443"/>
      <c r="D352" s="336"/>
      <c r="E352" s="389"/>
      <c r="F352" s="389"/>
      <c r="G352" s="389"/>
      <c r="H352" s="389"/>
      <c r="I352" s="389"/>
      <c r="J352" s="389"/>
      <c r="K352" s="389"/>
      <c r="L352" s="389"/>
      <c r="M352" s="389"/>
      <c r="N352" s="389"/>
      <c r="O352" s="389"/>
      <c r="P352" s="389"/>
      <c r="Q352" s="389"/>
      <c r="R352" s="389"/>
      <c r="S352" s="389"/>
      <c r="T352" s="389"/>
      <c r="U352" s="389"/>
      <c r="W352" s="482"/>
      <c r="X352" s="497"/>
      <c r="Y352" s="497"/>
      <c r="Z352" s="497"/>
      <c r="AA352" s="497"/>
      <c r="AB352" s="497"/>
      <c r="AC352" s="497"/>
      <c r="AD352" s="497"/>
      <c r="AE352" s="497"/>
      <c r="AF352" s="497"/>
      <c r="AG352" s="483"/>
      <c r="AH352" s="483"/>
      <c r="AI352" s="483"/>
      <c r="AJ352" s="483"/>
      <c r="AK352" s="483"/>
      <c r="AL352" s="483"/>
      <c r="AM352" s="483"/>
      <c r="AN352" s="483"/>
      <c r="AO352" s="483"/>
      <c r="AP352" s="483"/>
      <c r="AQ352" s="483"/>
      <c r="AR352" s="483"/>
      <c r="AS352" s="483"/>
      <c r="AT352" s="483"/>
      <c r="AU352" s="483"/>
      <c r="AV352" s="483"/>
      <c r="AW352" s="483"/>
      <c r="BC352" s="483"/>
      <c r="BD352" s="340"/>
      <c r="BE352" s="340"/>
      <c r="BG352" s="341"/>
      <c r="BK352" s="342"/>
    </row>
    <row r="353" spans="1:66" ht="12" customHeight="1">
      <c r="A353" s="439"/>
      <c r="B353" s="439"/>
      <c r="C353" s="440"/>
      <c r="D353" s="336"/>
      <c r="E353" s="440"/>
      <c r="F353" s="440"/>
      <c r="G353" s="440"/>
      <c r="H353" s="440"/>
      <c r="I353" s="440"/>
      <c r="J353" s="440"/>
      <c r="K353" s="440"/>
      <c r="L353" s="440"/>
      <c r="M353" s="440"/>
      <c r="N353" s="440"/>
      <c r="O353" s="440"/>
      <c r="P353" s="440"/>
      <c r="Q353" s="440"/>
      <c r="R353" s="440"/>
      <c r="S353" s="440"/>
      <c r="T353" s="440"/>
      <c r="U353" s="440"/>
      <c r="W353" s="482"/>
      <c r="X353" s="497"/>
      <c r="Y353" s="497"/>
      <c r="Z353" s="497"/>
      <c r="AA353" s="497"/>
      <c r="AB353" s="497"/>
      <c r="AC353" s="497"/>
      <c r="AD353" s="497"/>
      <c r="AE353" s="497"/>
      <c r="AF353" s="497"/>
      <c r="AG353" s="483"/>
      <c r="AH353" s="483"/>
      <c r="AI353" s="483"/>
      <c r="AJ353" s="483"/>
      <c r="AK353" s="483"/>
      <c r="AL353" s="483"/>
      <c r="AM353" s="483"/>
      <c r="AN353" s="483"/>
      <c r="AO353" s="483"/>
      <c r="AP353" s="483"/>
      <c r="AQ353" s="483"/>
      <c r="AR353" s="483"/>
      <c r="AS353" s="483"/>
      <c r="AT353" s="483"/>
      <c r="AU353" s="483"/>
      <c r="AV353" s="483"/>
      <c r="AW353" s="483"/>
      <c r="BC353" s="483"/>
      <c r="BD353" s="340"/>
      <c r="BE353" s="340"/>
      <c r="BG353" s="341"/>
      <c r="BK353" s="342"/>
    </row>
    <row r="354" spans="1:66" ht="12" customHeight="1">
      <c r="A354" s="439"/>
      <c r="B354" s="439"/>
      <c r="C354" s="440"/>
      <c r="D354" s="336"/>
      <c r="E354" s="440"/>
      <c r="F354" s="440"/>
      <c r="G354" s="440"/>
      <c r="H354" s="440"/>
      <c r="I354" s="440"/>
      <c r="J354" s="440"/>
      <c r="K354" s="440"/>
      <c r="L354" s="440"/>
      <c r="M354" s="440"/>
      <c r="N354" s="440"/>
      <c r="O354" s="440"/>
      <c r="P354" s="440"/>
      <c r="Q354" s="440"/>
      <c r="R354" s="440"/>
      <c r="S354" s="440"/>
      <c r="T354" s="440"/>
      <c r="U354" s="440"/>
      <c r="W354" s="482"/>
      <c r="X354" s="497"/>
      <c r="Y354" s="497"/>
      <c r="Z354" s="497"/>
      <c r="AA354" s="497"/>
      <c r="AB354" s="497"/>
      <c r="AC354" s="497"/>
      <c r="AD354" s="497"/>
      <c r="AE354" s="497"/>
      <c r="AF354" s="497"/>
      <c r="AG354" s="483"/>
      <c r="AH354" s="483"/>
      <c r="AI354" s="483"/>
      <c r="AJ354" s="483"/>
      <c r="AK354" s="483"/>
      <c r="AL354" s="483"/>
      <c r="AM354" s="483"/>
      <c r="AN354" s="483"/>
      <c r="AO354" s="483"/>
      <c r="AP354" s="483"/>
      <c r="AQ354" s="483"/>
      <c r="AR354" s="483"/>
      <c r="AS354" s="483"/>
      <c r="AT354" s="483"/>
      <c r="AU354" s="483"/>
      <c r="AV354" s="483"/>
      <c r="AW354" s="483"/>
      <c r="BC354" s="483"/>
      <c r="BD354" s="340"/>
      <c r="BE354" s="340"/>
      <c r="BG354" s="341"/>
      <c r="BK354" s="342"/>
    </row>
    <row r="355" spans="1:66" ht="12" customHeight="1">
      <c r="A355" s="479"/>
      <c r="B355" s="479"/>
      <c r="C355" s="480"/>
      <c r="D355" s="336"/>
      <c r="E355" s="481"/>
      <c r="F355" s="481"/>
      <c r="G355" s="481"/>
      <c r="H355" s="481"/>
      <c r="I355" s="481"/>
      <c r="J355" s="481"/>
      <c r="K355" s="481"/>
      <c r="L355" s="481"/>
      <c r="M355" s="481"/>
      <c r="N355" s="481"/>
      <c r="O355" s="481"/>
      <c r="P355" s="481"/>
      <c r="Q355" s="481"/>
      <c r="R355" s="481"/>
      <c r="S355" s="481"/>
      <c r="T355" s="481"/>
      <c r="U355" s="481"/>
      <c r="W355" s="482"/>
      <c r="X355" s="504"/>
      <c r="Y355" s="504"/>
      <c r="Z355" s="504"/>
      <c r="AA355" s="504"/>
      <c r="AB355" s="504"/>
      <c r="AC355" s="504"/>
      <c r="AD355" s="504"/>
      <c r="AE355" s="504"/>
      <c r="AF355" s="504"/>
      <c r="AG355" s="505"/>
      <c r="AH355" s="505"/>
      <c r="AI355" s="505"/>
      <c r="AJ355" s="505"/>
      <c r="AK355" s="505"/>
      <c r="AL355" s="505"/>
      <c r="AM355" s="505"/>
      <c r="AN355" s="505"/>
      <c r="AO355" s="505"/>
      <c r="AP355" s="505"/>
      <c r="AQ355" s="505"/>
      <c r="AR355" s="505"/>
      <c r="AS355" s="505"/>
      <c r="AT355" s="505"/>
      <c r="AU355" s="505"/>
      <c r="AV355" s="505"/>
      <c r="AW355" s="505"/>
      <c r="BC355" s="505"/>
      <c r="BD355" s="436"/>
      <c r="BE355" s="436"/>
      <c r="BG355" s="341"/>
    </row>
    <row r="356" spans="1:66" ht="12" customHeight="1">
      <c r="A356" s="479"/>
      <c r="B356" s="479"/>
      <c r="C356" s="480"/>
      <c r="D356" s="336"/>
      <c r="E356" s="481"/>
      <c r="F356" s="481"/>
      <c r="G356" s="481"/>
      <c r="H356" s="481"/>
      <c r="I356" s="481"/>
      <c r="J356" s="481"/>
      <c r="K356" s="481"/>
      <c r="L356" s="481"/>
      <c r="M356" s="481"/>
      <c r="N356" s="481"/>
      <c r="O356" s="481"/>
      <c r="P356" s="481"/>
      <c r="Q356" s="481"/>
      <c r="R356" s="481"/>
      <c r="S356" s="481"/>
      <c r="T356" s="481"/>
      <c r="U356" s="481"/>
      <c r="W356" s="482"/>
      <c r="X356" s="497"/>
      <c r="Y356" s="497"/>
      <c r="Z356" s="497"/>
      <c r="AA356" s="497"/>
      <c r="AB356" s="497"/>
      <c r="AC356" s="497"/>
      <c r="AD356" s="497"/>
      <c r="AE356" s="497"/>
      <c r="AF356" s="497"/>
      <c r="AG356" s="483"/>
      <c r="AH356" s="483"/>
      <c r="AI356" s="483"/>
      <c r="AJ356" s="483"/>
      <c r="AK356" s="483"/>
      <c r="AL356" s="483"/>
      <c r="AM356" s="483"/>
      <c r="AN356" s="483"/>
      <c r="AO356" s="483"/>
      <c r="AP356" s="483"/>
      <c r="AQ356" s="483"/>
      <c r="AR356" s="483"/>
      <c r="AS356" s="483"/>
      <c r="AT356" s="483"/>
      <c r="AU356" s="483"/>
      <c r="AV356" s="483"/>
      <c r="AW356" s="483"/>
      <c r="BC356" s="483"/>
      <c r="BD356" s="340"/>
      <c r="BE356" s="340"/>
      <c r="BG356" s="341"/>
    </row>
    <row r="357" spans="1:66" ht="12" customHeight="1">
      <c r="A357" s="422"/>
      <c r="B357" s="432"/>
      <c r="D357" s="336"/>
      <c r="X357" s="433"/>
      <c r="Y357" s="433"/>
      <c r="Z357" s="433"/>
      <c r="AA357" s="433"/>
      <c r="AB357" s="433"/>
      <c r="AC357" s="433"/>
      <c r="AD357" s="433"/>
      <c r="AE357" s="433"/>
      <c r="AF357" s="433"/>
      <c r="AG357" s="434"/>
      <c r="AH357" s="434"/>
      <c r="AI357" s="434"/>
      <c r="AJ357" s="434"/>
      <c r="AK357" s="434"/>
      <c r="AL357" s="434"/>
      <c r="AM357" s="434"/>
      <c r="AN357" s="434"/>
      <c r="AO357" s="434"/>
      <c r="AP357" s="434"/>
      <c r="AQ357" s="434"/>
      <c r="AR357" s="434"/>
      <c r="AS357" s="434"/>
      <c r="AT357" s="434"/>
      <c r="AU357" s="434"/>
      <c r="AV357" s="434"/>
      <c r="AW357" s="434"/>
      <c r="BC357" s="434"/>
      <c r="BD357" s="436"/>
      <c r="BE357" s="436"/>
      <c r="BH357" s="436"/>
      <c r="BI357" s="436"/>
      <c r="BL357" s="436"/>
      <c r="BM357" s="436"/>
    </row>
    <row r="358" spans="1:66" ht="12" customHeight="1">
      <c r="A358" s="506"/>
      <c r="B358" s="507"/>
      <c r="C358" s="462"/>
      <c r="D358" s="336"/>
      <c r="E358" s="464"/>
      <c r="F358" s="464"/>
      <c r="G358" s="464"/>
      <c r="H358" s="464"/>
      <c r="I358" s="464"/>
      <c r="J358" s="464"/>
      <c r="K358" s="464"/>
      <c r="L358" s="464"/>
      <c r="M358" s="464"/>
      <c r="N358" s="464"/>
      <c r="O358" s="464"/>
      <c r="P358" s="464"/>
      <c r="Q358" s="464"/>
      <c r="R358" s="464"/>
      <c r="S358" s="464"/>
      <c r="T358" s="464"/>
      <c r="U358" s="464"/>
      <c r="V358" s="465"/>
      <c r="W358" s="464"/>
      <c r="X358" s="508"/>
      <c r="Y358" s="508"/>
      <c r="Z358" s="508"/>
      <c r="AA358" s="508"/>
      <c r="AB358" s="508"/>
      <c r="AC358" s="508"/>
      <c r="AD358" s="508"/>
      <c r="AE358" s="508"/>
      <c r="AF358" s="508"/>
      <c r="AG358" s="509"/>
      <c r="AH358" s="509"/>
      <c r="AI358" s="509"/>
      <c r="AJ358" s="509"/>
      <c r="AK358" s="509"/>
      <c r="AL358" s="509"/>
      <c r="AM358" s="509"/>
      <c r="AN358" s="509"/>
      <c r="AO358" s="509"/>
      <c r="AP358" s="509"/>
      <c r="AQ358" s="509"/>
      <c r="AR358" s="509"/>
      <c r="AS358" s="509"/>
      <c r="AT358" s="509"/>
      <c r="AU358" s="509"/>
      <c r="AV358" s="509"/>
      <c r="AW358" s="509"/>
      <c r="AX358" s="464"/>
      <c r="AY358" s="464"/>
      <c r="AZ358" s="464"/>
      <c r="BA358" s="464"/>
      <c r="BB358" s="464"/>
      <c r="BC358" s="509"/>
      <c r="BD358" s="510"/>
      <c r="BE358" s="510"/>
      <c r="BF358" s="464"/>
      <c r="BG358" s="464"/>
      <c r="BH358" s="510"/>
      <c r="BI358" s="510"/>
      <c r="BJ358" s="464"/>
      <c r="BK358" s="464"/>
      <c r="BL358" s="510"/>
      <c r="BM358" s="510"/>
      <c r="BN358" s="464"/>
    </row>
    <row r="359" spans="1:66" ht="12" customHeight="1">
      <c r="A359" s="444"/>
      <c r="B359" s="490"/>
      <c r="C359" s="426"/>
      <c r="D359" s="336"/>
      <c r="E359" s="415"/>
      <c r="F359" s="415"/>
      <c r="G359" s="415"/>
      <c r="H359" s="415"/>
      <c r="I359" s="415"/>
      <c r="J359" s="415"/>
      <c r="K359" s="415"/>
      <c r="L359" s="415"/>
      <c r="M359" s="415"/>
      <c r="N359" s="415"/>
      <c r="O359" s="415"/>
      <c r="P359" s="415"/>
      <c r="Q359" s="415"/>
      <c r="R359" s="415"/>
      <c r="S359" s="415"/>
      <c r="T359" s="415"/>
      <c r="U359" s="415"/>
      <c r="V359" s="412"/>
      <c r="W359" s="412"/>
      <c r="X359" s="446"/>
      <c r="Y359" s="446"/>
      <c r="Z359" s="446"/>
      <c r="AA359" s="446"/>
      <c r="AB359" s="446"/>
      <c r="AC359" s="446"/>
      <c r="AD359" s="446"/>
      <c r="AE359" s="446"/>
      <c r="AF359" s="446"/>
      <c r="AG359" s="429"/>
      <c r="AH359" s="429"/>
      <c r="AI359" s="429"/>
      <c r="AJ359" s="429"/>
      <c r="AK359" s="429"/>
      <c r="AL359" s="429"/>
      <c r="AM359" s="429"/>
      <c r="AN359" s="429"/>
      <c r="AO359" s="429"/>
      <c r="AP359" s="429"/>
      <c r="AQ359" s="429"/>
      <c r="AR359" s="429"/>
      <c r="AS359" s="429"/>
      <c r="AT359" s="429"/>
      <c r="AU359" s="429"/>
      <c r="AV359" s="429"/>
      <c r="AW359" s="429"/>
      <c r="AX359" s="415"/>
      <c r="AY359" s="415"/>
      <c r="AZ359" s="415"/>
      <c r="BA359" s="415"/>
      <c r="BB359" s="415"/>
      <c r="BC359" s="429"/>
      <c r="BD359" s="429"/>
      <c r="BE359" s="429"/>
      <c r="BF359" s="415"/>
      <c r="BG359" s="415"/>
      <c r="BH359" s="429"/>
      <c r="BI359" s="429"/>
      <c r="BJ359" s="415"/>
      <c r="BK359" s="415"/>
      <c r="BL359" s="429"/>
      <c r="BM359" s="429"/>
      <c r="BN359" s="415"/>
    </row>
    <row r="360" spans="1:66" ht="12" customHeight="1">
      <c r="A360" s="511"/>
      <c r="B360" s="512"/>
      <c r="C360" s="442"/>
      <c r="D360" s="336"/>
      <c r="X360" s="338"/>
      <c r="Y360" s="338"/>
      <c r="Z360" s="338"/>
      <c r="AA360" s="338"/>
      <c r="AB360" s="338"/>
      <c r="AC360" s="338"/>
      <c r="AD360" s="338"/>
      <c r="AE360" s="338"/>
      <c r="AF360" s="338"/>
      <c r="AG360" s="339"/>
      <c r="AH360" s="339"/>
      <c r="AI360" s="339"/>
      <c r="AJ360" s="339"/>
      <c r="AK360" s="339"/>
      <c r="AL360" s="339"/>
      <c r="AM360" s="339"/>
      <c r="AN360" s="339"/>
      <c r="AO360" s="339"/>
      <c r="AP360" s="339"/>
      <c r="AQ360" s="339"/>
      <c r="AR360" s="339"/>
      <c r="AS360" s="339"/>
      <c r="AT360" s="339"/>
      <c r="AU360" s="339"/>
      <c r="AV360" s="339"/>
      <c r="AW360" s="339"/>
      <c r="BC360" s="339"/>
      <c r="BD360" s="340"/>
      <c r="BE360" s="340"/>
    </row>
    <row r="361" spans="1:66" ht="12" customHeight="1">
      <c r="A361" s="511"/>
      <c r="B361" s="512"/>
      <c r="C361" s="442"/>
      <c r="D361" s="336"/>
      <c r="X361" s="338"/>
      <c r="Y361" s="338"/>
      <c r="Z361" s="338"/>
      <c r="AA361" s="338"/>
      <c r="AB361" s="338"/>
      <c r="AC361" s="338"/>
      <c r="AD361" s="338"/>
      <c r="AE361" s="338"/>
      <c r="AF361" s="338"/>
      <c r="AG361" s="339"/>
      <c r="AH361" s="339"/>
      <c r="AI361" s="339"/>
      <c r="AJ361" s="339"/>
      <c r="AK361" s="339"/>
      <c r="AL361" s="339"/>
      <c r="AM361" s="339"/>
      <c r="AN361" s="339"/>
      <c r="AO361" s="339"/>
      <c r="AP361" s="339"/>
      <c r="AQ361" s="339"/>
      <c r="AR361" s="339"/>
      <c r="AS361" s="339"/>
      <c r="AT361" s="339"/>
      <c r="AU361" s="339"/>
      <c r="AV361" s="339"/>
      <c r="AW361" s="339"/>
      <c r="BC361" s="339"/>
      <c r="BD361" s="513"/>
      <c r="BE361" s="340"/>
      <c r="BH361" s="514"/>
      <c r="BL361" s="515"/>
    </row>
    <row r="362" spans="1:66" ht="12" customHeight="1">
      <c r="A362" s="511"/>
      <c r="B362" s="512"/>
      <c r="C362" s="442"/>
      <c r="D362" s="336"/>
      <c r="X362" s="338"/>
      <c r="Y362" s="338"/>
      <c r="Z362" s="338"/>
      <c r="AA362" s="338"/>
      <c r="AB362" s="338"/>
      <c r="AC362" s="338"/>
      <c r="AD362" s="338"/>
      <c r="AE362" s="338"/>
      <c r="AF362" s="338"/>
      <c r="AG362" s="339"/>
      <c r="AH362" s="339"/>
      <c r="AI362" s="339"/>
      <c r="AJ362" s="339"/>
      <c r="AK362" s="339"/>
      <c r="AL362" s="339"/>
      <c r="AM362" s="339"/>
      <c r="AN362" s="339"/>
      <c r="AO362" s="339"/>
      <c r="AP362" s="339"/>
      <c r="AQ362" s="339"/>
      <c r="AR362" s="339"/>
      <c r="AS362" s="339"/>
      <c r="AT362" s="339"/>
      <c r="AU362" s="339"/>
      <c r="AV362" s="339"/>
      <c r="AW362" s="339"/>
      <c r="BC362" s="339"/>
      <c r="BD362" s="435"/>
      <c r="BE362" s="389"/>
      <c r="BH362" s="435"/>
      <c r="BI362" s="389"/>
      <c r="BL362" s="435"/>
      <c r="BM362" s="389"/>
    </row>
    <row r="363" spans="1:66" ht="12" customHeight="1">
      <c r="B363" s="512"/>
      <c r="C363" s="442"/>
      <c r="D363" s="336"/>
      <c r="X363" s="345"/>
      <c r="Y363" s="345"/>
      <c r="Z363" s="345"/>
      <c r="AA363" s="345"/>
      <c r="AB363" s="345"/>
      <c r="AC363" s="345"/>
      <c r="AD363" s="345"/>
      <c r="AE363" s="345"/>
      <c r="AF363" s="345"/>
      <c r="AG363" s="337"/>
      <c r="AH363" s="337"/>
      <c r="AI363" s="337"/>
      <c r="AJ363" s="337"/>
      <c r="AK363" s="337"/>
      <c r="AL363" s="337"/>
      <c r="AM363" s="337"/>
      <c r="AN363" s="337"/>
      <c r="AO363" s="337"/>
      <c r="AP363" s="337"/>
      <c r="AQ363" s="337"/>
      <c r="AR363" s="337"/>
      <c r="AS363" s="337"/>
      <c r="AT363" s="337"/>
      <c r="AU363" s="337"/>
      <c r="AV363" s="337"/>
      <c r="AW363" s="337"/>
      <c r="BB363" s="337"/>
      <c r="BC363" s="339"/>
      <c r="BL363" s="337"/>
    </row>
    <row r="364" spans="1:66" ht="12" customHeight="1">
      <c r="B364" s="512"/>
      <c r="C364" s="442"/>
      <c r="D364" s="336"/>
      <c r="X364" s="497"/>
      <c r="Y364" s="497"/>
      <c r="Z364" s="497"/>
      <c r="AA364" s="497"/>
      <c r="AB364" s="497"/>
      <c r="AC364" s="497"/>
      <c r="AD364" s="497"/>
      <c r="AE364" s="497"/>
      <c r="AF364" s="497"/>
      <c r="AG364" s="483"/>
      <c r="AH364" s="483"/>
      <c r="AI364" s="483"/>
      <c r="AJ364" s="483"/>
      <c r="AK364" s="483"/>
      <c r="AL364" s="483"/>
      <c r="AM364" s="483"/>
      <c r="AN364" s="483"/>
      <c r="AO364" s="483"/>
      <c r="AP364" s="483"/>
      <c r="AQ364" s="483"/>
      <c r="AR364" s="483"/>
      <c r="AS364" s="483"/>
      <c r="AT364" s="483"/>
      <c r="AU364" s="483"/>
      <c r="AV364" s="339"/>
      <c r="AW364" s="339"/>
      <c r="BB364" s="337"/>
      <c r="BC364" s="339"/>
      <c r="BD364" s="516"/>
      <c r="BE364" s="516"/>
      <c r="BH364" s="516"/>
      <c r="BI364" s="516"/>
      <c r="BL364" s="516"/>
      <c r="BM364" s="516"/>
    </row>
    <row r="365" spans="1:66" s="389" customFormat="1" ht="12" customHeight="1">
      <c r="A365" s="501"/>
      <c r="B365" s="517"/>
      <c r="C365" s="432"/>
      <c r="V365" s="435"/>
      <c r="W365" s="435"/>
      <c r="X365" s="504"/>
      <c r="Y365" s="504"/>
      <c r="Z365" s="504"/>
      <c r="AA365" s="504"/>
      <c r="AB365" s="504"/>
      <c r="AC365" s="504"/>
      <c r="AD365" s="504"/>
      <c r="AE365" s="504"/>
      <c r="AF365" s="504"/>
      <c r="AG365" s="505"/>
      <c r="AH365" s="518"/>
      <c r="AI365" s="518"/>
      <c r="AJ365" s="518"/>
      <c r="AK365" s="518"/>
      <c r="AL365" s="518"/>
      <c r="AM365" s="518"/>
      <c r="AN365" s="518"/>
      <c r="AO365" s="518"/>
      <c r="AP365" s="518"/>
      <c r="AQ365" s="518"/>
      <c r="AR365" s="518"/>
      <c r="AS365" s="518"/>
      <c r="AT365" s="518"/>
      <c r="AU365" s="518"/>
      <c r="AV365" s="518"/>
      <c r="AW365" s="518"/>
      <c r="BB365" s="435"/>
      <c r="BC365" s="434"/>
      <c r="BD365" s="518"/>
      <c r="BE365" s="518"/>
      <c r="BH365" s="518"/>
      <c r="BI365" s="518"/>
      <c r="BL365" s="518"/>
      <c r="BM365" s="518"/>
    </row>
    <row r="366" spans="1:66" s="521" customFormat="1" ht="12" customHeight="1">
      <c r="A366" s="519"/>
      <c r="B366" s="520"/>
      <c r="C366" s="463"/>
      <c r="V366" s="468"/>
      <c r="W366" s="468"/>
      <c r="X366" s="522"/>
      <c r="Y366" s="522"/>
      <c r="Z366" s="522"/>
      <c r="AA366" s="522"/>
      <c r="AB366" s="522"/>
      <c r="AC366" s="522"/>
      <c r="AD366" s="522"/>
      <c r="AE366" s="522"/>
      <c r="AF366" s="522"/>
      <c r="AG366" s="523"/>
      <c r="AH366" s="523"/>
      <c r="AI366" s="523"/>
      <c r="AJ366" s="523"/>
      <c r="AK366" s="523"/>
      <c r="AL366" s="523"/>
      <c r="AM366" s="523"/>
      <c r="AN366" s="523"/>
      <c r="AO366" s="523"/>
      <c r="AP366" s="523"/>
      <c r="AQ366" s="523"/>
      <c r="AR366" s="523"/>
      <c r="AS366" s="523"/>
      <c r="AT366" s="523"/>
      <c r="AU366" s="523"/>
      <c r="AV366" s="523"/>
      <c r="AW366" s="523"/>
      <c r="BB366" s="468"/>
      <c r="BC366" s="509"/>
      <c r="BD366" s="523"/>
      <c r="BE366" s="523"/>
      <c r="BH366" s="523"/>
      <c r="BI366" s="523"/>
      <c r="BL366" s="523"/>
      <c r="BM366" s="523"/>
    </row>
    <row r="367" spans="1:66" s="491" customFormat="1" ht="12" customHeight="1">
      <c r="A367" s="524"/>
      <c r="B367" s="525"/>
      <c r="C367" s="445"/>
      <c r="V367" s="473"/>
      <c r="W367" s="473"/>
      <c r="X367" s="446"/>
      <c r="Y367" s="446"/>
      <c r="Z367" s="446"/>
      <c r="AA367" s="446"/>
      <c r="AB367" s="446"/>
      <c r="AC367" s="446"/>
      <c r="AD367" s="446"/>
      <c r="AE367" s="446"/>
      <c r="AF367" s="446"/>
      <c r="AG367" s="429"/>
      <c r="AH367" s="526"/>
      <c r="AI367" s="526"/>
      <c r="AJ367" s="526"/>
      <c r="AK367" s="526"/>
      <c r="AL367" s="526"/>
      <c r="AM367" s="526"/>
      <c r="AN367" s="526"/>
      <c r="AO367" s="526"/>
      <c r="AP367" s="526"/>
      <c r="AQ367" s="526"/>
      <c r="AR367" s="526"/>
      <c r="AS367" s="526"/>
      <c r="AT367" s="526"/>
      <c r="AU367" s="526"/>
      <c r="AV367" s="526"/>
      <c r="AW367" s="526"/>
      <c r="BB367" s="473"/>
      <c r="BC367" s="429"/>
      <c r="BD367" s="526"/>
      <c r="BE367" s="526"/>
      <c r="BH367" s="526"/>
      <c r="BI367" s="526"/>
      <c r="BL367" s="526"/>
      <c r="BM367" s="526"/>
    </row>
    <row r="368" spans="1:66" ht="12" customHeight="1">
      <c r="B368" s="512"/>
      <c r="C368" s="442"/>
      <c r="D368" s="336"/>
      <c r="X368" s="338"/>
      <c r="Y368" s="338"/>
      <c r="Z368" s="338"/>
      <c r="AA368" s="338"/>
      <c r="AB368" s="338"/>
      <c r="AC368" s="338"/>
      <c r="AD368" s="338"/>
      <c r="AE368" s="338"/>
      <c r="AF368" s="338"/>
      <c r="AG368" s="339"/>
      <c r="AH368" s="339"/>
      <c r="AI368" s="339"/>
      <c r="AJ368" s="339"/>
      <c r="AK368" s="339"/>
      <c r="AL368" s="339"/>
      <c r="AM368" s="339"/>
      <c r="AN368" s="339"/>
      <c r="AO368" s="339"/>
      <c r="AP368" s="339"/>
      <c r="AQ368" s="339"/>
      <c r="AR368" s="339"/>
      <c r="AS368" s="339"/>
      <c r="AT368" s="339"/>
      <c r="AU368" s="339"/>
      <c r="AV368" s="339"/>
      <c r="AW368" s="339"/>
      <c r="BB368" s="337"/>
      <c r="BC368" s="339"/>
      <c r="BD368" s="340"/>
      <c r="BE368" s="340"/>
    </row>
    <row r="369" spans="1:65" ht="12" customHeight="1">
      <c r="B369" s="512"/>
      <c r="C369" s="442"/>
      <c r="D369" s="336"/>
      <c r="X369" s="527"/>
      <c r="Y369" s="527"/>
      <c r="Z369" s="527"/>
      <c r="AA369" s="527"/>
      <c r="AB369" s="527"/>
      <c r="AC369" s="527"/>
      <c r="AD369" s="527"/>
      <c r="AE369" s="527"/>
      <c r="AF369" s="527"/>
      <c r="AG369" s="528"/>
      <c r="AH369" s="528"/>
      <c r="AI369" s="528"/>
      <c r="AJ369" s="528"/>
      <c r="AK369" s="528"/>
      <c r="AL369" s="528"/>
      <c r="AM369" s="528"/>
      <c r="AN369" s="528"/>
      <c r="AO369" s="528"/>
      <c r="AP369" s="528"/>
      <c r="AQ369" s="528"/>
      <c r="AR369" s="528"/>
      <c r="AS369" s="528"/>
      <c r="AT369" s="528"/>
      <c r="AU369" s="528"/>
      <c r="AV369" s="528"/>
      <c r="AW369" s="528"/>
      <c r="BB369" s="337"/>
      <c r="BC369" s="339"/>
      <c r="BD369" s="340"/>
      <c r="BE369" s="340"/>
    </row>
    <row r="370" spans="1:65" ht="12" customHeight="1">
      <c r="B370" s="512"/>
      <c r="C370" s="442"/>
      <c r="D370" s="336"/>
      <c r="X370" s="338"/>
      <c r="Y370" s="338"/>
      <c r="Z370" s="338"/>
      <c r="AA370" s="338"/>
      <c r="AB370" s="338"/>
      <c r="AC370" s="338"/>
      <c r="AD370" s="338"/>
      <c r="AE370" s="338"/>
      <c r="AF370" s="338"/>
      <c r="AG370" s="339"/>
      <c r="AH370" s="339"/>
      <c r="AI370" s="339"/>
      <c r="AJ370" s="339"/>
      <c r="AK370" s="339"/>
      <c r="AL370" s="339"/>
      <c r="AM370" s="339"/>
      <c r="AN370" s="339"/>
      <c r="AO370" s="339"/>
      <c r="AP370" s="529"/>
      <c r="AQ370" s="339"/>
      <c r="AR370" s="339"/>
      <c r="AS370" s="339"/>
      <c r="AT370" s="339"/>
      <c r="AU370" s="339"/>
      <c r="AV370" s="339"/>
      <c r="AW370" s="339"/>
      <c r="BB370" s="337"/>
      <c r="BC370" s="339"/>
      <c r="BD370" s="340"/>
      <c r="BE370" s="340"/>
    </row>
    <row r="371" spans="1:65" s="389" customFormat="1" ht="12" customHeight="1">
      <c r="A371" s="501"/>
      <c r="B371" s="517"/>
      <c r="C371" s="432"/>
      <c r="V371" s="435"/>
      <c r="W371" s="435"/>
      <c r="X371" s="530"/>
      <c r="Y371" s="530"/>
      <c r="Z371" s="530"/>
      <c r="AA371" s="530"/>
      <c r="AB371" s="530"/>
      <c r="AC371" s="530"/>
      <c r="AD371" s="530"/>
      <c r="AE371" s="530"/>
      <c r="AF371" s="530"/>
      <c r="AG371" s="518"/>
      <c r="AH371" s="518"/>
      <c r="AI371" s="518"/>
      <c r="AJ371" s="518"/>
      <c r="AK371" s="518"/>
      <c r="AL371" s="518"/>
      <c r="AM371" s="518"/>
      <c r="AN371" s="518"/>
      <c r="AO371" s="518"/>
      <c r="AP371" s="518"/>
      <c r="AQ371" s="518"/>
      <c r="AR371" s="518"/>
      <c r="AS371" s="518"/>
      <c r="AT371" s="518"/>
      <c r="AU371" s="518"/>
      <c r="AV371" s="518"/>
      <c r="AW371" s="518"/>
      <c r="BB371" s="435"/>
      <c r="BC371" s="434"/>
      <c r="BD371" s="518"/>
      <c r="BE371" s="518"/>
      <c r="BH371" s="518"/>
      <c r="BI371" s="518"/>
      <c r="BL371" s="518"/>
      <c r="BM371" s="518"/>
    </row>
    <row r="372" spans="1:65" s="521" customFormat="1" ht="12" customHeight="1">
      <c r="A372" s="519"/>
      <c r="B372" s="520"/>
      <c r="C372" s="463"/>
      <c r="V372" s="468"/>
      <c r="W372" s="468"/>
      <c r="X372" s="522"/>
      <c r="Y372" s="522"/>
      <c r="Z372" s="522"/>
      <c r="AA372" s="522"/>
      <c r="AB372" s="522"/>
      <c r="AC372" s="522"/>
      <c r="AD372" s="522"/>
      <c r="AE372" s="522"/>
      <c r="AF372" s="522"/>
      <c r="AG372" s="523"/>
      <c r="AH372" s="523"/>
      <c r="AI372" s="523"/>
      <c r="AJ372" s="523"/>
      <c r="AK372" s="523"/>
      <c r="AL372" s="523"/>
      <c r="AM372" s="523"/>
      <c r="AN372" s="523"/>
      <c r="AO372" s="523"/>
      <c r="AP372" s="523"/>
      <c r="AQ372" s="523"/>
      <c r="AR372" s="523"/>
      <c r="AS372" s="523"/>
      <c r="AT372" s="523"/>
      <c r="AU372" s="523"/>
      <c r="AV372" s="523"/>
      <c r="AW372" s="523"/>
      <c r="BB372" s="468"/>
      <c r="BC372" s="509"/>
      <c r="BD372" s="523"/>
      <c r="BE372" s="523"/>
      <c r="BH372" s="523"/>
      <c r="BI372" s="523"/>
      <c r="BL372" s="523"/>
      <c r="BM372" s="523"/>
    </row>
    <row r="373" spans="1:65" s="491" customFormat="1" ht="12" customHeight="1">
      <c r="A373" s="524"/>
      <c r="B373" s="525"/>
      <c r="C373" s="445"/>
      <c r="V373" s="473"/>
      <c r="W373" s="473"/>
      <c r="X373" s="531"/>
      <c r="Y373" s="531"/>
      <c r="Z373" s="531"/>
      <c r="AA373" s="531"/>
      <c r="AB373" s="531"/>
      <c r="AC373" s="531"/>
      <c r="AD373" s="531"/>
      <c r="AE373" s="531"/>
      <c r="AF373" s="531"/>
      <c r="AG373" s="526"/>
      <c r="AH373" s="526"/>
      <c r="AI373" s="526"/>
      <c r="AJ373" s="526"/>
      <c r="AK373" s="526"/>
      <c r="AL373" s="526"/>
      <c r="AM373" s="526"/>
      <c r="AN373" s="526"/>
      <c r="AO373" s="526"/>
      <c r="AP373" s="526"/>
      <c r="AQ373" s="526"/>
      <c r="AR373" s="526"/>
      <c r="AS373" s="526"/>
      <c r="AT373" s="526"/>
      <c r="AU373" s="526"/>
      <c r="AV373" s="526"/>
      <c r="AW373" s="526"/>
      <c r="BB373" s="473"/>
      <c r="BC373" s="429"/>
      <c r="BD373" s="526"/>
      <c r="BE373" s="526"/>
      <c r="BH373" s="526"/>
      <c r="BI373" s="526"/>
      <c r="BL373" s="526"/>
      <c r="BM373" s="526"/>
    </row>
    <row r="374" spans="1:65" ht="12" customHeight="1">
      <c r="B374" s="512"/>
      <c r="C374" s="532"/>
      <c r="D374" s="336"/>
      <c r="X374" s="338"/>
      <c r="Y374" s="338"/>
      <c r="Z374" s="338"/>
      <c r="AA374" s="338"/>
      <c r="AB374" s="338"/>
      <c r="AC374" s="338"/>
      <c r="AD374" s="338"/>
      <c r="AE374" s="338"/>
      <c r="AF374" s="338"/>
      <c r="AG374" s="339"/>
      <c r="AH374" s="339"/>
      <c r="AI374" s="339"/>
      <c r="AJ374" s="339"/>
      <c r="AK374" s="339"/>
      <c r="AL374" s="339"/>
      <c r="AM374" s="339"/>
      <c r="AN374" s="339"/>
      <c r="AO374" s="339"/>
      <c r="AP374" s="339"/>
      <c r="AQ374" s="533"/>
      <c r="AR374" s="339"/>
      <c r="AS374" s="339"/>
      <c r="AT374" s="339"/>
      <c r="AU374" s="339"/>
      <c r="AV374" s="339"/>
      <c r="AW374" s="339"/>
      <c r="BC374" s="339"/>
      <c r="BD374" s="340"/>
      <c r="BE374" s="340"/>
    </row>
    <row r="375" spans="1:65" ht="12" customHeight="1">
      <c r="B375" s="512"/>
      <c r="C375" s="442"/>
      <c r="D375" s="336"/>
      <c r="X375" s="338"/>
      <c r="Y375" s="338"/>
      <c r="Z375" s="338"/>
      <c r="AA375" s="338"/>
      <c r="AB375" s="338"/>
      <c r="AC375" s="338"/>
      <c r="AD375" s="338"/>
      <c r="AE375" s="338"/>
      <c r="AF375" s="338"/>
      <c r="AG375" s="339"/>
      <c r="AH375" s="339"/>
      <c r="AI375" s="339"/>
      <c r="AJ375" s="339"/>
      <c r="AK375" s="339"/>
      <c r="AL375" s="339"/>
      <c r="AM375" s="339"/>
      <c r="AN375" s="339"/>
      <c r="AO375" s="339"/>
      <c r="AP375" s="339"/>
      <c r="AQ375" s="339"/>
      <c r="AR375" s="339"/>
      <c r="AS375" s="339"/>
      <c r="AT375" s="339"/>
      <c r="AU375" s="339"/>
      <c r="AV375" s="339"/>
      <c r="AW375" s="339"/>
      <c r="BC375" s="339"/>
      <c r="BD375" s="340"/>
      <c r="BE375" s="340"/>
    </row>
    <row r="376" spans="1:65" ht="12" customHeight="1">
      <c r="B376" s="512"/>
      <c r="C376" s="442"/>
      <c r="D376" s="336"/>
      <c r="X376" s="338"/>
      <c r="Y376" s="338"/>
      <c r="Z376" s="338"/>
      <c r="AA376" s="338"/>
      <c r="AB376" s="338"/>
      <c r="AC376" s="338"/>
      <c r="AD376" s="338"/>
      <c r="AE376" s="338"/>
      <c r="AF376" s="338"/>
      <c r="AG376" s="339"/>
      <c r="AH376" s="339"/>
      <c r="AI376" s="339"/>
      <c r="AJ376" s="339"/>
      <c r="AK376" s="339"/>
      <c r="AL376" s="339"/>
      <c r="AM376" s="339"/>
      <c r="AN376" s="339"/>
      <c r="AO376" s="339"/>
      <c r="AP376" s="339"/>
      <c r="AQ376" s="339"/>
      <c r="AR376" s="339"/>
      <c r="AS376" s="339"/>
      <c r="AT376" s="339"/>
      <c r="AU376" s="339"/>
      <c r="AV376" s="339"/>
      <c r="AW376" s="339"/>
      <c r="BC376" s="339"/>
      <c r="BD376" s="340"/>
      <c r="BE376" s="340"/>
    </row>
    <row r="377" spans="1:65" ht="12" customHeight="1">
      <c r="B377" s="512"/>
      <c r="C377" s="442"/>
      <c r="D377" s="336"/>
      <c r="X377" s="338"/>
      <c r="Y377" s="338"/>
      <c r="Z377" s="338"/>
      <c r="AA377" s="338"/>
      <c r="AB377" s="338"/>
      <c r="AC377" s="338"/>
      <c r="AD377" s="338"/>
      <c r="AE377" s="338"/>
      <c r="AF377" s="338"/>
      <c r="AG377" s="339"/>
      <c r="AH377" s="339"/>
      <c r="AI377" s="339"/>
      <c r="AJ377" s="339"/>
      <c r="AK377" s="339"/>
      <c r="AL377" s="339"/>
      <c r="AM377" s="339"/>
      <c r="AN377" s="339"/>
      <c r="AO377" s="339"/>
      <c r="AP377" s="339"/>
      <c r="AQ377" s="339"/>
      <c r="AR377" s="339"/>
      <c r="AS377" s="339"/>
      <c r="AT377" s="339"/>
      <c r="AU377" s="339"/>
      <c r="AV377" s="339"/>
      <c r="AW377" s="339"/>
      <c r="BC377" s="339"/>
      <c r="BD377" s="340"/>
      <c r="BE377" s="340"/>
    </row>
    <row r="378" spans="1:65" ht="12" customHeight="1">
      <c r="B378" s="512"/>
      <c r="C378" s="442"/>
      <c r="D378" s="336"/>
      <c r="X378" s="338"/>
      <c r="Y378" s="338"/>
      <c r="Z378" s="338"/>
      <c r="AA378" s="338"/>
      <c r="AB378" s="338"/>
      <c r="AC378" s="338"/>
      <c r="AD378" s="338"/>
      <c r="AE378" s="338"/>
      <c r="AF378" s="338"/>
      <c r="AG378" s="339"/>
      <c r="AH378" s="339"/>
      <c r="AI378" s="339"/>
      <c r="AJ378" s="339"/>
      <c r="AK378" s="339"/>
      <c r="AL378" s="339"/>
      <c r="AM378" s="339"/>
      <c r="AN378" s="339"/>
      <c r="AO378" s="339"/>
      <c r="AP378" s="339"/>
      <c r="AQ378" s="339"/>
      <c r="AR378" s="339"/>
      <c r="AS378" s="339"/>
      <c r="AT378" s="339"/>
      <c r="AU378" s="339"/>
      <c r="AV378" s="339"/>
      <c r="AW378" s="339"/>
      <c r="BC378" s="339"/>
      <c r="BD378" s="340"/>
      <c r="BE378" s="340"/>
    </row>
    <row r="379" spans="1:65" ht="12" customHeight="1">
      <c r="B379" s="348"/>
      <c r="D379" s="336"/>
      <c r="X379" s="338"/>
      <c r="Y379" s="338"/>
      <c r="Z379" s="338"/>
      <c r="AA379" s="338"/>
      <c r="AB379" s="338"/>
      <c r="AC379" s="338"/>
      <c r="AD379" s="338"/>
      <c r="AE379" s="338"/>
      <c r="AF379" s="338"/>
      <c r="AG379" s="339"/>
      <c r="AH379" s="339"/>
      <c r="AI379" s="339"/>
      <c r="AJ379" s="339"/>
      <c r="AK379" s="339"/>
      <c r="AL379" s="339"/>
      <c r="AM379" s="339"/>
      <c r="AN379" s="339"/>
      <c r="AO379" s="339"/>
      <c r="AP379" s="339"/>
      <c r="AQ379" s="339"/>
      <c r="AR379" s="339"/>
      <c r="AS379" s="339"/>
      <c r="AT379" s="339"/>
      <c r="AU379" s="339"/>
      <c r="AV379" s="339"/>
      <c r="AW379" s="339"/>
      <c r="BC379" s="339"/>
      <c r="BD379" s="340"/>
      <c r="BE379" s="340"/>
    </row>
    <row r="380" spans="1:65" ht="12" customHeight="1">
      <c r="B380" s="348"/>
      <c r="D380" s="336"/>
      <c r="X380" s="451"/>
      <c r="Y380" s="451"/>
      <c r="Z380" s="451"/>
      <c r="AA380" s="451"/>
      <c r="AB380" s="451"/>
      <c r="AC380" s="451"/>
      <c r="AD380" s="451"/>
      <c r="AE380" s="451"/>
      <c r="AF380" s="451"/>
      <c r="AG380" s="425"/>
      <c r="AH380" s="425"/>
      <c r="AI380" s="339"/>
      <c r="AJ380" s="339"/>
      <c r="AK380" s="339"/>
      <c r="AL380" s="339"/>
      <c r="AM380" s="339"/>
      <c r="AN380" s="339"/>
      <c r="AO380" s="339"/>
      <c r="AP380" s="339"/>
      <c r="AQ380" s="339"/>
      <c r="AR380" s="339"/>
      <c r="AS380" s="339"/>
      <c r="AT380" s="339"/>
      <c r="AU380" s="339"/>
      <c r="AV380" s="339"/>
      <c r="AW380" s="339"/>
      <c r="BC380" s="339"/>
      <c r="BD380" s="340"/>
      <c r="BE380" s="340"/>
    </row>
    <row r="381" spans="1:65" ht="12" customHeight="1">
      <c r="B381" s="348"/>
      <c r="D381" s="336"/>
      <c r="X381" s="451"/>
      <c r="Y381" s="451"/>
      <c r="Z381" s="451"/>
      <c r="AA381" s="451"/>
      <c r="AB381" s="451"/>
      <c r="AC381" s="451"/>
      <c r="AD381" s="451"/>
      <c r="AE381" s="451"/>
      <c r="AF381" s="451"/>
      <c r="AG381" s="425"/>
      <c r="AH381" s="425"/>
      <c r="AI381" s="339"/>
      <c r="AJ381" s="339"/>
      <c r="AK381" s="339"/>
      <c r="AL381" s="339"/>
      <c r="AM381" s="339"/>
      <c r="AN381" s="339"/>
      <c r="AO381" s="339"/>
      <c r="AP381" s="339"/>
      <c r="AQ381" s="339"/>
      <c r="AR381" s="339"/>
      <c r="AS381" s="339"/>
      <c r="AT381" s="339"/>
      <c r="AU381" s="339"/>
      <c r="AV381" s="339"/>
      <c r="AW381" s="339"/>
      <c r="BC381" s="339"/>
      <c r="BD381" s="340"/>
      <c r="BE381" s="340"/>
    </row>
    <row r="382" spans="1:65" ht="12" customHeight="1">
      <c r="A382" s="511"/>
      <c r="C382" s="532"/>
      <c r="D382" s="336"/>
      <c r="X382" s="451"/>
      <c r="Y382" s="451"/>
      <c r="Z382" s="451"/>
      <c r="AA382" s="451"/>
      <c r="AB382" s="451"/>
      <c r="AC382" s="451"/>
      <c r="AD382" s="451"/>
      <c r="AE382" s="451"/>
      <c r="AF382" s="451"/>
      <c r="AG382" s="425"/>
      <c r="AH382" s="425"/>
      <c r="AI382" s="425"/>
      <c r="AJ382" s="425"/>
      <c r="AK382" s="339"/>
      <c r="AL382" s="339"/>
      <c r="AM382" s="339"/>
      <c r="AN382" s="339"/>
      <c r="AO382" s="339"/>
      <c r="AP382" s="339"/>
      <c r="AQ382" s="339"/>
      <c r="AR382" s="339"/>
      <c r="AS382" s="339"/>
      <c r="AT382" s="339"/>
      <c r="AU382" s="339"/>
      <c r="AV382" s="339"/>
      <c r="AW382" s="339"/>
      <c r="BC382" s="339"/>
      <c r="BD382" s="340"/>
      <c r="BE382" s="340"/>
    </row>
    <row r="383" spans="1:65" ht="12" customHeight="1">
      <c r="A383" s="511"/>
      <c r="C383" s="355"/>
      <c r="D383" s="336"/>
      <c r="X383" s="451"/>
      <c r="Y383" s="451"/>
      <c r="Z383" s="451"/>
      <c r="AA383" s="451"/>
      <c r="AB383" s="451"/>
      <c r="AC383" s="451"/>
      <c r="AD383" s="451"/>
      <c r="AE383" s="451"/>
      <c r="AF383" s="451"/>
      <c r="AG383" s="425"/>
      <c r="AH383" s="425"/>
      <c r="AI383" s="425"/>
      <c r="AJ383" s="425"/>
      <c r="AK383" s="339"/>
      <c r="AL383" s="339"/>
      <c r="AM383" s="339"/>
      <c r="AN383" s="339"/>
      <c r="AO383" s="339"/>
      <c r="AP383" s="339"/>
      <c r="AQ383" s="339"/>
      <c r="AR383" s="339"/>
      <c r="AS383" s="339"/>
      <c r="AT383" s="339"/>
      <c r="AU383" s="339"/>
      <c r="AV383" s="339"/>
      <c r="AW383" s="339"/>
      <c r="BC383" s="339"/>
      <c r="BD383" s="340"/>
      <c r="BE383" s="340"/>
    </row>
    <row r="384" spans="1:65" ht="12" customHeight="1">
      <c r="A384" s="511"/>
      <c r="C384" s="532"/>
      <c r="D384" s="336"/>
      <c r="X384" s="451"/>
      <c r="Y384" s="451"/>
      <c r="Z384" s="451"/>
      <c r="AA384" s="451"/>
      <c r="AB384" s="451"/>
      <c r="AC384" s="451"/>
      <c r="AD384" s="451"/>
      <c r="AE384" s="451"/>
      <c r="AF384" s="451"/>
      <c r="AG384" s="425"/>
      <c r="AH384" s="425"/>
      <c r="AI384" s="425"/>
      <c r="AJ384" s="425"/>
      <c r="AK384" s="425"/>
      <c r="AL384" s="425"/>
      <c r="AM384" s="425"/>
      <c r="AN384" s="425"/>
      <c r="AO384" s="425"/>
      <c r="AP384" s="425"/>
      <c r="AQ384" s="425"/>
      <c r="AR384" s="425"/>
      <c r="AS384" s="425"/>
      <c r="AT384" s="425"/>
      <c r="AU384" s="425"/>
      <c r="AV384" s="339"/>
      <c r="AW384" s="339"/>
      <c r="BC384" s="425"/>
    </row>
    <row r="385" spans="1:55" ht="12" customHeight="1">
      <c r="A385" s="511"/>
      <c r="C385" s="532"/>
      <c r="D385" s="336"/>
      <c r="X385" s="451"/>
      <c r="Y385" s="451"/>
      <c r="Z385" s="451"/>
      <c r="AA385" s="451"/>
      <c r="AB385" s="451"/>
      <c r="AC385" s="451"/>
      <c r="AD385" s="451"/>
      <c r="AE385" s="451"/>
      <c r="AF385" s="451"/>
      <c r="AG385" s="425"/>
      <c r="AH385" s="425"/>
      <c r="AI385" s="425"/>
      <c r="AJ385" s="425"/>
      <c r="AK385" s="425"/>
      <c r="AL385" s="425"/>
      <c r="AM385" s="425"/>
      <c r="AN385" s="425"/>
      <c r="AO385" s="425"/>
      <c r="AP385" s="425"/>
      <c r="AQ385" s="425"/>
      <c r="AR385" s="425"/>
      <c r="AS385" s="425"/>
      <c r="AT385" s="425"/>
      <c r="AU385" s="425"/>
      <c r="AV385" s="425"/>
      <c r="AW385" s="425"/>
      <c r="BC385" s="425"/>
    </row>
    <row r="386" spans="1:55" ht="12" customHeight="1">
      <c r="A386" s="511"/>
      <c r="C386" s="532"/>
      <c r="D386" s="336"/>
      <c r="X386" s="451"/>
      <c r="Y386" s="451"/>
      <c r="Z386" s="451"/>
      <c r="AA386" s="451"/>
      <c r="AB386" s="451"/>
      <c r="AC386" s="451"/>
      <c r="AD386" s="451"/>
      <c r="AE386" s="451"/>
      <c r="AF386" s="451"/>
      <c r="AG386" s="425"/>
      <c r="AH386" s="425"/>
      <c r="AI386" s="425"/>
      <c r="AJ386" s="425"/>
      <c r="AK386" s="425"/>
      <c r="AL386" s="425"/>
      <c r="AM386" s="425"/>
      <c r="AN386" s="425"/>
      <c r="AO386" s="425"/>
      <c r="AP386" s="425"/>
      <c r="AQ386" s="425"/>
      <c r="AR386" s="425"/>
      <c r="AS386" s="425"/>
      <c r="AT386" s="425"/>
      <c r="AU386" s="425"/>
      <c r="AV386" s="425"/>
      <c r="AW386" s="425"/>
      <c r="BC386" s="425"/>
    </row>
    <row r="387" spans="1:55" ht="12" customHeight="1">
      <c r="A387" s="511"/>
      <c r="C387" s="532"/>
      <c r="D387" s="336"/>
      <c r="X387" s="451"/>
      <c r="Y387" s="451"/>
      <c r="Z387" s="451"/>
      <c r="AA387" s="451"/>
      <c r="AB387" s="451"/>
      <c r="AC387" s="451"/>
      <c r="AD387" s="451"/>
      <c r="AE387" s="451"/>
      <c r="AF387" s="451"/>
      <c r="AG387" s="425"/>
      <c r="AH387" s="425"/>
      <c r="AI387" s="425"/>
      <c r="AJ387" s="425"/>
      <c r="AK387" s="425"/>
      <c r="AL387" s="425"/>
      <c r="AM387" s="425"/>
      <c r="AN387" s="425"/>
      <c r="AO387" s="425"/>
      <c r="AP387" s="425"/>
      <c r="AQ387" s="425"/>
      <c r="AR387" s="425"/>
      <c r="AS387" s="425"/>
      <c r="AT387" s="425"/>
      <c r="AU387" s="425"/>
      <c r="AV387" s="425"/>
      <c r="AW387" s="425"/>
      <c r="BC387" s="425"/>
    </row>
    <row r="388" spans="1:55" ht="12" customHeight="1">
      <c r="A388" s="511"/>
      <c r="C388" s="532"/>
      <c r="D388" s="336"/>
      <c r="X388" s="451"/>
      <c r="Y388" s="451"/>
      <c r="Z388" s="451"/>
      <c r="AA388" s="451"/>
      <c r="AB388" s="451"/>
      <c r="AC388" s="451"/>
      <c r="AD388" s="451"/>
      <c r="AE388" s="451"/>
      <c r="AF388" s="451"/>
      <c r="AG388" s="425"/>
      <c r="AH388" s="425"/>
      <c r="AI388" s="425"/>
      <c r="AJ388" s="425"/>
      <c r="AK388" s="425"/>
      <c r="AL388" s="425"/>
      <c r="AM388" s="425"/>
      <c r="AN388" s="425"/>
      <c r="AO388" s="425"/>
      <c r="AP388" s="425"/>
      <c r="AQ388" s="425"/>
      <c r="AR388" s="425"/>
      <c r="AS388" s="425"/>
      <c r="AT388" s="425"/>
      <c r="AU388" s="425"/>
      <c r="AV388" s="425"/>
      <c r="AW388" s="425"/>
      <c r="BC388" s="425"/>
    </row>
    <row r="389" spans="1:55" ht="12" customHeight="1">
      <c r="A389" s="511"/>
      <c r="C389" s="532"/>
      <c r="D389" s="336"/>
      <c r="X389" s="451"/>
      <c r="Y389" s="451"/>
      <c r="Z389" s="451"/>
      <c r="AA389" s="451"/>
      <c r="AB389" s="451"/>
      <c r="AC389" s="451"/>
      <c r="AD389" s="451"/>
      <c r="AE389" s="451"/>
      <c r="AF389" s="451"/>
      <c r="AG389" s="425"/>
      <c r="AH389" s="425"/>
      <c r="AI389" s="425"/>
      <c r="AJ389" s="425"/>
      <c r="AK389" s="425"/>
      <c r="AL389" s="425"/>
      <c r="AM389" s="425"/>
      <c r="AN389" s="425"/>
      <c r="AO389" s="425"/>
      <c r="AP389" s="425"/>
      <c r="AQ389" s="425"/>
      <c r="AR389" s="425"/>
      <c r="AS389" s="425"/>
      <c r="AT389" s="425"/>
      <c r="AU389" s="425"/>
      <c r="AV389" s="425"/>
      <c r="AW389" s="425"/>
      <c r="BC389" s="425"/>
    </row>
    <row r="390" spans="1:55" ht="12" customHeight="1">
      <c r="A390" s="511"/>
      <c r="C390" s="532"/>
      <c r="D390" s="336"/>
      <c r="X390" s="451"/>
      <c r="Y390" s="451"/>
      <c r="Z390" s="451"/>
      <c r="AA390" s="451"/>
      <c r="AB390" s="451"/>
      <c r="AC390" s="451"/>
      <c r="AD390" s="451"/>
      <c r="AE390" s="451"/>
      <c r="AF390" s="451"/>
      <c r="AG390" s="425"/>
      <c r="AH390" s="425"/>
      <c r="AI390" s="425"/>
      <c r="AJ390" s="425"/>
      <c r="AK390" s="425"/>
      <c r="AL390" s="425"/>
      <c r="AM390" s="425"/>
      <c r="AN390" s="425"/>
      <c r="AO390" s="425"/>
      <c r="AP390" s="425"/>
      <c r="AQ390" s="425"/>
      <c r="AR390" s="425"/>
      <c r="AS390" s="425"/>
      <c r="AT390" s="425"/>
      <c r="AU390" s="425"/>
      <c r="AV390" s="425"/>
      <c r="AW390" s="425"/>
      <c r="BC390" s="425"/>
    </row>
    <row r="391" spans="1:55" ht="12" customHeight="1">
      <c r="A391" s="511"/>
      <c r="C391" s="532"/>
      <c r="D391" s="336"/>
      <c r="X391" s="451"/>
      <c r="Y391" s="451"/>
      <c r="Z391" s="451"/>
      <c r="AA391" s="451"/>
      <c r="AB391" s="451"/>
      <c r="AC391" s="451"/>
      <c r="AD391" s="451"/>
      <c r="AE391" s="451"/>
      <c r="AF391" s="451"/>
      <c r="AG391" s="425"/>
      <c r="AH391" s="425"/>
      <c r="AI391" s="425"/>
      <c r="AJ391" s="425"/>
      <c r="AK391" s="425"/>
      <c r="AL391" s="425"/>
      <c r="AM391" s="425"/>
      <c r="AN391" s="425"/>
      <c r="AO391" s="425"/>
      <c r="AP391" s="425"/>
      <c r="AQ391" s="425"/>
      <c r="AR391" s="425"/>
      <c r="AS391" s="425"/>
      <c r="AT391" s="425"/>
      <c r="AU391" s="425"/>
      <c r="AV391" s="425"/>
      <c r="AW391" s="425"/>
      <c r="BC391" s="425"/>
    </row>
    <row r="392" spans="1:55" ht="12" customHeight="1">
      <c r="A392" s="511"/>
      <c r="C392" s="532"/>
      <c r="D392" s="336"/>
      <c r="X392" s="451"/>
      <c r="Y392" s="451"/>
      <c r="Z392" s="451"/>
      <c r="AA392" s="451"/>
      <c r="AB392" s="451"/>
      <c r="AC392" s="451"/>
      <c r="AD392" s="451"/>
      <c r="AE392" s="451"/>
      <c r="AF392" s="451"/>
      <c r="AG392" s="425"/>
      <c r="AH392" s="425"/>
      <c r="AI392" s="425"/>
      <c r="AJ392" s="425"/>
      <c r="AK392" s="425"/>
      <c r="AL392" s="425"/>
      <c r="AM392" s="425"/>
      <c r="AN392" s="425"/>
      <c r="AO392" s="425"/>
      <c r="AP392" s="425"/>
      <c r="AQ392" s="425"/>
      <c r="AR392" s="425"/>
      <c r="AS392" s="425"/>
      <c r="AT392" s="425"/>
      <c r="AU392" s="425"/>
      <c r="AV392" s="425"/>
      <c r="AW392" s="425"/>
      <c r="BC392" s="425"/>
    </row>
    <row r="393" spans="1:55" ht="12" customHeight="1">
      <c r="A393" s="511"/>
      <c r="C393" s="532"/>
      <c r="D393" s="336"/>
      <c r="X393" s="451"/>
      <c r="Y393" s="451"/>
      <c r="Z393" s="451"/>
      <c r="AA393" s="451"/>
      <c r="AB393" s="451"/>
      <c r="AC393" s="451"/>
      <c r="AD393" s="451"/>
      <c r="AE393" s="451"/>
      <c r="AF393" s="451"/>
      <c r="AG393" s="425"/>
      <c r="AH393" s="425"/>
      <c r="AI393" s="425"/>
      <c r="AJ393" s="425"/>
      <c r="AK393" s="425"/>
      <c r="AL393" s="425"/>
      <c r="AM393" s="425"/>
      <c r="AN393" s="425"/>
      <c r="AO393" s="425"/>
      <c r="AP393" s="425"/>
      <c r="AQ393" s="425"/>
      <c r="AR393" s="425"/>
      <c r="AS393" s="425"/>
      <c r="AT393" s="425"/>
      <c r="AU393" s="425"/>
      <c r="AV393" s="425"/>
      <c r="AW393" s="425"/>
      <c r="BC393" s="425"/>
    </row>
    <row r="394" spans="1:55" ht="12" customHeight="1">
      <c r="A394" s="511"/>
      <c r="C394" s="532"/>
      <c r="D394" s="336"/>
      <c r="X394" s="451"/>
      <c r="Y394" s="451"/>
      <c r="Z394" s="451"/>
      <c r="AA394" s="451"/>
      <c r="AB394" s="451"/>
      <c r="AC394" s="451"/>
      <c r="AD394" s="451"/>
      <c r="AE394" s="451"/>
      <c r="AF394" s="451"/>
      <c r="AG394" s="425"/>
      <c r="AH394" s="425"/>
      <c r="AI394" s="425"/>
      <c r="AJ394" s="425"/>
      <c r="AK394" s="425"/>
      <c r="AL394" s="425"/>
      <c r="AM394" s="425"/>
      <c r="AN394" s="425"/>
      <c r="AO394" s="425"/>
      <c r="AP394" s="425"/>
      <c r="AQ394" s="425"/>
      <c r="AR394" s="425"/>
      <c r="AS394" s="425"/>
      <c r="AT394" s="425"/>
      <c r="AU394" s="425"/>
      <c r="AV394" s="425"/>
      <c r="AW394" s="425"/>
      <c r="BC394" s="425"/>
    </row>
    <row r="395" spans="1:55" ht="12" customHeight="1">
      <c r="A395" s="511"/>
      <c r="B395" s="348"/>
      <c r="D395" s="336"/>
      <c r="X395" s="451"/>
      <c r="Y395" s="451"/>
      <c r="Z395" s="451"/>
      <c r="AA395" s="451"/>
      <c r="AB395" s="451"/>
      <c r="AC395" s="451"/>
      <c r="AD395" s="451"/>
      <c r="AE395" s="451"/>
      <c r="AF395" s="451"/>
      <c r="AG395" s="425"/>
      <c r="AH395" s="425"/>
      <c r="AI395" s="425"/>
      <c r="AJ395" s="425"/>
      <c r="AK395" s="425"/>
      <c r="AL395" s="425"/>
      <c r="AM395" s="425"/>
      <c r="AN395" s="425"/>
      <c r="AO395" s="425"/>
      <c r="AP395" s="425"/>
      <c r="AQ395" s="425"/>
      <c r="AR395" s="425"/>
      <c r="AS395" s="425"/>
      <c r="AT395" s="425"/>
      <c r="AU395" s="425"/>
      <c r="AV395" s="425"/>
      <c r="AW395" s="425"/>
      <c r="BC395" s="425"/>
    </row>
    <row r="396" spans="1:55" ht="12" customHeight="1">
      <c r="B396" s="534"/>
      <c r="D396" s="336"/>
      <c r="X396" s="451"/>
      <c r="Y396" s="451"/>
      <c r="Z396" s="451"/>
      <c r="AA396" s="451"/>
      <c r="AB396" s="451"/>
      <c r="AC396" s="451"/>
      <c r="AD396" s="451"/>
      <c r="AE396" s="451"/>
      <c r="AF396" s="451"/>
      <c r="AG396" s="425"/>
      <c r="AH396" s="425"/>
      <c r="AI396" s="425"/>
      <c r="AJ396" s="425"/>
      <c r="AK396" s="425"/>
      <c r="AL396" s="425"/>
      <c r="AM396" s="425"/>
      <c r="AN396" s="425"/>
      <c r="AO396" s="425"/>
      <c r="AP396" s="425"/>
      <c r="AQ396" s="425"/>
      <c r="AR396" s="425"/>
      <c r="AS396" s="425"/>
      <c r="AT396" s="425"/>
      <c r="AU396" s="425"/>
      <c r="AV396" s="425"/>
      <c r="AW396" s="425"/>
      <c r="BC396" s="425"/>
    </row>
    <row r="397" spans="1:55" ht="12" customHeight="1">
      <c r="C397" s="532"/>
      <c r="D397" s="336"/>
      <c r="X397" s="451"/>
      <c r="Y397" s="451"/>
      <c r="Z397" s="451"/>
      <c r="AA397" s="451"/>
      <c r="AB397" s="451"/>
      <c r="AC397" s="451"/>
      <c r="AD397" s="451"/>
      <c r="AE397" s="451"/>
      <c r="AF397" s="451"/>
      <c r="AG397" s="425"/>
      <c r="AH397" s="425"/>
      <c r="AI397" s="425"/>
      <c r="AJ397" s="425"/>
      <c r="AK397" s="425"/>
      <c r="AL397" s="425"/>
      <c r="AM397" s="425"/>
      <c r="AN397" s="425"/>
      <c r="AO397" s="425"/>
      <c r="AP397" s="425"/>
      <c r="AQ397" s="425"/>
      <c r="AR397" s="425"/>
      <c r="AS397" s="425"/>
      <c r="AT397" s="425"/>
      <c r="AU397" s="425"/>
      <c r="AV397" s="425"/>
      <c r="AW397" s="425"/>
      <c r="BC397" s="425"/>
    </row>
    <row r="398" spans="1:55" ht="12" customHeight="1">
      <c r="D398" s="336"/>
      <c r="X398" s="451"/>
      <c r="Y398" s="451"/>
      <c r="Z398" s="451"/>
      <c r="AA398" s="451"/>
      <c r="AB398" s="451"/>
      <c r="AC398" s="451"/>
      <c r="AD398" s="451"/>
      <c r="AE398" s="451"/>
      <c r="AF398" s="451"/>
      <c r="AG398" s="425"/>
      <c r="AH398" s="425"/>
      <c r="AI398" s="425"/>
      <c r="AJ398" s="425"/>
      <c r="AK398" s="425"/>
      <c r="AL398" s="425"/>
      <c r="AM398" s="425"/>
      <c r="AN398" s="425"/>
      <c r="AO398" s="425"/>
      <c r="AP398" s="425"/>
      <c r="AQ398" s="425"/>
      <c r="AR398" s="425"/>
      <c r="AS398" s="425"/>
      <c r="AT398" s="425"/>
      <c r="AU398" s="425"/>
      <c r="AV398" s="425"/>
      <c r="AW398" s="425"/>
      <c r="BC398" s="425"/>
    </row>
    <row r="399" spans="1:55" ht="12" customHeight="1">
      <c r="B399" s="534"/>
      <c r="D399" s="336"/>
      <c r="X399" s="451"/>
      <c r="Y399" s="451"/>
      <c r="Z399" s="451"/>
      <c r="AA399" s="451"/>
      <c r="AB399" s="451"/>
      <c r="AC399" s="451"/>
      <c r="AD399" s="451"/>
      <c r="AE399" s="451"/>
      <c r="AF399" s="451"/>
      <c r="AG399" s="425"/>
      <c r="AH399" s="425"/>
      <c r="AI399" s="425"/>
      <c r="AJ399" s="425"/>
      <c r="AK399" s="425"/>
      <c r="AL399" s="425"/>
      <c r="AM399" s="425"/>
      <c r="AN399" s="425"/>
      <c r="AO399" s="425"/>
      <c r="AP399" s="425"/>
      <c r="AQ399" s="425"/>
      <c r="AR399" s="425"/>
      <c r="AS399" s="425"/>
      <c r="AT399" s="425"/>
      <c r="AU399" s="425"/>
      <c r="AV399" s="425"/>
      <c r="AW399" s="425"/>
      <c r="BC399" s="425"/>
    </row>
    <row r="400" spans="1:55" ht="12" customHeight="1">
      <c r="B400" s="534"/>
      <c r="C400" s="442"/>
      <c r="D400" s="336"/>
      <c r="AK400" s="535"/>
      <c r="AL400" s="535"/>
      <c r="AM400" s="535"/>
      <c r="AN400" s="535"/>
      <c r="AO400" s="535"/>
      <c r="AP400" s="535"/>
      <c r="AQ400" s="535"/>
      <c r="AR400" s="535"/>
      <c r="AS400" s="535"/>
      <c r="AT400" s="535"/>
      <c r="AU400" s="535"/>
      <c r="AV400" s="425"/>
      <c r="AW400" s="425"/>
      <c r="BC400" s="535"/>
    </row>
    <row r="401" spans="2:57" ht="12" customHeight="1">
      <c r="B401" s="432"/>
      <c r="C401" s="348"/>
      <c r="D401" s="336"/>
      <c r="X401" s="536"/>
      <c r="Y401" s="536"/>
      <c r="Z401" s="536"/>
      <c r="AA401" s="536"/>
      <c r="AB401" s="536"/>
      <c r="AC401" s="536"/>
      <c r="AD401" s="536"/>
      <c r="AE401" s="536"/>
      <c r="AF401" s="536"/>
      <c r="AG401" s="537"/>
      <c r="AH401" s="537"/>
      <c r="AI401" s="537"/>
      <c r="AJ401" s="537"/>
      <c r="AK401" s="537"/>
      <c r="AL401" s="537"/>
      <c r="AM401" s="537"/>
      <c r="AN401" s="537"/>
      <c r="AO401" s="537"/>
      <c r="AP401" s="537"/>
      <c r="AQ401" s="537"/>
      <c r="AR401" s="537"/>
      <c r="AS401" s="537"/>
      <c r="AT401" s="537"/>
      <c r="AU401" s="537"/>
      <c r="AV401" s="535"/>
      <c r="AW401" s="535"/>
      <c r="BC401" s="537"/>
      <c r="BD401" s="340"/>
      <c r="BE401" s="340"/>
    </row>
    <row r="402" spans="2:57" ht="12" customHeight="1">
      <c r="B402" s="348"/>
      <c r="C402" s="348"/>
      <c r="D402" s="336"/>
      <c r="AG402" s="535"/>
      <c r="AH402" s="535"/>
      <c r="AI402" s="535"/>
      <c r="AJ402" s="535"/>
      <c r="AK402" s="535"/>
      <c r="AL402" s="535"/>
      <c r="AM402" s="535"/>
      <c r="AN402" s="535"/>
      <c r="AO402" s="535"/>
      <c r="AP402" s="535"/>
      <c r="AQ402" s="535"/>
      <c r="AR402" s="535"/>
      <c r="AS402" s="535"/>
      <c r="AT402" s="535"/>
      <c r="AU402" s="535"/>
      <c r="AV402" s="537"/>
      <c r="AW402" s="537"/>
      <c r="BC402" s="535"/>
    </row>
    <row r="403" spans="2:57" ht="12" customHeight="1">
      <c r="B403" s="348"/>
      <c r="C403" s="432"/>
      <c r="D403" s="336"/>
      <c r="X403" s="536"/>
      <c r="Y403" s="536"/>
      <c r="Z403" s="536"/>
      <c r="AA403" s="536"/>
      <c r="AB403" s="536"/>
      <c r="AC403" s="536"/>
      <c r="AD403" s="536"/>
      <c r="AE403" s="536"/>
      <c r="AF403" s="536"/>
      <c r="AG403" s="537"/>
      <c r="AH403" s="537"/>
      <c r="AI403" s="537"/>
      <c r="AJ403" s="537"/>
      <c r="AK403" s="537"/>
      <c r="AL403" s="537"/>
      <c r="AM403" s="537"/>
      <c r="AN403" s="537"/>
      <c r="AO403" s="537"/>
      <c r="AP403" s="537"/>
      <c r="AQ403" s="537"/>
      <c r="AR403" s="537"/>
      <c r="AS403" s="537"/>
      <c r="AT403" s="537"/>
      <c r="AU403" s="537"/>
      <c r="AV403" s="535"/>
      <c r="AW403" s="535"/>
      <c r="BC403" s="537"/>
      <c r="BD403" s="340"/>
      <c r="BE403" s="340"/>
    </row>
    <row r="404" spans="2:57" ht="12" customHeight="1">
      <c r="B404" s="348"/>
      <c r="C404" s="348"/>
      <c r="D404" s="336"/>
      <c r="AG404" s="535"/>
      <c r="AH404" s="535"/>
      <c r="AI404" s="535"/>
      <c r="AJ404" s="535"/>
      <c r="AK404" s="535"/>
      <c r="AL404" s="535"/>
      <c r="AM404" s="535"/>
      <c r="AN404" s="535"/>
      <c r="AO404" s="535"/>
      <c r="AP404" s="535"/>
      <c r="AQ404" s="535"/>
      <c r="AR404" s="535"/>
      <c r="AS404" s="535"/>
      <c r="AT404" s="535"/>
      <c r="AU404" s="535"/>
      <c r="AV404" s="537"/>
      <c r="AW404" s="537"/>
      <c r="BC404" s="535"/>
    </row>
    <row r="405" spans="2:57" ht="12" customHeight="1">
      <c r="B405" s="348"/>
      <c r="C405" s="432"/>
      <c r="D405" s="336"/>
      <c r="X405" s="536"/>
      <c r="Y405" s="536"/>
      <c r="Z405" s="536"/>
      <c r="AA405" s="536"/>
      <c r="AB405" s="536"/>
      <c r="AC405" s="536"/>
      <c r="AD405" s="536"/>
      <c r="AE405" s="536"/>
      <c r="AF405" s="536"/>
      <c r="AG405" s="537"/>
      <c r="AH405" s="537"/>
      <c r="AI405" s="537"/>
      <c r="AJ405" s="537"/>
      <c r="AK405" s="537"/>
      <c r="AL405" s="537"/>
      <c r="AM405" s="537"/>
      <c r="AN405" s="537"/>
      <c r="AO405" s="537"/>
      <c r="AP405" s="537"/>
      <c r="AQ405" s="537"/>
      <c r="AR405" s="537"/>
      <c r="AS405" s="537"/>
      <c r="AT405" s="537"/>
      <c r="AU405" s="537"/>
      <c r="AV405" s="535"/>
      <c r="AW405" s="535"/>
      <c r="BC405" s="537"/>
      <c r="BD405" s="340"/>
      <c r="BE405" s="340"/>
    </row>
    <row r="406" spans="2:57" ht="12" customHeight="1">
      <c r="B406" s="348"/>
      <c r="C406" s="348"/>
      <c r="D406" s="336"/>
      <c r="AG406" s="535"/>
      <c r="AH406" s="535"/>
      <c r="AI406" s="535"/>
      <c r="AJ406" s="535"/>
      <c r="AK406" s="535"/>
      <c r="AL406" s="535"/>
      <c r="AM406" s="535"/>
      <c r="AN406" s="535"/>
      <c r="AO406" s="535"/>
      <c r="AP406" s="535"/>
      <c r="AQ406" s="535"/>
      <c r="AR406" s="535"/>
      <c r="AS406" s="535"/>
      <c r="AT406" s="535"/>
      <c r="AU406" s="535"/>
      <c r="AV406" s="537"/>
      <c r="AW406" s="537"/>
      <c r="BC406" s="535"/>
    </row>
    <row r="407" spans="2:57" ht="12" customHeight="1">
      <c r="B407" s="348"/>
      <c r="C407" s="432"/>
      <c r="D407" s="336"/>
      <c r="X407" s="536"/>
      <c r="Y407" s="536"/>
      <c r="Z407" s="536"/>
      <c r="AA407" s="536"/>
      <c r="AB407" s="536"/>
      <c r="AC407" s="536"/>
      <c r="AD407" s="536"/>
      <c r="AE407" s="536"/>
      <c r="AF407" s="536"/>
      <c r="AG407" s="537"/>
      <c r="AH407" s="537"/>
      <c r="AI407" s="537"/>
      <c r="AJ407" s="537"/>
      <c r="AK407" s="537"/>
      <c r="AL407" s="537"/>
      <c r="AM407" s="537"/>
      <c r="AN407" s="537"/>
      <c r="AO407" s="537"/>
      <c r="AP407" s="537"/>
      <c r="AQ407" s="537"/>
      <c r="AR407" s="537"/>
      <c r="AS407" s="537"/>
      <c r="AT407" s="537"/>
      <c r="AU407" s="537"/>
      <c r="AV407" s="535"/>
      <c r="AW407" s="535"/>
      <c r="BC407" s="537"/>
      <c r="BD407" s="340"/>
      <c r="BE407" s="340"/>
    </row>
    <row r="408" spans="2:57" ht="12" customHeight="1">
      <c r="B408" s="348"/>
      <c r="C408" s="348"/>
      <c r="D408" s="336"/>
      <c r="AG408" s="535"/>
      <c r="AH408" s="535"/>
      <c r="AI408" s="535"/>
      <c r="AJ408" s="535"/>
      <c r="AK408" s="535"/>
      <c r="AL408" s="535"/>
      <c r="AM408" s="535"/>
      <c r="AN408" s="535"/>
      <c r="AO408" s="535"/>
      <c r="AP408" s="535"/>
      <c r="AQ408" s="535"/>
      <c r="AR408" s="535"/>
      <c r="AS408" s="535"/>
      <c r="AT408" s="535"/>
      <c r="AU408" s="535"/>
      <c r="AV408" s="537"/>
      <c r="AW408" s="537"/>
      <c r="BC408" s="535"/>
    </row>
    <row r="409" spans="2:57" ht="12" customHeight="1">
      <c r="B409" s="348"/>
      <c r="C409" s="432"/>
      <c r="D409" s="336"/>
      <c r="X409" s="538"/>
      <c r="Y409" s="538"/>
      <c r="Z409" s="538"/>
      <c r="AA409" s="538"/>
      <c r="AB409" s="538"/>
      <c r="AC409" s="538"/>
      <c r="AD409" s="538"/>
      <c r="AE409" s="538"/>
      <c r="AF409" s="538"/>
      <c r="AG409" s="539"/>
      <c r="AH409" s="539"/>
      <c r="AI409" s="539"/>
      <c r="AJ409" s="539"/>
      <c r="AK409" s="539"/>
      <c r="AL409" s="539"/>
      <c r="AM409" s="539"/>
      <c r="AN409" s="539"/>
      <c r="AO409" s="539"/>
      <c r="AP409" s="539"/>
      <c r="AQ409" s="539"/>
      <c r="AR409" s="539"/>
      <c r="AS409" s="539"/>
      <c r="AT409" s="539"/>
      <c r="AU409" s="539"/>
      <c r="AV409" s="535"/>
      <c r="AW409" s="535"/>
      <c r="BC409" s="539"/>
      <c r="BD409" s="340"/>
      <c r="BE409" s="340"/>
    </row>
    <row r="410" spans="2:57" ht="12" customHeight="1">
      <c r="B410" s="348"/>
      <c r="C410" s="348"/>
      <c r="D410" s="336"/>
      <c r="AG410" s="535"/>
      <c r="AH410" s="535"/>
      <c r="AI410" s="535"/>
      <c r="AJ410" s="535"/>
      <c r="AK410" s="535"/>
      <c r="AL410" s="535"/>
      <c r="AM410" s="535"/>
      <c r="AN410" s="535"/>
      <c r="AO410" s="535"/>
      <c r="AP410" s="535"/>
      <c r="AQ410" s="535"/>
      <c r="AR410" s="535"/>
      <c r="AS410" s="535"/>
      <c r="AT410" s="535"/>
      <c r="AU410" s="535"/>
      <c r="AV410" s="539"/>
      <c r="AW410" s="539"/>
      <c r="BC410" s="535"/>
    </row>
    <row r="411" spans="2:57" ht="12" customHeight="1">
      <c r="B411" s="348"/>
      <c r="C411" s="442"/>
      <c r="D411" s="336"/>
      <c r="X411" s="536"/>
      <c r="Y411" s="536"/>
      <c r="Z411" s="536"/>
      <c r="AA411" s="536"/>
      <c r="AB411" s="536"/>
      <c r="AC411" s="536"/>
      <c r="AD411" s="536"/>
      <c r="AE411" s="536"/>
      <c r="AF411" s="536"/>
      <c r="AG411" s="537"/>
      <c r="AH411" s="537"/>
      <c r="AI411" s="537"/>
      <c r="AJ411" s="537"/>
      <c r="AK411" s="537"/>
      <c r="AL411" s="537"/>
      <c r="AM411" s="537"/>
      <c r="AN411" s="537"/>
      <c r="AO411" s="537"/>
      <c r="AP411" s="537"/>
      <c r="AQ411" s="537"/>
      <c r="AR411" s="537"/>
      <c r="AS411" s="537"/>
      <c r="AT411" s="537"/>
      <c r="AU411" s="537"/>
      <c r="AV411" s="535"/>
      <c r="AW411" s="535"/>
      <c r="BC411" s="537"/>
      <c r="BD411" s="340"/>
      <c r="BE411" s="340"/>
    </row>
    <row r="412" spans="2:57" ht="12" customHeight="1">
      <c r="B412" s="348"/>
      <c r="C412" s="432"/>
      <c r="D412" s="336"/>
      <c r="X412" s="536"/>
      <c r="Y412" s="536"/>
      <c r="Z412" s="536"/>
      <c r="AA412" s="536"/>
      <c r="AB412" s="536"/>
      <c r="AC412" s="536"/>
      <c r="AD412" s="536"/>
      <c r="AE412" s="536"/>
      <c r="AF412" s="536"/>
      <c r="AG412" s="537"/>
      <c r="AH412" s="537"/>
      <c r="AI412" s="537"/>
      <c r="AJ412" s="537"/>
      <c r="AK412" s="537"/>
      <c r="AL412" s="537"/>
      <c r="AM412" s="537"/>
      <c r="AN412" s="537"/>
      <c r="AO412" s="537"/>
      <c r="AP412" s="537"/>
      <c r="AQ412" s="537"/>
      <c r="AR412" s="537"/>
      <c r="AS412" s="537"/>
      <c r="AT412" s="537"/>
      <c r="AU412" s="537"/>
      <c r="AV412" s="537"/>
      <c r="AW412" s="537"/>
      <c r="BC412" s="537"/>
      <c r="BD412" s="340"/>
      <c r="BE412" s="340"/>
    </row>
    <row r="413" spans="2:57" ht="12" customHeight="1">
      <c r="B413" s="348"/>
      <c r="C413" s="432"/>
      <c r="D413" s="336"/>
      <c r="X413" s="536"/>
      <c r="Y413" s="536"/>
      <c r="Z413" s="536"/>
      <c r="AA413" s="536"/>
      <c r="AB413" s="536"/>
      <c r="AC413" s="536"/>
      <c r="AD413" s="536"/>
      <c r="AE413" s="536"/>
      <c r="AF413" s="536"/>
      <c r="AG413" s="537"/>
      <c r="AH413" s="537"/>
      <c r="AI413" s="537"/>
      <c r="AJ413" s="537"/>
      <c r="AK413" s="537"/>
      <c r="AL413" s="537"/>
      <c r="AM413" s="537"/>
      <c r="AN413" s="537"/>
      <c r="AO413" s="537"/>
      <c r="AP413" s="537"/>
      <c r="AQ413" s="537"/>
      <c r="AR413" s="537"/>
      <c r="AS413" s="537"/>
      <c r="AT413" s="537"/>
      <c r="AU413" s="537"/>
      <c r="AV413" s="537"/>
      <c r="AW413" s="537"/>
      <c r="BC413" s="537"/>
      <c r="BD413" s="340"/>
      <c r="BE413" s="340"/>
    </row>
    <row r="414" spans="2:57" ht="12" customHeight="1">
      <c r="B414" s="348"/>
      <c r="C414" s="348"/>
      <c r="D414" s="336"/>
      <c r="AG414" s="535"/>
      <c r="AH414" s="535"/>
      <c r="AI414" s="535"/>
      <c r="AJ414" s="535"/>
      <c r="AK414" s="535"/>
      <c r="AL414" s="535"/>
      <c r="AM414" s="535"/>
      <c r="AN414" s="535"/>
      <c r="AO414" s="535"/>
      <c r="AP414" s="535"/>
      <c r="AQ414" s="535"/>
      <c r="AR414" s="535"/>
      <c r="AS414" s="535"/>
      <c r="AT414" s="535"/>
      <c r="AU414" s="535"/>
      <c r="AV414" s="537"/>
      <c r="AW414" s="537"/>
      <c r="BC414" s="535"/>
    </row>
    <row r="415" spans="2:57" ht="12" customHeight="1">
      <c r="B415" s="348"/>
      <c r="C415" s="432"/>
      <c r="D415" s="336"/>
      <c r="X415" s="536"/>
      <c r="Y415" s="536"/>
      <c r="Z415" s="536"/>
      <c r="AA415" s="536"/>
      <c r="AB415" s="536"/>
      <c r="AC415" s="536"/>
      <c r="AD415" s="536"/>
      <c r="AE415" s="536"/>
      <c r="AF415" s="536"/>
      <c r="AG415" s="537"/>
      <c r="AH415" s="537"/>
      <c r="AI415" s="537"/>
      <c r="AJ415" s="537"/>
      <c r="AK415" s="537"/>
      <c r="AL415" s="537"/>
      <c r="AM415" s="537"/>
      <c r="AN415" s="537"/>
      <c r="AO415" s="537"/>
      <c r="AP415" s="537"/>
      <c r="AQ415" s="537"/>
      <c r="AR415" s="537"/>
      <c r="AS415" s="537"/>
      <c r="AT415" s="537"/>
      <c r="AU415" s="537"/>
      <c r="AV415" s="535"/>
      <c r="AW415" s="535"/>
      <c r="BC415" s="537"/>
      <c r="BD415" s="340"/>
      <c r="BE415" s="340"/>
    </row>
    <row r="416" spans="2:57" ht="12" customHeight="1">
      <c r="B416" s="348"/>
      <c r="C416" s="348"/>
      <c r="D416" s="336"/>
      <c r="AG416" s="535"/>
      <c r="AH416" s="535"/>
      <c r="AI416" s="535"/>
      <c r="AJ416" s="535"/>
      <c r="AK416" s="535"/>
      <c r="AL416" s="535"/>
      <c r="AM416" s="535"/>
      <c r="AN416" s="535"/>
      <c r="AO416" s="535"/>
      <c r="AP416" s="535"/>
      <c r="AQ416" s="535"/>
      <c r="AR416" s="535"/>
      <c r="AS416" s="535"/>
      <c r="AT416" s="535"/>
      <c r="AU416" s="535"/>
      <c r="AV416" s="537"/>
      <c r="AW416" s="537"/>
      <c r="BC416" s="535"/>
    </row>
    <row r="417" spans="2:57" ht="12" customHeight="1">
      <c r="B417" s="432"/>
      <c r="C417" s="348"/>
      <c r="D417" s="336"/>
      <c r="X417" s="536"/>
      <c r="Y417" s="536"/>
      <c r="Z417" s="536"/>
      <c r="AA417" s="536"/>
      <c r="AB417" s="536"/>
      <c r="AC417" s="536"/>
      <c r="AD417" s="536"/>
      <c r="AE417" s="536"/>
      <c r="AF417" s="536"/>
      <c r="AG417" s="537"/>
      <c r="AH417" s="537"/>
      <c r="AI417" s="537"/>
      <c r="AJ417" s="537"/>
      <c r="AK417" s="537"/>
      <c r="AL417" s="537"/>
      <c r="AM417" s="537"/>
      <c r="AN417" s="537"/>
      <c r="AO417" s="537"/>
      <c r="AP417" s="537"/>
      <c r="AQ417" s="537"/>
      <c r="AR417" s="537"/>
      <c r="AS417" s="537"/>
      <c r="AT417" s="537"/>
      <c r="AU417" s="537"/>
      <c r="AV417" s="535"/>
      <c r="AW417" s="535"/>
      <c r="BC417" s="537"/>
      <c r="BD417" s="340"/>
      <c r="BE417" s="340"/>
    </row>
    <row r="418" spans="2:57" ht="12" customHeight="1">
      <c r="B418" s="348"/>
      <c r="C418" s="348"/>
      <c r="D418" s="336"/>
      <c r="AG418" s="535"/>
      <c r="AH418" s="535"/>
      <c r="AI418" s="535"/>
      <c r="AJ418" s="535"/>
      <c r="AK418" s="535"/>
      <c r="AL418" s="535"/>
      <c r="AM418" s="535"/>
      <c r="AN418" s="535"/>
      <c r="AO418" s="535"/>
      <c r="AP418" s="535"/>
      <c r="AQ418" s="535"/>
      <c r="AR418" s="535"/>
      <c r="AS418" s="535"/>
      <c r="AT418" s="535"/>
      <c r="AU418" s="535"/>
      <c r="AV418" s="537"/>
      <c r="AW418" s="537"/>
      <c r="BC418" s="535"/>
    </row>
    <row r="419" spans="2:57" ht="12" customHeight="1">
      <c r="B419" s="348"/>
      <c r="C419" s="432"/>
      <c r="D419" s="336"/>
      <c r="X419" s="536"/>
      <c r="Y419" s="536"/>
      <c r="Z419" s="536"/>
      <c r="AA419" s="536"/>
      <c r="AB419" s="536"/>
      <c r="AC419" s="536"/>
      <c r="AD419" s="536"/>
      <c r="AE419" s="536"/>
      <c r="AF419" s="536"/>
      <c r="AG419" s="537"/>
      <c r="AH419" s="537"/>
      <c r="AI419" s="537"/>
      <c r="AJ419" s="537"/>
      <c r="AK419" s="537"/>
      <c r="AL419" s="537"/>
      <c r="AM419" s="537"/>
      <c r="AN419" s="537"/>
      <c r="AO419" s="537"/>
      <c r="AP419" s="537"/>
      <c r="AQ419" s="537"/>
      <c r="AR419" s="537"/>
      <c r="AS419" s="537"/>
      <c r="AT419" s="537"/>
      <c r="AU419" s="537"/>
      <c r="AV419" s="535"/>
      <c r="AW419" s="535"/>
      <c r="BC419" s="537"/>
      <c r="BD419" s="340"/>
      <c r="BE419" s="340"/>
    </row>
    <row r="420" spans="2:57" ht="12" customHeight="1">
      <c r="B420" s="348"/>
      <c r="C420" s="348"/>
      <c r="D420" s="336"/>
      <c r="AG420" s="535"/>
      <c r="AH420" s="535"/>
      <c r="AI420" s="535"/>
      <c r="AJ420" s="535"/>
      <c r="AK420" s="535"/>
      <c r="AL420" s="535"/>
      <c r="AM420" s="535"/>
      <c r="AN420" s="535"/>
      <c r="AO420" s="535"/>
      <c r="AP420" s="535"/>
      <c r="AQ420" s="535"/>
      <c r="AR420" s="535"/>
      <c r="AS420" s="535"/>
      <c r="AT420" s="535"/>
      <c r="AU420" s="535"/>
      <c r="AV420" s="537"/>
      <c r="AW420" s="537"/>
      <c r="BC420" s="535"/>
    </row>
    <row r="421" spans="2:57" ht="12" customHeight="1">
      <c r="B421" s="348"/>
      <c r="C421" s="432"/>
      <c r="D421" s="336"/>
      <c r="X421" s="536"/>
      <c r="Y421" s="536"/>
      <c r="Z421" s="536"/>
      <c r="AA421" s="536"/>
      <c r="AB421" s="536"/>
      <c r="AC421" s="536"/>
      <c r="AD421" s="536"/>
      <c r="AE421" s="536"/>
      <c r="AF421" s="536"/>
      <c r="AG421" s="537"/>
      <c r="AH421" s="537"/>
      <c r="AI421" s="537"/>
      <c r="AJ421" s="537"/>
      <c r="AK421" s="537"/>
      <c r="AL421" s="537"/>
      <c r="AM421" s="537"/>
      <c r="AN421" s="537"/>
      <c r="AO421" s="537"/>
      <c r="AP421" s="537"/>
      <c r="AQ421" s="537"/>
      <c r="AR421" s="537"/>
      <c r="AS421" s="537"/>
      <c r="AT421" s="537"/>
      <c r="AU421" s="537"/>
      <c r="AV421" s="535"/>
      <c r="AW421" s="535"/>
      <c r="BC421" s="537"/>
      <c r="BD421" s="340"/>
      <c r="BE421" s="340"/>
    </row>
    <row r="422" spans="2:57" ht="12" customHeight="1">
      <c r="B422" s="348"/>
      <c r="C422" s="348"/>
      <c r="D422" s="336"/>
      <c r="AG422" s="535"/>
      <c r="AH422" s="535"/>
      <c r="AI422" s="535"/>
      <c r="AJ422" s="535"/>
      <c r="AK422" s="535"/>
      <c r="AL422" s="535"/>
      <c r="AM422" s="535"/>
      <c r="AN422" s="535"/>
      <c r="AO422" s="535"/>
      <c r="AP422" s="535"/>
      <c r="AQ422" s="535"/>
      <c r="AR422" s="535"/>
      <c r="AS422" s="535"/>
      <c r="AT422" s="535"/>
      <c r="AU422" s="535"/>
      <c r="AV422" s="537"/>
      <c r="AW422" s="537"/>
      <c r="BC422" s="535"/>
    </row>
    <row r="423" spans="2:57" ht="12" customHeight="1">
      <c r="B423" s="432"/>
      <c r="C423" s="484"/>
      <c r="D423" s="336"/>
      <c r="X423" s="536"/>
      <c r="Y423" s="536"/>
      <c r="Z423" s="536"/>
      <c r="AA423" s="536"/>
      <c r="AB423" s="536"/>
      <c r="AC423" s="536"/>
      <c r="AD423" s="536"/>
      <c r="AE423" s="536"/>
      <c r="AF423" s="536"/>
      <c r="AG423" s="537"/>
      <c r="AH423" s="537"/>
      <c r="AI423" s="537"/>
      <c r="AJ423" s="537"/>
      <c r="AK423" s="537"/>
      <c r="AL423" s="537"/>
      <c r="AM423" s="537"/>
      <c r="AN423" s="537"/>
      <c r="AO423" s="537"/>
      <c r="AP423" s="537"/>
      <c r="AQ423" s="537"/>
      <c r="AR423" s="537"/>
      <c r="AS423" s="537"/>
      <c r="AT423" s="537"/>
      <c r="AU423" s="537"/>
      <c r="AV423" s="535"/>
      <c r="AW423" s="535"/>
      <c r="BC423" s="537"/>
      <c r="BD423" s="340"/>
      <c r="BE423" s="340"/>
    </row>
    <row r="424" spans="2:57" ht="12" customHeight="1">
      <c r="B424" s="348"/>
      <c r="C424" s="348"/>
      <c r="D424" s="336"/>
      <c r="AG424" s="535"/>
      <c r="AH424" s="535"/>
      <c r="AI424" s="535"/>
      <c r="AJ424" s="535"/>
      <c r="AK424" s="535"/>
      <c r="AL424" s="535"/>
      <c r="AM424" s="535"/>
      <c r="AN424" s="535"/>
      <c r="AO424" s="535"/>
      <c r="AP424" s="535"/>
      <c r="AQ424" s="535"/>
      <c r="AR424" s="535"/>
      <c r="AS424" s="535"/>
      <c r="AT424" s="535"/>
      <c r="AU424" s="535"/>
      <c r="AV424" s="537"/>
      <c r="AW424" s="537"/>
      <c r="BC424" s="535"/>
    </row>
    <row r="425" spans="2:57" ht="12" customHeight="1">
      <c r="B425" s="348"/>
      <c r="C425" s="432"/>
      <c r="D425" s="336"/>
      <c r="X425" s="536"/>
      <c r="Y425" s="536"/>
      <c r="Z425" s="536"/>
      <c r="AA425" s="536"/>
      <c r="AB425" s="536"/>
      <c r="AC425" s="536"/>
      <c r="AD425" s="536"/>
      <c r="AE425" s="536"/>
      <c r="AF425" s="536"/>
      <c r="AG425" s="537"/>
      <c r="AH425" s="537"/>
      <c r="AI425" s="537"/>
      <c r="AJ425" s="537"/>
      <c r="AK425" s="537"/>
      <c r="AL425" s="537"/>
      <c r="AM425" s="537"/>
      <c r="AN425" s="537"/>
      <c r="AO425" s="537"/>
      <c r="AP425" s="537"/>
      <c r="AQ425" s="537"/>
      <c r="AR425" s="537"/>
      <c r="AS425" s="537"/>
      <c r="AT425" s="537"/>
      <c r="AU425" s="537"/>
      <c r="AV425" s="535"/>
      <c r="AW425" s="535"/>
      <c r="BC425" s="537"/>
      <c r="BD425" s="340"/>
      <c r="BE425" s="340"/>
    </row>
    <row r="426" spans="2:57" ht="12" customHeight="1">
      <c r="B426" s="348"/>
      <c r="C426" s="348"/>
      <c r="D426" s="336"/>
      <c r="AG426" s="535"/>
      <c r="AH426" s="535"/>
      <c r="AI426" s="535"/>
      <c r="AJ426" s="535"/>
      <c r="AK426" s="535"/>
      <c r="AL426" s="535"/>
      <c r="AM426" s="535"/>
      <c r="AN426" s="535"/>
      <c r="AO426" s="535"/>
      <c r="AP426" s="535"/>
      <c r="AQ426" s="535"/>
      <c r="AR426" s="535"/>
      <c r="AS426" s="535"/>
      <c r="AT426" s="535"/>
      <c r="AU426" s="535"/>
      <c r="AV426" s="537"/>
      <c r="AW426" s="537"/>
      <c r="BC426" s="535"/>
    </row>
    <row r="427" spans="2:57" ht="12" customHeight="1">
      <c r="B427" s="348"/>
      <c r="C427" s="432"/>
      <c r="D427" s="336"/>
      <c r="X427" s="536"/>
      <c r="Y427" s="536"/>
      <c r="Z427" s="536"/>
      <c r="AA427" s="536"/>
      <c r="AB427" s="536"/>
      <c r="AC427" s="536"/>
      <c r="AD427" s="536"/>
      <c r="AE427" s="536"/>
      <c r="AF427" s="536"/>
      <c r="AG427" s="537"/>
      <c r="AH427" s="537"/>
      <c r="AI427" s="537"/>
      <c r="AJ427" s="537"/>
      <c r="AK427" s="537"/>
      <c r="AL427" s="537"/>
      <c r="AM427" s="537"/>
      <c r="AN427" s="537"/>
      <c r="AO427" s="537"/>
      <c r="AP427" s="537"/>
      <c r="AQ427" s="537"/>
      <c r="AR427" s="537"/>
      <c r="AS427" s="537"/>
      <c r="AT427" s="537"/>
      <c r="AU427" s="537"/>
      <c r="AV427" s="535"/>
      <c r="AW427" s="535"/>
      <c r="BC427" s="537"/>
      <c r="BD427" s="340"/>
      <c r="BE427" s="340"/>
    </row>
    <row r="428" spans="2:57" ht="12" customHeight="1">
      <c r="B428" s="348"/>
      <c r="C428" s="348"/>
      <c r="D428" s="336"/>
      <c r="X428" s="540"/>
      <c r="Y428" s="540"/>
      <c r="Z428" s="540"/>
      <c r="AA428" s="540"/>
      <c r="AB428" s="540"/>
      <c r="AC428" s="540"/>
      <c r="AD428" s="540"/>
      <c r="AE428" s="540"/>
      <c r="AF428" s="540"/>
      <c r="AG428" s="541"/>
      <c r="AH428" s="541"/>
      <c r="AI428" s="541"/>
      <c r="AJ428" s="541"/>
      <c r="AK428" s="541"/>
      <c r="AL428" s="541"/>
      <c r="AM428" s="541"/>
      <c r="AN428" s="541"/>
      <c r="AO428" s="541"/>
      <c r="AP428" s="541"/>
      <c r="AQ428" s="541"/>
      <c r="AR428" s="541"/>
      <c r="AS428" s="541"/>
      <c r="AT428" s="541"/>
      <c r="AU428" s="541"/>
      <c r="AV428" s="537"/>
      <c r="AW428" s="537"/>
      <c r="BC428" s="541"/>
      <c r="BD428" s="340"/>
      <c r="BE428" s="340"/>
    </row>
    <row r="429" spans="2:57" ht="12" customHeight="1">
      <c r="B429" s="432"/>
      <c r="C429" s="348"/>
      <c r="D429" s="336"/>
      <c r="X429" s="536"/>
      <c r="Y429" s="536"/>
      <c r="Z429" s="536"/>
      <c r="AA429" s="536"/>
      <c r="AB429" s="536"/>
      <c r="AC429" s="536"/>
      <c r="AD429" s="536"/>
      <c r="AE429" s="536"/>
      <c r="AF429" s="536"/>
      <c r="AG429" s="537"/>
      <c r="AH429" s="537"/>
      <c r="AI429" s="537"/>
      <c r="AJ429" s="537"/>
      <c r="AK429" s="537"/>
      <c r="AL429" s="537"/>
      <c r="AM429" s="537"/>
      <c r="AN429" s="537"/>
      <c r="AO429" s="537"/>
      <c r="AP429" s="537"/>
      <c r="AQ429" s="537"/>
      <c r="AR429" s="537"/>
      <c r="AS429" s="537"/>
      <c r="AT429" s="537"/>
      <c r="AU429" s="537"/>
      <c r="AV429" s="541"/>
      <c r="AW429" s="541"/>
      <c r="BC429" s="537"/>
      <c r="BD429" s="340"/>
      <c r="BE429" s="340"/>
    </row>
    <row r="430" spans="2:57" ht="12" customHeight="1">
      <c r="B430" s="432"/>
      <c r="C430" s="348"/>
      <c r="D430" s="336"/>
      <c r="X430" s="536"/>
      <c r="Y430" s="536"/>
      <c r="Z430" s="536"/>
      <c r="AA430" s="536"/>
      <c r="AB430" s="536"/>
      <c r="AC430" s="536"/>
      <c r="AD430" s="536"/>
      <c r="AE430" s="536"/>
      <c r="AF430" s="536"/>
      <c r="AG430" s="537"/>
      <c r="AH430" s="537"/>
      <c r="AI430" s="537"/>
      <c r="AJ430" s="537"/>
      <c r="AK430" s="537"/>
      <c r="AL430" s="537"/>
      <c r="AM430" s="537"/>
      <c r="AN430" s="537"/>
      <c r="AO430" s="537"/>
      <c r="AP430" s="537"/>
      <c r="AQ430" s="537"/>
      <c r="AR430" s="537"/>
      <c r="AS430" s="537"/>
      <c r="AT430" s="537"/>
      <c r="AU430" s="537"/>
      <c r="AV430" s="537"/>
      <c r="AW430" s="537"/>
      <c r="BC430" s="537"/>
      <c r="BD430" s="340"/>
      <c r="BE430" s="340"/>
    </row>
    <row r="431" spans="2:57" ht="12" customHeight="1">
      <c r="B431" s="484"/>
      <c r="C431" s="442"/>
      <c r="D431" s="336"/>
      <c r="X431" s="536"/>
      <c r="Y431" s="536"/>
      <c r="Z431" s="536"/>
      <c r="AA431" s="536"/>
      <c r="AB431" s="536"/>
      <c r="AC431" s="536"/>
      <c r="AD431" s="536"/>
      <c r="AE431" s="536"/>
      <c r="AF431" s="536"/>
      <c r="AG431" s="537"/>
      <c r="AH431" s="537"/>
      <c r="AI431" s="537"/>
      <c r="AJ431" s="537"/>
      <c r="AK431" s="535"/>
      <c r="AL431" s="535"/>
      <c r="AM431" s="535"/>
      <c r="AN431" s="535"/>
      <c r="AO431" s="535"/>
      <c r="AP431" s="535"/>
      <c r="AQ431" s="535"/>
      <c r="AR431" s="535"/>
      <c r="AS431" s="535"/>
      <c r="AT431" s="535"/>
      <c r="AU431" s="535"/>
      <c r="AV431" s="537"/>
      <c r="AW431" s="537"/>
      <c r="BC431" s="535"/>
    </row>
    <row r="432" spans="2:57" ht="12" customHeight="1">
      <c r="B432" s="348"/>
      <c r="C432" s="348"/>
      <c r="D432" s="336"/>
      <c r="AG432" s="535"/>
      <c r="AH432" s="535"/>
      <c r="AI432" s="535"/>
      <c r="AJ432" s="535"/>
      <c r="AK432" s="535"/>
      <c r="AL432" s="535"/>
      <c r="AM432" s="535"/>
      <c r="AN432" s="535"/>
      <c r="AO432" s="535"/>
      <c r="AP432" s="535"/>
      <c r="AQ432" s="535"/>
      <c r="AR432" s="535"/>
      <c r="AS432" s="535"/>
      <c r="AT432" s="535"/>
      <c r="AU432" s="535"/>
      <c r="AV432" s="535"/>
      <c r="AW432" s="535"/>
      <c r="BC432" s="535"/>
    </row>
    <row r="433" spans="2:57" ht="12" customHeight="1">
      <c r="B433" s="348"/>
      <c r="C433" s="432"/>
      <c r="D433" s="336"/>
      <c r="X433" s="536"/>
      <c r="Y433" s="536"/>
      <c r="Z433" s="536"/>
      <c r="AA433" s="536"/>
      <c r="AB433" s="536"/>
      <c r="AC433" s="536"/>
      <c r="AD433" s="536"/>
      <c r="AE433" s="536"/>
      <c r="AF433" s="536"/>
      <c r="AG433" s="537"/>
      <c r="AH433" s="537"/>
      <c r="AI433" s="537"/>
      <c r="AJ433" s="537"/>
      <c r="AK433" s="537"/>
      <c r="AL433" s="537"/>
      <c r="AM433" s="537"/>
      <c r="AN433" s="537"/>
      <c r="AO433" s="537"/>
      <c r="AP433" s="537"/>
      <c r="AQ433" s="537"/>
      <c r="AR433" s="537"/>
      <c r="AS433" s="537"/>
      <c r="AT433" s="537"/>
      <c r="AU433" s="537"/>
      <c r="AV433" s="535"/>
      <c r="AW433" s="535"/>
      <c r="BC433" s="537"/>
      <c r="BD433" s="340"/>
      <c r="BE433" s="340"/>
    </row>
    <row r="434" spans="2:57" ht="12" customHeight="1">
      <c r="B434" s="348"/>
      <c r="C434" s="348"/>
      <c r="D434" s="336"/>
      <c r="AG434" s="535"/>
      <c r="AH434" s="535"/>
      <c r="AI434" s="535"/>
      <c r="AJ434" s="535"/>
      <c r="AK434" s="535"/>
      <c r="AL434" s="535"/>
      <c r="AM434" s="535"/>
      <c r="AN434" s="535"/>
      <c r="AO434" s="535"/>
      <c r="AP434" s="535"/>
      <c r="AQ434" s="535"/>
      <c r="AR434" s="535"/>
      <c r="AS434" s="535"/>
      <c r="AT434" s="535"/>
      <c r="AU434" s="535"/>
      <c r="AV434" s="537"/>
      <c r="AW434" s="537"/>
      <c r="BC434" s="535"/>
    </row>
    <row r="435" spans="2:57" ht="12" customHeight="1">
      <c r="B435" s="348"/>
      <c r="C435" s="432"/>
      <c r="D435" s="336"/>
      <c r="X435" s="536"/>
      <c r="Y435" s="536"/>
      <c r="Z435" s="536"/>
      <c r="AA435" s="536"/>
      <c r="AB435" s="536"/>
      <c r="AC435" s="536"/>
      <c r="AD435" s="536"/>
      <c r="AE435" s="536"/>
      <c r="AF435" s="536"/>
      <c r="AG435" s="537"/>
      <c r="AH435" s="537"/>
      <c r="AI435" s="537"/>
      <c r="AJ435" s="537"/>
      <c r="AK435" s="537"/>
      <c r="AL435" s="537"/>
      <c r="AM435" s="537"/>
      <c r="AN435" s="537"/>
      <c r="AO435" s="537"/>
      <c r="AP435" s="537"/>
      <c r="AQ435" s="537"/>
      <c r="AR435" s="537"/>
      <c r="AS435" s="537"/>
      <c r="AT435" s="537"/>
      <c r="AU435" s="537"/>
      <c r="AV435" s="535"/>
      <c r="AW435" s="535"/>
      <c r="BC435" s="537"/>
      <c r="BD435" s="340"/>
      <c r="BE435" s="340"/>
    </row>
    <row r="436" spans="2:57" ht="12" customHeight="1">
      <c r="B436" s="348"/>
      <c r="C436" s="348"/>
      <c r="D436" s="336"/>
      <c r="AG436" s="535"/>
      <c r="AH436" s="535"/>
      <c r="AI436" s="535"/>
      <c r="AJ436" s="535"/>
      <c r="AK436" s="535"/>
      <c r="AL436" s="535"/>
      <c r="AM436" s="535"/>
      <c r="AN436" s="535"/>
      <c r="AO436" s="535"/>
      <c r="AP436" s="535"/>
      <c r="AQ436" s="535"/>
      <c r="AR436" s="535"/>
      <c r="AS436" s="535"/>
      <c r="AT436" s="535"/>
      <c r="AU436" s="535"/>
      <c r="AV436" s="537"/>
      <c r="AW436" s="537"/>
      <c r="BC436" s="535"/>
    </row>
    <row r="437" spans="2:57" ht="12" customHeight="1">
      <c r="B437" s="348"/>
      <c r="C437" s="432"/>
      <c r="D437" s="336"/>
      <c r="X437" s="536"/>
      <c r="Y437" s="536"/>
      <c r="Z437" s="536"/>
      <c r="AA437" s="536"/>
      <c r="AB437" s="536"/>
      <c r="AC437" s="536"/>
      <c r="AD437" s="536"/>
      <c r="AE437" s="536"/>
      <c r="AF437" s="536"/>
      <c r="AG437" s="537"/>
      <c r="AH437" s="537"/>
      <c r="AI437" s="537"/>
      <c r="AJ437" s="537"/>
      <c r="AK437" s="537"/>
      <c r="AL437" s="537"/>
      <c r="AM437" s="537"/>
      <c r="AN437" s="537"/>
      <c r="AO437" s="537"/>
      <c r="AP437" s="537"/>
      <c r="AQ437" s="537"/>
      <c r="AR437" s="537"/>
      <c r="AS437" s="537"/>
      <c r="AT437" s="537"/>
      <c r="AU437" s="537"/>
      <c r="AV437" s="535"/>
      <c r="AW437" s="535"/>
      <c r="BC437" s="537"/>
      <c r="BD437" s="340"/>
      <c r="BE437" s="340"/>
    </row>
    <row r="438" spans="2:57" ht="12" customHeight="1">
      <c r="B438" s="348"/>
      <c r="C438" s="348"/>
      <c r="D438" s="336"/>
      <c r="AG438" s="535"/>
      <c r="AH438" s="535"/>
      <c r="AI438" s="535"/>
      <c r="AJ438" s="535"/>
      <c r="AK438" s="535"/>
      <c r="AL438" s="535"/>
      <c r="AM438" s="535"/>
      <c r="AN438" s="535"/>
      <c r="AO438" s="535"/>
      <c r="AP438" s="535"/>
      <c r="AQ438" s="535"/>
      <c r="AR438" s="535"/>
      <c r="AS438" s="535"/>
      <c r="AT438" s="535"/>
      <c r="AU438" s="535"/>
      <c r="AV438" s="537"/>
      <c r="AW438" s="537"/>
      <c r="BC438" s="535"/>
    </row>
    <row r="439" spans="2:57" ht="12" customHeight="1">
      <c r="B439" s="348"/>
      <c r="C439" s="432"/>
      <c r="D439" s="336"/>
      <c r="X439" s="536"/>
      <c r="Y439" s="536"/>
      <c r="Z439" s="536"/>
      <c r="AA439" s="536"/>
      <c r="AB439" s="536"/>
      <c r="AC439" s="536"/>
      <c r="AD439" s="536"/>
      <c r="AE439" s="536"/>
      <c r="AF439" s="536"/>
      <c r="AG439" s="537"/>
      <c r="AH439" s="537"/>
      <c r="AI439" s="537"/>
      <c r="AJ439" s="537"/>
      <c r="AK439" s="537"/>
      <c r="AL439" s="537"/>
      <c r="AM439" s="537"/>
      <c r="AN439" s="537"/>
      <c r="AO439" s="537"/>
      <c r="AP439" s="537"/>
      <c r="AQ439" s="537"/>
      <c r="AR439" s="537"/>
      <c r="AS439" s="537"/>
      <c r="AT439" s="537"/>
      <c r="AU439" s="537"/>
      <c r="AV439" s="535"/>
      <c r="AW439" s="535"/>
      <c r="BC439" s="537"/>
      <c r="BD439" s="340"/>
      <c r="BE439" s="340"/>
    </row>
    <row r="440" spans="2:57" ht="12" customHeight="1">
      <c r="B440" s="348"/>
      <c r="C440" s="348"/>
      <c r="D440" s="336"/>
      <c r="AG440" s="535"/>
      <c r="AH440" s="535"/>
      <c r="AI440" s="535"/>
      <c r="AJ440" s="535"/>
      <c r="AK440" s="535"/>
      <c r="AL440" s="535"/>
      <c r="AM440" s="535"/>
      <c r="AN440" s="535"/>
      <c r="AO440" s="535"/>
      <c r="AP440" s="535"/>
      <c r="AQ440" s="535"/>
      <c r="AR440" s="535"/>
      <c r="AS440" s="535"/>
      <c r="AT440" s="535"/>
      <c r="AU440" s="535"/>
      <c r="AV440" s="537"/>
      <c r="AW440" s="537"/>
      <c r="BC440" s="535"/>
    </row>
    <row r="441" spans="2:57" ht="12" customHeight="1">
      <c r="B441" s="348"/>
      <c r="C441" s="432"/>
      <c r="D441" s="336"/>
      <c r="X441" s="536"/>
      <c r="Y441" s="536"/>
      <c r="Z441" s="536"/>
      <c r="AA441" s="536"/>
      <c r="AB441" s="536"/>
      <c r="AC441" s="536"/>
      <c r="AD441" s="536"/>
      <c r="AE441" s="536"/>
      <c r="AF441" s="536"/>
      <c r="AG441" s="537"/>
      <c r="AH441" s="537"/>
      <c r="AI441" s="537"/>
      <c r="AJ441" s="537"/>
      <c r="AK441" s="537"/>
      <c r="AL441" s="537"/>
      <c r="AM441" s="537"/>
      <c r="AN441" s="537"/>
      <c r="AO441" s="537"/>
      <c r="AP441" s="537"/>
      <c r="AQ441" s="537"/>
      <c r="AR441" s="537"/>
      <c r="AS441" s="537"/>
      <c r="AT441" s="537"/>
      <c r="AU441" s="537"/>
      <c r="AV441" s="535"/>
      <c r="AW441" s="535"/>
      <c r="BC441" s="537"/>
      <c r="BD441" s="340"/>
      <c r="BE441" s="340"/>
    </row>
    <row r="442" spans="2:57" ht="12" customHeight="1">
      <c r="B442" s="348"/>
      <c r="C442" s="348"/>
      <c r="D442" s="336"/>
      <c r="AG442" s="535"/>
      <c r="AH442" s="535"/>
      <c r="AI442" s="535"/>
      <c r="AJ442" s="535"/>
      <c r="AK442" s="535"/>
      <c r="AL442" s="535"/>
      <c r="AM442" s="535"/>
      <c r="AN442" s="535"/>
      <c r="AO442" s="535"/>
      <c r="AP442" s="535"/>
      <c r="AQ442" s="535"/>
      <c r="AR442" s="535"/>
      <c r="AS442" s="535"/>
      <c r="AT442" s="535"/>
      <c r="AU442" s="535"/>
      <c r="AV442" s="537"/>
      <c r="AW442" s="537"/>
      <c r="BC442" s="535"/>
    </row>
    <row r="443" spans="2:57" ht="12" customHeight="1">
      <c r="B443" s="432"/>
      <c r="C443" s="348"/>
      <c r="D443" s="336"/>
      <c r="X443" s="536"/>
      <c r="Y443" s="536"/>
      <c r="Z443" s="536"/>
      <c r="AA443" s="536"/>
      <c r="AB443" s="536"/>
      <c r="AC443" s="536"/>
      <c r="AD443" s="536"/>
      <c r="AE443" s="536"/>
      <c r="AF443" s="536"/>
      <c r="AG443" s="537"/>
      <c r="AH443" s="537"/>
      <c r="AI443" s="537"/>
      <c r="AJ443" s="537"/>
      <c r="AK443" s="537"/>
      <c r="AL443" s="537"/>
      <c r="AM443" s="537"/>
      <c r="AN443" s="537"/>
      <c r="AO443" s="537"/>
      <c r="AP443" s="537"/>
      <c r="AQ443" s="537"/>
      <c r="AR443" s="537"/>
      <c r="AS443" s="537"/>
      <c r="AT443" s="537"/>
      <c r="AU443" s="537"/>
      <c r="AV443" s="535"/>
      <c r="AW443" s="535"/>
      <c r="BC443" s="537"/>
      <c r="BD443" s="340"/>
      <c r="BE443" s="340"/>
    </row>
    <row r="444" spans="2:57" ht="12" customHeight="1">
      <c r="B444" s="348"/>
      <c r="C444" s="348"/>
      <c r="D444" s="336"/>
      <c r="AG444" s="535"/>
      <c r="AH444" s="535"/>
      <c r="AI444" s="535"/>
      <c r="AJ444" s="535"/>
      <c r="AK444" s="535"/>
      <c r="AL444" s="535"/>
      <c r="AM444" s="535"/>
      <c r="AN444" s="535"/>
      <c r="AO444" s="535"/>
      <c r="AP444" s="535"/>
      <c r="AQ444" s="535"/>
      <c r="AR444" s="535"/>
      <c r="AS444" s="535"/>
      <c r="AT444" s="535"/>
      <c r="AU444" s="535"/>
      <c r="AV444" s="537"/>
      <c r="AW444" s="537"/>
      <c r="BC444" s="535"/>
    </row>
    <row r="445" spans="2:57" ht="12" customHeight="1">
      <c r="B445" s="348"/>
      <c r="C445" s="432"/>
      <c r="D445" s="336"/>
      <c r="X445" s="536"/>
      <c r="Y445" s="536"/>
      <c r="Z445" s="536"/>
      <c r="AA445" s="536"/>
      <c r="AB445" s="536"/>
      <c r="AC445" s="536"/>
      <c r="AD445" s="536"/>
      <c r="AE445" s="536"/>
      <c r="AF445" s="536"/>
      <c r="AG445" s="537"/>
      <c r="AH445" s="537"/>
      <c r="AI445" s="537"/>
      <c r="AJ445" s="537"/>
      <c r="AK445" s="537"/>
      <c r="AL445" s="537"/>
      <c r="AM445" s="537"/>
      <c r="AN445" s="537"/>
      <c r="AO445" s="537"/>
      <c r="AP445" s="537"/>
      <c r="AQ445" s="537"/>
      <c r="AR445" s="537"/>
      <c r="AS445" s="537"/>
      <c r="AT445" s="537"/>
      <c r="AU445" s="537"/>
      <c r="AV445" s="535"/>
      <c r="AW445" s="535"/>
      <c r="BC445" s="537"/>
      <c r="BD445" s="340"/>
      <c r="BE445" s="340"/>
    </row>
    <row r="446" spans="2:57" ht="12" customHeight="1">
      <c r="D446" s="336"/>
      <c r="AG446" s="535"/>
      <c r="AH446" s="535"/>
      <c r="AI446" s="535"/>
      <c r="AJ446" s="535"/>
      <c r="AK446" s="535"/>
      <c r="AL446" s="535"/>
      <c r="AM446" s="535"/>
      <c r="AN446" s="535"/>
      <c r="AO446" s="535"/>
      <c r="AP446" s="535"/>
      <c r="AQ446" s="535"/>
      <c r="AR446" s="535"/>
      <c r="AS446" s="535"/>
      <c r="AT446" s="535"/>
      <c r="AU446" s="535"/>
      <c r="AV446" s="537"/>
      <c r="AW446" s="537"/>
      <c r="BC446" s="535"/>
    </row>
    <row r="447" spans="2:57" ht="12" customHeight="1">
      <c r="B447" s="432"/>
      <c r="C447" s="348"/>
      <c r="D447" s="336"/>
      <c r="X447" s="536"/>
      <c r="Y447" s="536"/>
      <c r="Z447" s="536"/>
      <c r="AA447" s="536"/>
      <c r="AB447" s="536"/>
      <c r="AC447" s="536"/>
      <c r="AD447" s="536"/>
      <c r="AE447" s="536"/>
      <c r="AF447" s="536"/>
      <c r="AG447" s="537"/>
      <c r="AH447" s="537"/>
      <c r="AI447" s="537"/>
      <c r="AJ447" s="537"/>
      <c r="AK447" s="537"/>
      <c r="AL447" s="537"/>
      <c r="AM447" s="537"/>
      <c r="AN447" s="537"/>
      <c r="AO447" s="537"/>
      <c r="AP447" s="537"/>
      <c r="AQ447" s="537"/>
      <c r="AR447" s="537"/>
      <c r="AS447" s="537"/>
      <c r="AT447" s="537"/>
      <c r="AU447" s="537"/>
      <c r="AV447" s="535"/>
      <c r="AW447" s="535"/>
      <c r="BC447" s="537"/>
      <c r="BD447" s="340"/>
      <c r="BE447" s="340"/>
    </row>
    <row r="448" spans="2:57" ht="12" customHeight="1">
      <c r="B448" s="348"/>
      <c r="C448" s="484"/>
      <c r="D448" s="336"/>
      <c r="AG448" s="535"/>
      <c r="AH448" s="535"/>
      <c r="AI448" s="535"/>
      <c r="AJ448" s="535"/>
      <c r="AK448" s="535"/>
      <c r="AL448" s="535"/>
      <c r="AM448" s="535"/>
      <c r="AN448" s="535"/>
      <c r="AO448" s="535"/>
      <c r="AP448" s="535"/>
      <c r="AQ448" s="535"/>
      <c r="AR448" s="535"/>
      <c r="AS448" s="535"/>
      <c r="AT448" s="535"/>
      <c r="AU448" s="535"/>
      <c r="AV448" s="537"/>
      <c r="AW448" s="537"/>
      <c r="BC448" s="535"/>
    </row>
    <row r="449" spans="2:57" ht="12" customHeight="1">
      <c r="B449" s="348"/>
      <c r="C449" s="432"/>
      <c r="D449" s="336"/>
      <c r="X449" s="536"/>
      <c r="Y449" s="536"/>
      <c r="Z449" s="536"/>
      <c r="AA449" s="536"/>
      <c r="AB449" s="536"/>
      <c r="AC449" s="536"/>
      <c r="AD449" s="536"/>
      <c r="AE449" s="536"/>
      <c r="AF449" s="536"/>
      <c r="AG449" s="537"/>
      <c r="AH449" s="537"/>
      <c r="AI449" s="537"/>
      <c r="AJ449" s="537"/>
      <c r="AK449" s="537"/>
      <c r="AL449" s="537"/>
      <c r="AM449" s="537"/>
      <c r="AN449" s="537"/>
      <c r="AO449" s="537"/>
      <c r="AP449" s="537"/>
      <c r="AQ449" s="537"/>
      <c r="AR449" s="537"/>
      <c r="AS449" s="537"/>
      <c r="AT449" s="537"/>
      <c r="AU449" s="537"/>
      <c r="AV449" s="535"/>
      <c r="AW449" s="535"/>
      <c r="BC449" s="537"/>
      <c r="BD449" s="340"/>
      <c r="BE449" s="340"/>
    </row>
    <row r="450" spans="2:57" ht="12" customHeight="1">
      <c r="B450" s="348"/>
      <c r="C450" s="348"/>
      <c r="D450" s="336"/>
      <c r="AV450" s="537"/>
      <c r="AW450" s="537"/>
    </row>
    <row r="451" spans="2:57" ht="12" customHeight="1">
      <c r="B451" s="348"/>
      <c r="C451" s="432"/>
      <c r="D451" s="336"/>
      <c r="X451" s="536"/>
      <c r="Y451" s="536"/>
      <c r="Z451" s="536"/>
      <c r="AA451" s="536"/>
      <c r="AB451" s="536"/>
      <c r="AC451" s="536"/>
      <c r="AD451" s="536"/>
      <c r="AE451" s="536"/>
      <c r="AF451" s="536"/>
      <c r="AG451" s="542"/>
      <c r="AH451" s="542"/>
      <c r="AI451" s="542"/>
      <c r="AJ451" s="542"/>
      <c r="AK451" s="542"/>
      <c r="AL451" s="542"/>
      <c r="AM451" s="542"/>
      <c r="AN451" s="542"/>
      <c r="AO451" s="542"/>
      <c r="AP451" s="542"/>
      <c r="AQ451" s="542"/>
      <c r="AR451" s="542"/>
      <c r="AS451" s="542"/>
      <c r="AT451" s="542"/>
      <c r="AU451" s="542"/>
      <c r="BC451" s="542"/>
      <c r="BD451" s="340"/>
      <c r="BE451" s="340"/>
    </row>
    <row r="452" spans="2:57" ht="12" customHeight="1">
      <c r="D452" s="336"/>
      <c r="AV452" s="542"/>
      <c r="AW452" s="542"/>
    </row>
    <row r="453" spans="2:57" ht="12" customHeight="1">
      <c r="B453" s="348"/>
      <c r="C453" s="432"/>
      <c r="D453" s="336"/>
      <c r="X453" s="536"/>
      <c r="Y453" s="536"/>
      <c r="Z453" s="536"/>
      <c r="AA453" s="536"/>
      <c r="AB453" s="536"/>
      <c r="AC453" s="536"/>
      <c r="AD453" s="536"/>
      <c r="AE453" s="536"/>
      <c r="AF453" s="536"/>
      <c r="AG453" s="542"/>
      <c r="AH453" s="542"/>
      <c r="AI453" s="542"/>
      <c r="AJ453" s="542"/>
      <c r="AK453" s="542"/>
      <c r="AL453" s="542"/>
      <c r="AM453" s="542"/>
      <c r="AN453" s="542"/>
      <c r="AO453" s="542"/>
      <c r="AP453" s="542"/>
      <c r="AQ453" s="542"/>
      <c r="AR453" s="542"/>
      <c r="AS453" s="542"/>
      <c r="AT453" s="542"/>
      <c r="AU453" s="542"/>
      <c r="BC453" s="542"/>
      <c r="BD453" s="340"/>
      <c r="BE453" s="340"/>
    </row>
    <row r="454" spans="2:57" ht="12" customHeight="1">
      <c r="D454" s="336"/>
      <c r="AV454" s="542"/>
      <c r="AW454" s="542"/>
    </row>
    <row r="455" spans="2:57" ht="12" customHeight="1">
      <c r="B455" s="432"/>
      <c r="C455" s="484"/>
      <c r="D455" s="336"/>
      <c r="X455" s="536"/>
      <c r="Y455" s="536"/>
      <c r="Z455" s="536"/>
      <c r="AA455" s="536"/>
      <c r="AB455" s="536"/>
      <c r="AC455" s="536"/>
      <c r="AD455" s="536"/>
      <c r="AE455" s="536"/>
      <c r="AF455" s="536"/>
      <c r="AG455" s="542"/>
      <c r="AH455" s="542"/>
      <c r="AI455" s="542"/>
      <c r="AJ455" s="542"/>
      <c r="AK455" s="542"/>
      <c r="AL455" s="542"/>
      <c r="AM455" s="542"/>
      <c r="AN455" s="542"/>
      <c r="AO455" s="542"/>
      <c r="AP455" s="542"/>
      <c r="AQ455" s="542"/>
      <c r="AR455" s="542"/>
      <c r="AS455" s="542"/>
      <c r="AT455" s="542"/>
      <c r="AU455" s="542"/>
      <c r="BC455" s="542"/>
      <c r="BD455" s="340"/>
      <c r="BE455" s="340"/>
    </row>
    <row r="456" spans="2:57" ht="12" customHeight="1">
      <c r="B456" s="484"/>
      <c r="C456" s="484"/>
      <c r="D456" s="336"/>
      <c r="AV456" s="542"/>
      <c r="AW456" s="542"/>
    </row>
    <row r="457" spans="2:57" ht="12" customHeight="1">
      <c r="B457" s="484"/>
      <c r="C457" s="432"/>
      <c r="D457" s="336"/>
      <c r="X457" s="536"/>
      <c r="Y457" s="536"/>
      <c r="Z457" s="536"/>
      <c r="AA457" s="536"/>
      <c r="AB457" s="536"/>
      <c r="AC457" s="536"/>
      <c r="AD457" s="536"/>
      <c r="AE457" s="536"/>
      <c r="AF457" s="536"/>
      <c r="AG457" s="542"/>
      <c r="AH457" s="542"/>
      <c r="AI457" s="542"/>
      <c r="AJ457" s="542"/>
      <c r="AK457" s="542"/>
      <c r="AL457" s="542"/>
      <c r="AM457" s="542"/>
      <c r="AN457" s="542"/>
      <c r="AO457" s="542"/>
      <c r="AP457" s="542"/>
      <c r="AQ457" s="542"/>
      <c r="AR457" s="542"/>
      <c r="AS457" s="542"/>
      <c r="AT457" s="542"/>
      <c r="AU457" s="542"/>
      <c r="BC457" s="542"/>
      <c r="BD457" s="340"/>
      <c r="BE457" s="340"/>
    </row>
    <row r="458" spans="2:57" ht="12" customHeight="1">
      <c r="B458" s="484"/>
      <c r="C458" s="484"/>
      <c r="D458" s="336"/>
      <c r="AV458" s="542"/>
      <c r="AW458" s="542"/>
    </row>
    <row r="459" spans="2:57" ht="12" customHeight="1">
      <c r="B459" s="432"/>
      <c r="C459" s="348"/>
      <c r="D459" s="336"/>
      <c r="X459" s="536"/>
      <c r="Y459" s="536"/>
      <c r="Z459" s="536"/>
      <c r="AA459" s="536"/>
      <c r="AB459" s="536"/>
      <c r="AC459" s="536"/>
      <c r="AD459" s="536"/>
      <c r="AE459" s="536"/>
      <c r="AF459" s="536"/>
      <c r="AG459" s="542"/>
      <c r="AH459" s="542"/>
      <c r="AI459" s="542"/>
      <c r="AJ459" s="542"/>
      <c r="AK459" s="542"/>
      <c r="AL459" s="542"/>
      <c r="AM459" s="542"/>
      <c r="AN459" s="542"/>
      <c r="AO459" s="542"/>
      <c r="AP459" s="542"/>
      <c r="AQ459" s="542"/>
      <c r="AR459" s="542"/>
      <c r="AS459" s="542"/>
      <c r="AT459" s="542"/>
      <c r="AU459" s="542"/>
      <c r="BC459" s="542"/>
      <c r="BD459" s="340"/>
      <c r="BE459" s="340"/>
    </row>
    <row r="460" spans="2:57" ht="12" customHeight="1">
      <c r="D460" s="336"/>
      <c r="AV460" s="542"/>
      <c r="AW460" s="542"/>
    </row>
    <row r="461" spans="2:57" ht="12" customHeight="1">
      <c r="B461" s="432"/>
      <c r="C461" s="348"/>
      <c r="D461" s="336"/>
      <c r="X461" s="536"/>
      <c r="Y461" s="536"/>
      <c r="Z461" s="536"/>
      <c r="AA461" s="536"/>
      <c r="AB461" s="536"/>
      <c r="AC461" s="536"/>
      <c r="AD461" s="536"/>
      <c r="AE461" s="536"/>
      <c r="AF461" s="536"/>
      <c r="AG461" s="542"/>
      <c r="AH461" s="542"/>
      <c r="AI461" s="542"/>
      <c r="AJ461" s="542"/>
      <c r="AK461" s="542"/>
      <c r="AL461" s="542"/>
      <c r="AM461" s="542"/>
      <c r="AN461" s="542"/>
      <c r="AO461" s="542"/>
      <c r="AP461" s="542"/>
      <c r="AQ461" s="542"/>
      <c r="AR461" s="542"/>
      <c r="AS461" s="542"/>
      <c r="AT461" s="542"/>
      <c r="AU461" s="542"/>
      <c r="BC461" s="542"/>
      <c r="BD461" s="340"/>
      <c r="BE461" s="340"/>
    </row>
    <row r="462" spans="2:57" ht="12" customHeight="1">
      <c r="B462" s="432"/>
      <c r="C462" s="348"/>
      <c r="D462" s="336"/>
      <c r="X462" s="536"/>
      <c r="Y462" s="536"/>
      <c r="Z462" s="536"/>
      <c r="AA462" s="536"/>
      <c r="AB462" s="536"/>
      <c r="AC462" s="536"/>
      <c r="AD462" s="536"/>
      <c r="AE462" s="536"/>
      <c r="AF462" s="536"/>
      <c r="AG462" s="542"/>
      <c r="AH462" s="542"/>
      <c r="AI462" s="542"/>
      <c r="AJ462" s="542"/>
      <c r="AK462" s="542"/>
      <c r="AL462" s="542"/>
      <c r="AM462" s="542"/>
      <c r="AN462" s="542"/>
      <c r="AO462" s="542"/>
      <c r="AP462" s="542"/>
      <c r="AQ462" s="542"/>
      <c r="AR462" s="542"/>
      <c r="AS462" s="542"/>
      <c r="AT462" s="542"/>
      <c r="AU462" s="542"/>
      <c r="AV462" s="542"/>
      <c r="AW462" s="542"/>
      <c r="BC462" s="542"/>
      <c r="BD462" s="340"/>
      <c r="BE462" s="340"/>
    </row>
    <row r="463" spans="2:57" ht="12" customHeight="1">
      <c r="B463" s="432"/>
      <c r="C463" s="484"/>
      <c r="D463" s="336"/>
      <c r="X463" s="536"/>
      <c r="Y463" s="536"/>
      <c r="Z463" s="536"/>
      <c r="AA463" s="536"/>
      <c r="AB463" s="536"/>
      <c r="AC463" s="536"/>
      <c r="AD463" s="536"/>
      <c r="AE463" s="536"/>
      <c r="AF463" s="536"/>
      <c r="AG463" s="542"/>
      <c r="AH463" s="542"/>
      <c r="AI463" s="542"/>
      <c r="AJ463" s="542"/>
      <c r="AK463" s="542"/>
      <c r="AL463" s="542"/>
      <c r="AM463" s="542"/>
      <c r="AN463" s="542"/>
      <c r="AO463" s="542"/>
      <c r="AP463" s="542"/>
      <c r="AQ463" s="542"/>
      <c r="AR463" s="542"/>
      <c r="AS463" s="542"/>
      <c r="AT463" s="542"/>
      <c r="AU463" s="542"/>
      <c r="AV463" s="542"/>
      <c r="AW463" s="542"/>
      <c r="BC463" s="542"/>
      <c r="BD463" s="340"/>
      <c r="BE463" s="340"/>
    </row>
    <row r="464" spans="2:57" ht="12" customHeight="1">
      <c r="B464" s="348"/>
      <c r="C464" s="348"/>
      <c r="D464" s="336"/>
      <c r="X464" s="540"/>
      <c r="Y464" s="540"/>
      <c r="Z464" s="540"/>
      <c r="AA464" s="540"/>
      <c r="AB464" s="540"/>
      <c r="AC464" s="540"/>
      <c r="AD464" s="540"/>
      <c r="AE464" s="540"/>
      <c r="AF464" s="540"/>
      <c r="AG464" s="543"/>
      <c r="AH464" s="543"/>
      <c r="AI464" s="543"/>
      <c r="AJ464" s="543"/>
      <c r="AK464" s="543"/>
      <c r="AL464" s="543"/>
      <c r="AM464" s="543"/>
      <c r="AN464" s="543"/>
      <c r="AO464" s="543"/>
      <c r="AP464" s="543"/>
      <c r="AQ464" s="543"/>
      <c r="AR464" s="543"/>
      <c r="AS464" s="543"/>
      <c r="AT464" s="543"/>
      <c r="AU464" s="543"/>
      <c r="AV464" s="542"/>
      <c r="AW464" s="542"/>
      <c r="BC464" s="543"/>
      <c r="BD464" s="340"/>
      <c r="BE464" s="340"/>
    </row>
    <row r="465" spans="2:57" ht="12" customHeight="1">
      <c r="B465" s="348"/>
      <c r="C465" s="432"/>
      <c r="D465" s="336"/>
      <c r="X465" s="536"/>
      <c r="Y465" s="536"/>
      <c r="Z465" s="536"/>
      <c r="AA465" s="536"/>
      <c r="AB465" s="536"/>
      <c r="AC465" s="536"/>
      <c r="AD465" s="536"/>
      <c r="AE465" s="536"/>
      <c r="AF465" s="536"/>
      <c r="AG465" s="542"/>
      <c r="AH465" s="542"/>
      <c r="AI465" s="542"/>
      <c r="AJ465" s="542"/>
      <c r="AK465" s="542"/>
      <c r="AL465" s="542"/>
      <c r="AM465" s="542"/>
      <c r="AN465" s="542"/>
      <c r="AO465" s="542"/>
      <c r="AP465" s="542"/>
      <c r="AQ465" s="542"/>
      <c r="AR465" s="542"/>
      <c r="AS465" s="542"/>
      <c r="AT465" s="542"/>
      <c r="AU465" s="542"/>
      <c r="AV465" s="543"/>
      <c r="AW465" s="543"/>
      <c r="BC465" s="542"/>
      <c r="BD465" s="340"/>
      <c r="BE465" s="340"/>
    </row>
    <row r="466" spans="2:57" ht="12" customHeight="1">
      <c r="B466" s="348"/>
      <c r="C466" s="348"/>
      <c r="D466" s="336"/>
      <c r="X466" s="540"/>
      <c r="Y466" s="540"/>
      <c r="Z466" s="540"/>
      <c r="AA466" s="540"/>
      <c r="AB466" s="540"/>
      <c r="AC466" s="540"/>
      <c r="AD466" s="540"/>
      <c r="AE466" s="540"/>
      <c r="AF466" s="540"/>
      <c r="AG466" s="543"/>
      <c r="AH466" s="543"/>
      <c r="AI466" s="543"/>
      <c r="AJ466" s="543"/>
      <c r="AK466" s="543"/>
      <c r="AL466" s="543"/>
      <c r="AM466" s="543"/>
      <c r="AN466" s="543"/>
      <c r="AO466" s="543"/>
      <c r="AP466" s="543"/>
      <c r="AQ466" s="543"/>
      <c r="AR466" s="543"/>
      <c r="AS466" s="543"/>
      <c r="AT466" s="543"/>
      <c r="AU466" s="543"/>
      <c r="AV466" s="542"/>
      <c r="AW466" s="542"/>
      <c r="BC466" s="543"/>
      <c r="BD466" s="340"/>
      <c r="BE466" s="340"/>
    </row>
    <row r="467" spans="2:57" ht="12" customHeight="1">
      <c r="B467" s="348"/>
      <c r="C467" s="348"/>
      <c r="D467" s="336"/>
      <c r="X467" s="544"/>
      <c r="Y467" s="544"/>
      <c r="Z467" s="544"/>
      <c r="AA467" s="544"/>
      <c r="AB467" s="544"/>
      <c r="AC467" s="544"/>
      <c r="AD467" s="544"/>
      <c r="AE467" s="544"/>
      <c r="AF467" s="544"/>
      <c r="AG467" s="348"/>
      <c r="AH467" s="348"/>
      <c r="AI467" s="348"/>
      <c r="AJ467" s="348"/>
      <c r="AK467" s="348"/>
      <c r="AL467" s="348"/>
      <c r="AM467" s="348"/>
      <c r="AN467" s="348"/>
      <c r="AO467" s="348"/>
      <c r="AP467" s="348"/>
      <c r="AQ467" s="348"/>
      <c r="AR467" s="348"/>
      <c r="AS467" s="348"/>
      <c r="AT467" s="348"/>
      <c r="AU467" s="348"/>
      <c r="BC467" s="348"/>
      <c r="BD467" s="340"/>
      <c r="BE467" s="340"/>
    </row>
    <row r="468" spans="2:57" ht="12" customHeight="1">
      <c r="B468" s="348"/>
      <c r="C468" s="348"/>
      <c r="D468" s="336"/>
      <c r="X468" s="544"/>
      <c r="Y468" s="544"/>
      <c r="Z468" s="544"/>
      <c r="AA468" s="544"/>
      <c r="AB468" s="544"/>
      <c r="AC468" s="544"/>
      <c r="AD468" s="544"/>
      <c r="AE468" s="544"/>
      <c r="AF468" s="544"/>
      <c r="AG468" s="348"/>
      <c r="AH468" s="348"/>
      <c r="AI468" s="348"/>
      <c r="AJ468" s="348"/>
      <c r="AK468" s="348"/>
      <c r="AL468" s="348"/>
      <c r="AM468" s="348"/>
      <c r="AN468" s="348"/>
      <c r="AO468" s="348"/>
      <c r="AP468" s="348"/>
      <c r="AQ468" s="348"/>
      <c r="AR468" s="348"/>
      <c r="AS468" s="348"/>
      <c r="AT468" s="348"/>
      <c r="AU468" s="348"/>
      <c r="BC468" s="348"/>
      <c r="BD468" s="340"/>
      <c r="BE468" s="340"/>
    </row>
    <row r="469" spans="2:57" ht="12" customHeight="1">
      <c r="B469" s="348"/>
      <c r="C469" s="348"/>
      <c r="D469" s="336"/>
      <c r="X469" s="544"/>
      <c r="Y469" s="544"/>
      <c r="Z469" s="544"/>
      <c r="AA469" s="544"/>
      <c r="AB469" s="544"/>
      <c r="AC469" s="544"/>
      <c r="AD469" s="544"/>
      <c r="AE469" s="544"/>
      <c r="AF469" s="544"/>
      <c r="AG469" s="348"/>
      <c r="AH469" s="348"/>
      <c r="AI469" s="348"/>
      <c r="AJ469" s="348"/>
      <c r="AK469" s="348"/>
      <c r="AL469" s="348"/>
      <c r="AM469" s="348"/>
      <c r="AN469" s="348"/>
      <c r="AO469" s="348"/>
      <c r="AP469" s="348"/>
      <c r="AQ469" s="348"/>
      <c r="AR469" s="348"/>
      <c r="AS469" s="348"/>
      <c r="AT469" s="348"/>
      <c r="AU469" s="348"/>
      <c r="BC469" s="348"/>
      <c r="BD469" s="340"/>
      <c r="BE469" s="340"/>
    </row>
    <row r="470" spans="2:57" ht="12" customHeight="1">
      <c r="B470" s="348"/>
      <c r="C470" s="348"/>
      <c r="D470" s="336"/>
      <c r="X470" s="544"/>
      <c r="Y470" s="544"/>
      <c r="Z470" s="544"/>
      <c r="AA470" s="544"/>
      <c r="AB470" s="544"/>
      <c r="AC470" s="544"/>
      <c r="AD470" s="544"/>
      <c r="AE470" s="544"/>
      <c r="AF470" s="544"/>
      <c r="AG470" s="348"/>
      <c r="AH470" s="348"/>
      <c r="AI470" s="348"/>
      <c r="AJ470" s="348"/>
      <c r="AK470" s="348"/>
      <c r="AL470" s="348"/>
      <c r="AM470" s="348"/>
      <c r="AN470" s="348"/>
      <c r="AO470" s="348"/>
      <c r="AP470" s="348"/>
      <c r="AQ470" s="348"/>
      <c r="AR470" s="348"/>
      <c r="AS470" s="348"/>
      <c r="AT470" s="348"/>
      <c r="AU470" s="348"/>
      <c r="BC470" s="348"/>
      <c r="BD470" s="340"/>
      <c r="BE470" s="340"/>
    </row>
    <row r="471" spans="2:57" ht="12" customHeight="1">
      <c r="B471" s="348"/>
      <c r="C471" s="348"/>
      <c r="D471" s="336"/>
      <c r="X471" s="544"/>
      <c r="Y471" s="544"/>
      <c r="Z471" s="544"/>
      <c r="AA471" s="544"/>
      <c r="AB471" s="544"/>
      <c r="AC471" s="544"/>
      <c r="AD471" s="544"/>
      <c r="AE471" s="544"/>
      <c r="AF471" s="544"/>
      <c r="AG471" s="348"/>
      <c r="AH471" s="348"/>
      <c r="AI471" s="348"/>
      <c r="AJ471" s="348"/>
      <c r="AK471" s="348"/>
      <c r="AL471" s="348"/>
      <c r="AM471" s="348"/>
      <c r="AN471" s="348"/>
      <c r="AO471" s="348"/>
      <c r="AP471" s="348"/>
      <c r="AQ471" s="348"/>
      <c r="AR471" s="348"/>
      <c r="AS471" s="348"/>
      <c r="AT471" s="348"/>
      <c r="AU471" s="348"/>
      <c r="BC471" s="348"/>
      <c r="BD471" s="340"/>
      <c r="BE471" s="340"/>
    </row>
    <row r="472" spans="2:57" ht="12" customHeight="1">
      <c r="B472" s="348"/>
      <c r="C472" s="348"/>
      <c r="D472" s="336"/>
      <c r="X472" s="544"/>
      <c r="Y472" s="544"/>
      <c r="Z472" s="544"/>
      <c r="AA472" s="544"/>
      <c r="AB472" s="544"/>
      <c r="AC472" s="544"/>
      <c r="AD472" s="544"/>
      <c r="AE472" s="544"/>
      <c r="AF472" s="544"/>
      <c r="AG472" s="348"/>
      <c r="AH472" s="348"/>
      <c r="AI472" s="348"/>
      <c r="AJ472" s="348"/>
      <c r="AK472" s="348"/>
      <c r="AL472" s="348"/>
      <c r="AM472" s="348"/>
      <c r="AN472" s="348"/>
      <c r="AO472" s="348"/>
      <c r="AP472" s="348"/>
      <c r="AQ472" s="348"/>
      <c r="AR472" s="348"/>
      <c r="AS472" s="348"/>
      <c r="AT472" s="348"/>
      <c r="AU472" s="348"/>
      <c r="BC472" s="348"/>
      <c r="BD472" s="340"/>
      <c r="BE472" s="340"/>
    </row>
    <row r="473" spans="2:57" ht="12" customHeight="1">
      <c r="B473" s="348"/>
      <c r="C473" s="348"/>
      <c r="D473" s="336"/>
      <c r="X473" s="544"/>
      <c r="Y473" s="544"/>
      <c r="Z473" s="544"/>
      <c r="AA473" s="544"/>
      <c r="AB473" s="544"/>
      <c r="AC473" s="544"/>
      <c r="AD473" s="544"/>
      <c r="AE473" s="544"/>
      <c r="AF473" s="544"/>
      <c r="AG473" s="348"/>
      <c r="AH473" s="348"/>
      <c r="AI473" s="348"/>
      <c r="AJ473" s="348"/>
      <c r="AK473" s="348"/>
      <c r="AL473" s="348"/>
      <c r="AM473" s="348"/>
      <c r="AN473" s="348"/>
      <c r="AO473" s="348"/>
      <c r="AP473" s="348"/>
      <c r="AQ473" s="348"/>
      <c r="AR473" s="348"/>
      <c r="AS473" s="348"/>
      <c r="AT473" s="348"/>
      <c r="AU473" s="348"/>
      <c r="BC473" s="348"/>
      <c r="BD473" s="340"/>
      <c r="BE473" s="340"/>
    </row>
    <row r="474" spans="2:57" ht="12" customHeight="1">
      <c r="B474" s="348"/>
      <c r="C474" s="348"/>
      <c r="D474" s="336"/>
      <c r="X474" s="544"/>
      <c r="Y474" s="544"/>
      <c r="Z474" s="544"/>
      <c r="AA474" s="544"/>
      <c r="AB474" s="544"/>
      <c r="AC474" s="544"/>
      <c r="AD474" s="544"/>
      <c r="AE474" s="544"/>
      <c r="AF474" s="544"/>
      <c r="AG474" s="348"/>
      <c r="AH474" s="348"/>
      <c r="AI474" s="348"/>
      <c r="AJ474" s="348"/>
      <c r="AK474" s="348"/>
      <c r="AL474" s="348"/>
      <c r="AM474" s="348"/>
      <c r="AN474" s="348"/>
      <c r="AO474" s="348"/>
      <c r="AP474" s="348"/>
      <c r="AQ474" s="348"/>
      <c r="AR474" s="348"/>
      <c r="AS474" s="348"/>
      <c r="AT474" s="348"/>
      <c r="AU474" s="348"/>
      <c r="BC474" s="348"/>
      <c r="BD474" s="340"/>
      <c r="BE474" s="340"/>
    </row>
    <row r="475" spans="2:57" ht="12" customHeight="1">
      <c r="B475" s="348"/>
      <c r="C475" s="348"/>
      <c r="D475" s="336"/>
      <c r="X475" s="544"/>
      <c r="Y475" s="544"/>
      <c r="Z475" s="544"/>
      <c r="AA475" s="544"/>
      <c r="AB475" s="544"/>
      <c r="AC475" s="544"/>
      <c r="AD475" s="544"/>
      <c r="AE475" s="544"/>
      <c r="AF475" s="544"/>
      <c r="AG475" s="348"/>
      <c r="AH475" s="348"/>
      <c r="AI475" s="348"/>
      <c r="AJ475" s="348"/>
      <c r="AK475" s="348"/>
      <c r="AL475" s="348"/>
      <c r="AM475" s="348"/>
      <c r="AN475" s="348"/>
      <c r="AO475" s="348"/>
      <c r="AP475" s="348"/>
      <c r="AQ475" s="348"/>
      <c r="AR475" s="348"/>
      <c r="AS475" s="348"/>
      <c r="AT475" s="348"/>
      <c r="AU475" s="348"/>
      <c r="BC475" s="348"/>
      <c r="BD475" s="340"/>
      <c r="BE475" s="340"/>
    </row>
    <row r="476" spans="2:57" ht="12" customHeight="1">
      <c r="B476" s="348"/>
      <c r="C476" s="348"/>
      <c r="D476" s="336"/>
      <c r="X476" s="544"/>
      <c r="Y476" s="544"/>
      <c r="Z476" s="544"/>
      <c r="AA476" s="544"/>
      <c r="AB476" s="544"/>
      <c r="AC476" s="544"/>
      <c r="AD476" s="544"/>
      <c r="AE476" s="544"/>
      <c r="AF476" s="544"/>
      <c r="AG476" s="348"/>
      <c r="AH476" s="348"/>
      <c r="AI476" s="348"/>
      <c r="AJ476" s="348"/>
      <c r="AK476" s="348"/>
      <c r="AL476" s="348"/>
      <c r="AM476" s="348"/>
      <c r="AN476" s="348"/>
      <c r="AO476" s="348"/>
      <c r="AP476" s="348"/>
      <c r="AQ476" s="348"/>
      <c r="AR476" s="348"/>
      <c r="AS476" s="348"/>
      <c r="AT476" s="348"/>
      <c r="AU476" s="348"/>
      <c r="BC476" s="348"/>
      <c r="BD476" s="340"/>
      <c r="BE476" s="340"/>
    </row>
    <row r="477" spans="2:57" ht="12" customHeight="1">
      <c r="B477" s="348"/>
      <c r="C477" s="348"/>
      <c r="D477" s="336"/>
      <c r="X477" s="544"/>
      <c r="Y477" s="544"/>
      <c r="Z477" s="544"/>
      <c r="AA477" s="544"/>
      <c r="AB477" s="544"/>
      <c r="AC477" s="544"/>
      <c r="AD477" s="544"/>
      <c r="AE477" s="544"/>
      <c r="AF477" s="544"/>
      <c r="AG477" s="348"/>
      <c r="AH477" s="348"/>
      <c r="AI477" s="348"/>
      <c r="AJ477" s="348"/>
      <c r="AK477" s="348"/>
      <c r="AL477" s="348"/>
      <c r="AM477" s="348"/>
      <c r="AN477" s="348"/>
      <c r="AO477" s="348"/>
      <c r="AP477" s="348"/>
      <c r="AQ477" s="348"/>
      <c r="AR477" s="348"/>
      <c r="AS477" s="348"/>
      <c r="AT477" s="348"/>
      <c r="AU477" s="348"/>
      <c r="BC477" s="348"/>
      <c r="BD477" s="340"/>
      <c r="BE477" s="340"/>
    </row>
    <row r="478" spans="2:57" ht="12" customHeight="1">
      <c r="B478" s="348"/>
      <c r="C478" s="348"/>
      <c r="D478" s="336"/>
      <c r="X478" s="544"/>
      <c r="Y478" s="544"/>
      <c r="Z478" s="544"/>
      <c r="AA478" s="544"/>
      <c r="AB478" s="544"/>
      <c r="AC478" s="544"/>
      <c r="AD478" s="544"/>
      <c r="AE478" s="544"/>
      <c r="AF478" s="544"/>
      <c r="AG478" s="348"/>
      <c r="AH478" s="348"/>
      <c r="AI478" s="348"/>
      <c r="AJ478" s="348"/>
      <c r="AK478" s="348"/>
      <c r="AL478" s="348"/>
      <c r="AM478" s="348"/>
      <c r="AN478" s="348"/>
      <c r="AO478" s="348"/>
      <c r="AP478" s="348"/>
      <c r="AQ478" s="348"/>
      <c r="AR478" s="348"/>
      <c r="AS478" s="348"/>
      <c r="AT478" s="348"/>
      <c r="AU478" s="348"/>
      <c r="BC478" s="348"/>
      <c r="BD478" s="340"/>
      <c r="BE478" s="340"/>
    </row>
    <row r="479" spans="2:57" ht="12" customHeight="1">
      <c r="B479" s="348"/>
      <c r="C479" s="348"/>
      <c r="D479" s="336"/>
      <c r="X479" s="544"/>
      <c r="Y479" s="544"/>
      <c r="Z479" s="544"/>
      <c r="AA479" s="544"/>
      <c r="AB479" s="544"/>
      <c r="AC479" s="544"/>
      <c r="AD479" s="544"/>
      <c r="AE479" s="544"/>
      <c r="AF479" s="544"/>
      <c r="AG479" s="348"/>
      <c r="AH479" s="348"/>
      <c r="AI479" s="348"/>
      <c r="AJ479" s="348"/>
      <c r="AK479" s="348"/>
      <c r="AL479" s="348"/>
      <c r="AM479" s="348"/>
      <c r="AN479" s="348"/>
      <c r="AO479" s="348"/>
      <c r="AP479" s="348"/>
      <c r="AQ479" s="348"/>
      <c r="AR479" s="348"/>
      <c r="AS479" s="348"/>
      <c r="AT479" s="348"/>
      <c r="AU479" s="348"/>
      <c r="BC479" s="348"/>
      <c r="BD479" s="340"/>
      <c r="BE479" s="340"/>
    </row>
    <row r="480" spans="2:57" ht="12" customHeight="1">
      <c r="B480" s="348"/>
      <c r="C480" s="348"/>
      <c r="D480" s="336"/>
      <c r="X480" s="544"/>
      <c r="Y480" s="544"/>
      <c r="Z480" s="544"/>
      <c r="AA480" s="544"/>
      <c r="AB480" s="544"/>
      <c r="AC480" s="544"/>
      <c r="AD480" s="544"/>
      <c r="AE480" s="544"/>
      <c r="AF480" s="544"/>
      <c r="AG480" s="348"/>
      <c r="AH480" s="348"/>
      <c r="AI480" s="348"/>
      <c r="AJ480" s="348"/>
      <c r="AK480" s="348"/>
      <c r="AL480" s="348"/>
      <c r="AM480" s="348"/>
      <c r="AN480" s="348"/>
      <c r="AO480" s="348"/>
      <c r="AP480" s="348"/>
      <c r="AQ480" s="348"/>
      <c r="AR480" s="348"/>
      <c r="AS480" s="348"/>
      <c r="AT480" s="348"/>
      <c r="AU480" s="348"/>
      <c r="BC480" s="348"/>
      <c r="BD480" s="340"/>
      <c r="BE480" s="340"/>
    </row>
    <row r="481" spans="2:57" ht="12" customHeight="1">
      <c r="B481" s="348"/>
      <c r="C481" s="348"/>
      <c r="D481" s="336"/>
      <c r="X481" s="544"/>
      <c r="Y481" s="544"/>
      <c r="Z481" s="544"/>
      <c r="AA481" s="544"/>
      <c r="AB481" s="544"/>
      <c r="AC481" s="544"/>
      <c r="AD481" s="544"/>
      <c r="AE481" s="544"/>
      <c r="AF481" s="544"/>
      <c r="AG481" s="348"/>
      <c r="AH481" s="348"/>
      <c r="AI481" s="348"/>
      <c r="AJ481" s="348"/>
      <c r="AK481" s="348"/>
      <c r="AL481" s="348"/>
      <c r="AM481" s="348"/>
      <c r="AN481" s="348"/>
      <c r="AO481" s="348"/>
      <c r="AP481" s="348"/>
      <c r="AQ481" s="348"/>
      <c r="AR481" s="348"/>
      <c r="AS481" s="348"/>
      <c r="AT481" s="348"/>
      <c r="AU481" s="348"/>
      <c r="BC481" s="348"/>
      <c r="BD481" s="340"/>
      <c r="BE481" s="340"/>
    </row>
    <row r="482" spans="2:57" ht="12" customHeight="1">
      <c r="B482" s="348"/>
      <c r="C482" s="348"/>
      <c r="D482" s="336"/>
      <c r="X482" s="544"/>
      <c r="Y482" s="544"/>
      <c r="Z482" s="544"/>
      <c r="AA482" s="544"/>
      <c r="AB482" s="544"/>
      <c r="AC482" s="544"/>
      <c r="AD482" s="544"/>
      <c r="AE482" s="544"/>
      <c r="AF482" s="544"/>
      <c r="AG482" s="348"/>
      <c r="AH482" s="348"/>
      <c r="AI482" s="348"/>
      <c r="AJ482" s="348"/>
      <c r="AK482" s="348"/>
      <c r="AL482" s="348"/>
      <c r="AM482" s="348"/>
      <c r="AN482" s="348"/>
      <c r="AO482" s="348"/>
      <c r="AP482" s="348"/>
      <c r="AQ482" s="348"/>
      <c r="AR482" s="348"/>
      <c r="AS482" s="348"/>
      <c r="AT482" s="348"/>
      <c r="AU482" s="348"/>
      <c r="BC482" s="348"/>
      <c r="BD482" s="340"/>
      <c r="BE482" s="340"/>
    </row>
    <row r="483" spans="2:57" ht="12" customHeight="1">
      <c r="B483" s="348"/>
      <c r="C483" s="348"/>
      <c r="D483" s="336"/>
      <c r="X483" s="544"/>
      <c r="Y483" s="544"/>
      <c r="Z483" s="544"/>
      <c r="AA483" s="544"/>
      <c r="AB483" s="544"/>
      <c r="AC483" s="544"/>
      <c r="AD483" s="544"/>
      <c r="AE483" s="544"/>
      <c r="AF483" s="544"/>
      <c r="AG483" s="348"/>
      <c r="AH483" s="348"/>
      <c r="AI483" s="348"/>
      <c r="AJ483" s="348"/>
      <c r="AK483" s="348"/>
      <c r="AL483" s="348"/>
      <c r="AM483" s="348"/>
      <c r="AN483" s="348"/>
      <c r="AO483" s="348"/>
      <c r="AP483" s="348"/>
      <c r="AQ483" s="348"/>
      <c r="AR483" s="348"/>
      <c r="AS483" s="348"/>
      <c r="AT483" s="348"/>
      <c r="AU483" s="348"/>
      <c r="BC483" s="348"/>
      <c r="BD483" s="340"/>
      <c r="BE483" s="340"/>
    </row>
    <row r="484" spans="2:57" ht="12" customHeight="1">
      <c r="B484" s="348"/>
      <c r="C484" s="348"/>
      <c r="D484" s="336"/>
      <c r="X484" s="544"/>
      <c r="Y484" s="544"/>
      <c r="Z484" s="544"/>
      <c r="AA484" s="544"/>
      <c r="AB484" s="544"/>
      <c r="AC484" s="544"/>
      <c r="AD484" s="544"/>
      <c r="AE484" s="544"/>
      <c r="AF484" s="544"/>
      <c r="AG484" s="348"/>
      <c r="AH484" s="348"/>
      <c r="AI484" s="348"/>
      <c r="AJ484" s="348"/>
      <c r="AK484" s="348"/>
      <c r="AL484" s="348"/>
      <c r="AM484" s="348"/>
      <c r="AN484" s="348"/>
      <c r="AO484" s="348"/>
      <c r="AP484" s="348"/>
      <c r="AQ484" s="348"/>
      <c r="AR484" s="348"/>
      <c r="AS484" s="348"/>
      <c r="AT484" s="348"/>
      <c r="AU484" s="348"/>
      <c r="BC484" s="348"/>
      <c r="BD484" s="340"/>
      <c r="BE484" s="340"/>
    </row>
    <row r="485" spans="2:57" ht="12" customHeight="1">
      <c r="B485" s="348"/>
      <c r="C485" s="348"/>
      <c r="D485" s="336"/>
      <c r="X485" s="544"/>
      <c r="Y485" s="544"/>
      <c r="Z485" s="544"/>
      <c r="AA485" s="544"/>
      <c r="AB485" s="544"/>
      <c r="AC485" s="544"/>
      <c r="AD485" s="544"/>
      <c r="AE485" s="544"/>
      <c r="AF485" s="544"/>
      <c r="AG485" s="348"/>
      <c r="AH485" s="348"/>
      <c r="AI485" s="348"/>
      <c r="AJ485" s="348"/>
      <c r="AK485" s="348"/>
      <c r="AL485" s="348"/>
      <c r="AM485" s="348"/>
      <c r="AN485" s="348"/>
      <c r="AO485" s="348"/>
      <c r="AP485" s="348"/>
      <c r="AQ485" s="348"/>
      <c r="AR485" s="348"/>
      <c r="AS485" s="348"/>
      <c r="AT485" s="348"/>
      <c r="AU485" s="348"/>
      <c r="BC485" s="348"/>
      <c r="BD485" s="340"/>
      <c r="BE485" s="340"/>
    </row>
    <row r="486" spans="2:57" ht="12" customHeight="1">
      <c r="B486" s="348"/>
      <c r="C486" s="348"/>
      <c r="D486" s="336"/>
      <c r="X486" s="544"/>
      <c r="Y486" s="544"/>
      <c r="Z486" s="544"/>
      <c r="AA486" s="544"/>
      <c r="AB486" s="544"/>
      <c r="AC486" s="544"/>
      <c r="AD486" s="544"/>
      <c r="AE486" s="544"/>
      <c r="AF486" s="544"/>
      <c r="AG486" s="348"/>
      <c r="AH486" s="348"/>
      <c r="AI486" s="348"/>
      <c r="AJ486" s="348"/>
      <c r="AK486" s="348"/>
      <c r="AL486" s="348"/>
      <c r="AM486" s="348"/>
      <c r="AN486" s="348"/>
      <c r="AO486" s="348"/>
      <c r="AP486" s="348"/>
      <c r="AQ486" s="348"/>
      <c r="AR486" s="348"/>
      <c r="AS486" s="348"/>
      <c r="AT486" s="348"/>
      <c r="AU486" s="348"/>
      <c r="BC486" s="348"/>
      <c r="BD486" s="340"/>
      <c r="BE486" s="340"/>
    </row>
    <row r="487" spans="2:57" ht="12" customHeight="1">
      <c r="B487" s="348"/>
      <c r="C487" s="348"/>
      <c r="D487" s="336"/>
      <c r="X487" s="544"/>
      <c r="Y487" s="544"/>
      <c r="Z487" s="544"/>
      <c r="AA487" s="544"/>
      <c r="AB487" s="544"/>
      <c r="AC487" s="544"/>
      <c r="AD487" s="544"/>
      <c r="AE487" s="544"/>
      <c r="AF487" s="544"/>
      <c r="AG487" s="348"/>
      <c r="AH487" s="348"/>
      <c r="AI487" s="348"/>
      <c r="AJ487" s="348"/>
      <c r="AK487" s="348"/>
      <c r="AL487" s="348"/>
      <c r="AM487" s="348"/>
      <c r="AN487" s="348"/>
      <c r="AO487" s="348"/>
      <c r="AP487" s="348"/>
      <c r="AQ487" s="348"/>
      <c r="AR487" s="348"/>
      <c r="AS487" s="348"/>
      <c r="AT487" s="348"/>
      <c r="AU487" s="348"/>
      <c r="BC487" s="348"/>
      <c r="BD487" s="340"/>
      <c r="BE487" s="340"/>
    </row>
    <row r="488" spans="2:57" ht="12" customHeight="1">
      <c r="B488" s="348"/>
      <c r="C488" s="348"/>
      <c r="D488" s="336"/>
      <c r="X488" s="544"/>
      <c r="Y488" s="544"/>
      <c r="Z488" s="544"/>
      <c r="AA488" s="544"/>
      <c r="AB488" s="544"/>
      <c r="AC488" s="544"/>
      <c r="AD488" s="544"/>
      <c r="AE488" s="544"/>
      <c r="AF488" s="544"/>
      <c r="AG488" s="348"/>
      <c r="AH488" s="348"/>
      <c r="AI488" s="348"/>
      <c r="AJ488" s="348"/>
      <c r="AK488" s="348"/>
      <c r="AL488" s="348"/>
      <c r="AM488" s="348"/>
      <c r="AN488" s="348"/>
      <c r="AO488" s="348"/>
      <c r="AP488" s="348"/>
      <c r="AQ488" s="348"/>
      <c r="AR488" s="348"/>
      <c r="AS488" s="348"/>
      <c r="AT488" s="348"/>
      <c r="AU488" s="348"/>
      <c r="BC488" s="348"/>
      <c r="BD488" s="340"/>
      <c r="BE488" s="340"/>
    </row>
    <row r="489" spans="2:57" ht="12" customHeight="1">
      <c r="B489" s="348"/>
      <c r="C489" s="348"/>
      <c r="D489" s="336"/>
      <c r="X489" s="544"/>
      <c r="Y489" s="544"/>
      <c r="Z489" s="544"/>
      <c r="AA489" s="544"/>
      <c r="AB489" s="544"/>
      <c r="AC489" s="544"/>
      <c r="AD489" s="544"/>
      <c r="AE489" s="544"/>
      <c r="AF489" s="544"/>
      <c r="AG489" s="348"/>
      <c r="AH489" s="348"/>
      <c r="AI489" s="348"/>
      <c r="AJ489" s="348"/>
      <c r="AK489" s="348"/>
      <c r="AL489" s="348"/>
      <c r="AM489" s="348"/>
      <c r="AN489" s="348"/>
      <c r="AO489" s="348"/>
      <c r="AP489" s="348"/>
      <c r="AQ489" s="348"/>
      <c r="AR489" s="348"/>
      <c r="AS489" s="348"/>
      <c r="AT489" s="348"/>
      <c r="AU489" s="348"/>
      <c r="BC489" s="348"/>
      <c r="BD489" s="340"/>
      <c r="BE489" s="340"/>
    </row>
    <row r="490" spans="2:57" ht="12" customHeight="1">
      <c r="B490" s="348"/>
      <c r="C490" s="348"/>
      <c r="D490" s="336"/>
      <c r="X490" s="544"/>
      <c r="Y490" s="544"/>
      <c r="Z490" s="544"/>
      <c r="AA490" s="544"/>
      <c r="AB490" s="544"/>
      <c r="AC490" s="544"/>
      <c r="AD490" s="544"/>
      <c r="AE490" s="544"/>
      <c r="AF490" s="544"/>
      <c r="AG490" s="348"/>
      <c r="AH490" s="348"/>
      <c r="AI490" s="348"/>
      <c r="AJ490" s="348"/>
      <c r="AK490" s="348"/>
      <c r="AL490" s="348"/>
      <c r="AM490" s="348"/>
      <c r="AN490" s="348"/>
      <c r="AO490" s="348"/>
      <c r="AP490" s="348"/>
      <c r="AQ490" s="348"/>
      <c r="AR490" s="348"/>
      <c r="AS490" s="348"/>
      <c r="AT490" s="348"/>
      <c r="AU490" s="348"/>
      <c r="BC490" s="348"/>
      <c r="BD490" s="340"/>
      <c r="BE490" s="340"/>
    </row>
    <row r="491" spans="2:57" ht="12" customHeight="1">
      <c r="B491" s="348"/>
      <c r="C491" s="348"/>
      <c r="D491" s="336"/>
      <c r="X491" s="544"/>
      <c r="Y491" s="544"/>
      <c r="Z491" s="544"/>
      <c r="AA491" s="544"/>
      <c r="AB491" s="544"/>
      <c r="AC491" s="544"/>
      <c r="AD491" s="544"/>
      <c r="AE491" s="544"/>
      <c r="AF491" s="544"/>
      <c r="AG491" s="348"/>
      <c r="AH491" s="348"/>
      <c r="AI491" s="348"/>
      <c r="AJ491" s="348"/>
      <c r="AK491" s="348"/>
      <c r="AL491" s="348"/>
      <c r="AM491" s="348"/>
      <c r="AN491" s="348"/>
      <c r="AO491" s="348"/>
      <c r="AP491" s="348"/>
      <c r="AQ491" s="348"/>
      <c r="AR491" s="348"/>
      <c r="AS491" s="348"/>
      <c r="AT491" s="348"/>
      <c r="AU491" s="348"/>
      <c r="BC491" s="348"/>
      <c r="BD491" s="340"/>
      <c r="BE491" s="340"/>
    </row>
    <row r="492" spans="2:57" ht="12" customHeight="1">
      <c r="B492" s="348"/>
      <c r="C492" s="348"/>
      <c r="D492" s="336"/>
      <c r="X492" s="544"/>
      <c r="Y492" s="544"/>
      <c r="Z492" s="544"/>
      <c r="AA492" s="544"/>
      <c r="AB492" s="544"/>
      <c r="AC492" s="544"/>
      <c r="AD492" s="544"/>
      <c r="AE492" s="544"/>
      <c r="AF492" s="544"/>
      <c r="AG492" s="348"/>
      <c r="AH492" s="348"/>
      <c r="AI492" s="348"/>
      <c r="AJ492" s="348"/>
      <c r="AK492" s="348"/>
      <c r="AL492" s="348"/>
      <c r="AM492" s="348"/>
      <c r="AN492" s="348"/>
      <c r="AO492" s="348"/>
      <c r="AP492" s="348"/>
      <c r="AQ492" s="348"/>
      <c r="AR492" s="348"/>
      <c r="AS492" s="348"/>
      <c r="AT492" s="348"/>
      <c r="AU492" s="348"/>
      <c r="BC492" s="348"/>
      <c r="BD492" s="340"/>
      <c r="BE492" s="340"/>
    </row>
    <row r="493" spans="2:57" ht="12" customHeight="1">
      <c r="B493" s="348"/>
      <c r="C493" s="348"/>
      <c r="D493" s="336"/>
      <c r="X493" s="544"/>
      <c r="Y493" s="544"/>
      <c r="Z493" s="544"/>
      <c r="AA493" s="544"/>
      <c r="AB493" s="544"/>
      <c r="AC493" s="544"/>
      <c r="AD493" s="544"/>
      <c r="AE493" s="544"/>
      <c r="AF493" s="544"/>
      <c r="AG493" s="348"/>
      <c r="AH493" s="348"/>
      <c r="AI493" s="348"/>
      <c r="AJ493" s="348"/>
      <c r="AK493" s="348"/>
      <c r="AL493" s="348"/>
      <c r="AM493" s="348"/>
      <c r="AN493" s="348"/>
      <c r="AO493" s="348"/>
      <c r="AP493" s="348"/>
      <c r="AQ493" s="348"/>
      <c r="AR493" s="348"/>
      <c r="AS493" s="348"/>
      <c r="AT493" s="348"/>
      <c r="AU493" s="348"/>
      <c r="BC493" s="348"/>
      <c r="BD493" s="340"/>
      <c r="BE493" s="340"/>
    </row>
    <row r="494" spans="2:57" ht="12" customHeight="1">
      <c r="B494" s="348"/>
      <c r="C494" s="348"/>
      <c r="D494" s="336"/>
      <c r="X494" s="544"/>
      <c r="Y494" s="544"/>
      <c r="Z494" s="544"/>
      <c r="AA494" s="544"/>
      <c r="AB494" s="544"/>
      <c r="AC494" s="544"/>
      <c r="AD494" s="544"/>
      <c r="AE494" s="544"/>
      <c r="AF494" s="544"/>
      <c r="AG494" s="348"/>
      <c r="AH494" s="348"/>
      <c r="AI494" s="348"/>
      <c r="AJ494" s="348"/>
      <c r="AK494" s="348"/>
      <c r="AL494" s="348"/>
      <c r="AM494" s="348"/>
      <c r="AN494" s="348"/>
      <c r="AO494" s="348"/>
      <c r="AP494" s="348"/>
      <c r="AQ494" s="348"/>
      <c r="AR494" s="348"/>
      <c r="AS494" s="348"/>
      <c r="AT494" s="348"/>
      <c r="AU494" s="348"/>
      <c r="BC494" s="348"/>
      <c r="BD494" s="340"/>
      <c r="BE494" s="340"/>
    </row>
    <row r="495" spans="2:57" ht="12" customHeight="1">
      <c r="B495" s="348"/>
      <c r="C495" s="348"/>
      <c r="D495" s="336"/>
      <c r="X495" s="544"/>
      <c r="Y495" s="544"/>
      <c r="Z495" s="544"/>
      <c r="AA495" s="544"/>
      <c r="AB495" s="544"/>
      <c r="AC495" s="544"/>
      <c r="AD495" s="544"/>
      <c r="AE495" s="544"/>
      <c r="AF495" s="544"/>
      <c r="AG495" s="348"/>
      <c r="AH495" s="348"/>
      <c r="AI495" s="348"/>
      <c r="AJ495" s="348"/>
      <c r="AK495" s="348"/>
      <c r="AL495" s="348"/>
      <c r="AM495" s="348"/>
      <c r="AN495" s="348"/>
      <c r="AO495" s="348"/>
      <c r="AP495" s="348"/>
      <c r="AQ495" s="348"/>
      <c r="AR495" s="348"/>
      <c r="AS495" s="348"/>
      <c r="AT495" s="348"/>
      <c r="AU495" s="348"/>
      <c r="BC495" s="348"/>
      <c r="BD495" s="340"/>
      <c r="BE495" s="340"/>
    </row>
    <row r="496" spans="2:57" ht="12" customHeight="1">
      <c r="B496" s="348"/>
      <c r="C496" s="348"/>
      <c r="D496" s="336"/>
      <c r="X496" s="544"/>
      <c r="Y496" s="544"/>
      <c r="Z496" s="544"/>
      <c r="AA496" s="544"/>
      <c r="AB496" s="544"/>
      <c r="AC496" s="544"/>
      <c r="AD496" s="544"/>
      <c r="AE496" s="544"/>
      <c r="AF496" s="544"/>
      <c r="AG496" s="348"/>
      <c r="AH496" s="348"/>
      <c r="AI496" s="348"/>
      <c r="AJ496" s="348"/>
      <c r="AK496" s="348"/>
      <c r="AL496" s="348"/>
      <c r="AM496" s="348"/>
      <c r="AN496" s="348"/>
      <c r="AO496" s="348"/>
      <c r="AP496" s="348"/>
      <c r="AQ496" s="348"/>
      <c r="AR496" s="348"/>
      <c r="AS496" s="348"/>
      <c r="AT496" s="348"/>
      <c r="AU496" s="348"/>
      <c r="BC496" s="348"/>
      <c r="BD496" s="340"/>
      <c r="BE496" s="340"/>
    </row>
    <row r="497" spans="2:57" ht="12" customHeight="1">
      <c r="B497" s="348"/>
      <c r="C497" s="348"/>
      <c r="D497" s="336"/>
      <c r="X497" s="544"/>
      <c r="Y497" s="544"/>
      <c r="Z497" s="544"/>
      <c r="AA497" s="544"/>
      <c r="AB497" s="544"/>
      <c r="AC497" s="544"/>
      <c r="AD497" s="544"/>
      <c r="AE497" s="544"/>
      <c r="AF497" s="544"/>
      <c r="AG497" s="348"/>
      <c r="AH497" s="348"/>
      <c r="AI497" s="348"/>
      <c r="AJ497" s="348"/>
      <c r="AK497" s="348"/>
      <c r="AL497" s="348"/>
      <c r="AM497" s="348"/>
      <c r="AN497" s="348"/>
      <c r="AO497" s="348"/>
      <c r="AP497" s="348"/>
      <c r="AQ497" s="348"/>
      <c r="AR497" s="348"/>
      <c r="AS497" s="348"/>
      <c r="AT497" s="348"/>
      <c r="AU497" s="348"/>
      <c r="BC497" s="348"/>
      <c r="BD497" s="340"/>
      <c r="BE497" s="340"/>
    </row>
    <row r="498" spans="2:57" ht="12" customHeight="1">
      <c r="B498" s="348"/>
      <c r="C498" s="348"/>
      <c r="D498" s="336"/>
      <c r="X498" s="544"/>
      <c r="Y498" s="544"/>
      <c r="Z498" s="544"/>
      <c r="AA498" s="544"/>
      <c r="AB498" s="544"/>
      <c r="AC498" s="544"/>
      <c r="AD498" s="544"/>
      <c r="AE498" s="544"/>
      <c r="AF498" s="544"/>
      <c r="AG498" s="348"/>
      <c r="AH498" s="348"/>
      <c r="AI498" s="348"/>
      <c r="AJ498" s="348"/>
      <c r="AK498" s="348"/>
      <c r="AL498" s="348"/>
      <c r="AM498" s="348"/>
      <c r="AN498" s="348"/>
      <c r="AO498" s="348"/>
      <c r="AP498" s="348"/>
      <c r="AQ498" s="348"/>
      <c r="AR498" s="348"/>
      <c r="AS498" s="348"/>
      <c r="AT498" s="348"/>
      <c r="AU498" s="348"/>
      <c r="BC498" s="348"/>
      <c r="BD498" s="340"/>
      <c r="BE498" s="340"/>
    </row>
    <row r="499" spans="2:57" ht="12" customHeight="1">
      <c r="B499" s="348"/>
      <c r="C499" s="348"/>
      <c r="D499" s="336"/>
      <c r="X499" s="544"/>
      <c r="Y499" s="544"/>
      <c r="Z499" s="544"/>
      <c r="AA499" s="544"/>
      <c r="AB499" s="544"/>
      <c r="AC499" s="544"/>
      <c r="AD499" s="544"/>
      <c r="AE499" s="544"/>
      <c r="AF499" s="544"/>
      <c r="AG499" s="348"/>
      <c r="AH499" s="348"/>
      <c r="AI499" s="348"/>
      <c r="AJ499" s="348"/>
      <c r="AK499" s="348"/>
      <c r="AL499" s="348"/>
      <c r="AM499" s="348"/>
      <c r="AN499" s="348"/>
      <c r="AO499" s="348"/>
      <c r="AP499" s="348"/>
      <c r="AQ499" s="348"/>
      <c r="AR499" s="348"/>
      <c r="AS499" s="348"/>
      <c r="AT499" s="348"/>
      <c r="AU499" s="348"/>
      <c r="BC499" s="348"/>
      <c r="BD499" s="340"/>
      <c r="BE499" s="340"/>
    </row>
    <row r="500" spans="2:57" ht="12" customHeight="1">
      <c r="B500" s="348"/>
      <c r="C500" s="348"/>
      <c r="D500" s="336"/>
      <c r="X500" s="544"/>
      <c r="Y500" s="544"/>
      <c r="Z500" s="544"/>
      <c r="AA500" s="544"/>
      <c r="AB500" s="544"/>
      <c r="AC500" s="544"/>
      <c r="AD500" s="544"/>
      <c r="AE500" s="544"/>
      <c r="AF500" s="544"/>
      <c r="AG500" s="348"/>
      <c r="AH500" s="348"/>
      <c r="AI500" s="348"/>
      <c r="AJ500" s="348"/>
      <c r="AK500" s="348"/>
      <c r="AL500" s="348"/>
      <c r="AM500" s="348"/>
      <c r="AN500" s="348"/>
      <c r="AO500" s="348"/>
      <c r="AP500" s="348"/>
      <c r="AQ500" s="348"/>
      <c r="AR500" s="348"/>
      <c r="AS500" s="348"/>
      <c r="AT500" s="348"/>
      <c r="AU500" s="348"/>
      <c r="BC500" s="348"/>
      <c r="BD500" s="340"/>
      <c r="BE500" s="340"/>
    </row>
    <row r="501" spans="2:57" ht="12" customHeight="1">
      <c r="B501" s="348"/>
      <c r="C501" s="348"/>
      <c r="D501" s="336"/>
      <c r="X501" s="544"/>
      <c r="Y501" s="544"/>
      <c r="Z501" s="544"/>
      <c r="AA501" s="544"/>
      <c r="AB501" s="544"/>
      <c r="AC501" s="544"/>
      <c r="AD501" s="544"/>
      <c r="AE501" s="544"/>
      <c r="AF501" s="544"/>
      <c r="AG501" s="348"/>
      <c r="AH501" s="348"/>
      <c r="AI501" s="348"/>
      <c r="AJ501" s="348"/>
      <c r="AK501" s="348"/>
      <c r="AL501" s="348"/>
      <c r="AM501" s="348"/>
      <c r="AN501" s="348"/>
      <c r="AO501" s="348"/>
      <c r="AP501" s="348"/>
      <c r="AQ501" s="348"/>
      <c r="AR501" s="348"/>
      <c r="AS501" s="348"/>
      <c r="AT501" s="348"/>
      <c r="AU501" s="348"/>
      <c r="BC501" s="348"/>
      <c r="BD501" s="340"/>
      <c r="BE501" s="340"/>
    </row>
    <row r="502" spans="2:57" ht="12" customHeight="1">
      <c r="B502" s="348"/>
      <c r="C502" s="348"/>
      <c r="D502" s="336"/>
      <c r="X502" s="544"/>
      <c r="Y502" s="544"/>
      <c r="Z502" s="544"/>
      <c r="AA502" s="544"/>
      <c r="AB502" s="544"/>
      <c r="AC502" s="544"/>
      <c r="AD502" s="544"/>
      <c r="AE502" s="544"/>
      <c r="AF502" s="544"/>
      <c r="AG502" s="348"/>
      <c r="AH502" s="348"/>
      <c r="AI502" s="348"/>
      <c r="AJ502" s="348"/>
      <c r="AK502" s="348"/>
      <c r="AL502" s="348"/>
      <c r="AM502" s="348"/>
      <c r="AN502" s="348"/>
      <c r="AO502" s="348"/>
      <c r="AP502" s="348"/>
      <c r="AQ502" s="348"/>
      <c r="AR502" s="348"/>
      <c r="AS502" s="348"/>
      <c r="AT502" s="348"/>
      <c r="AU502" s="348"/>
      <c r="BC502" s="348"/>
      <c r="BD502" s="340"/>
      <c r="BE502" s="340"/>
    </row>
    <row r="503" spans="2:57" ht="12" customHeight="1">
      <c r="B503" s="348"/>
      <c r="C503" s="348"/>
      <c r="D503" s="336"/>
      <c r="X503" s="544"/>
      <c r="Y503" s="544"/>
      <c r="Z503" s="544"/>
      <c r="AA503" s="544"/>
      <c r="AB503" s="544"/>
      <c r="AC503" s="544"/>
      <c r="AD503" s="544"/>
      <c r="AE503" s="544"/>
      <c r="AF503" s="544"/>
      <c r="AG503" s="348"/>
      <c r="AH503" s="348"/>
      <c r="AI503" s="348"/>
      <c r="AJ503" s="348"/>
      <c r="AK503" s="348"/>
      <c r="AL503" s="348"/>
      <c r="AM503" s="348"/>
      <c r="AN503" s="348"/>
      <c r="AO503" s="348"/>
      <c r="AP503" s="348"/>
      <c r="AQ503" s="348"/>
      <c r="AR503" s="348"/>
      <c r="AS503" s="348"/>
      <c r="AT503" s="348"/>
      <c r="AU503" s="348"/>
      <c r="BC503" s="348"/>
      <c r="BD503" s="340"/>
      <c r="BE503" s="340"/>
    </row>
    <row r="504" spans="2:57" ht="12" customHeight="1">
      <c r="B504" s="348"/>
      <c r="C504" s="348"/>
      <c r="D504" s="336"/>
      <c r="X504" s="544"/>
      <c r="Y504" s="544"/>
      <c r="Z504" s="544"/>
      <c r="AA504" s="544"/>
      <c r="AB504" s="544"/>
      <c r="AC504" s="544"/>
      <c r="AD504" s="544"/>
      <c r="AE504" s="544"/>
      <c r="AF504" s="544"/>
      <c r="AG504" s="348"/>
      <c r="AH504" s="348"/>
      <c r="AI504" s="348"/>
      <c r="AJ504" s="348"/>
      <c r="AK504" s="348"/>
      <c r="AL504" s="348"/>
      <c r="AM504" s="348"/>
      <c r="AN504" s="348"/>
      <c r="AO504" s="348"/>
      <c r="AP504" s="348"/>
      <c r="AQ504" s="348"/>
      <c r="AR504" s="348"/>
      <c r="AS504" s="348"/>
      <c r="AT504" s="348"/>
      <c r="AU504" s="348"/>
      <c r="BC504" s="348"/>
      <c r="BD504" s="340"/>
      <c r="BE504" s="340"/>
    </row>
    <row r="505" spans="2:57" ht="12" customHeight="1">
      <c r="B505" s="348"/>
      <c r="C505" s="348"/>
      <c r="D505" s="336"/>
      <c r="X505" s="544"/>
      <c r="Y505" s="544"/>
      <c r="Z505" s="544"/>
      <c r="AA505" s="544"/>
      <c r="AB505" s="544"/>
      <c r="AC505" s="544"/>
      <c r="AD505" s="544"/>
      <c r="AE505" s="544"/>
      <c r="AF505" s="544"/>
      <c r="AG505" s="348"/>
      <c r="AH505" s="348"/>
      <c r="AI505" s="348"/>
      <c r="AJ505" s="348"/>
      <c r="AK505" s="348"/>
      <c r="AL505" s="348"/>
      <c r="AM505" s="348"/>
      <c r="AN505" s="348"/>
      <c r="AO505" s="348"/>
      <c r="AP505" s="348"/>
      <c r="AQ505" s="348"/>
      <c r="AR505" s="348"/>
      <c r="AS505" s="348"/>
      <c r="AT505" s="348"/>
      <c r="AU505" s="348"/>
      <c r="BC505" s="348"/>
      <c r="BD505" s="340"/>
      <c r="BE505" s="340"/>
    </row>
    <row r="506" spans="2:57" ht="12" customHeight="1">
      <c r="B506" s="348"/>
      <c r="C506" s="348"/>
      <c r="D506" s="336"/>
      <c r="X506" s="544"/>
      <c r="Y506" s="544"/>
      <c r="Z506" s="544"/>
      <c r="AA506" s="544"/>
      <c r="AB506" s="544"/>
      <c r="AC506" s="544"/>
      <c r="AD506" s="544"/>
      <c r="AE506" s="544"/>
      <c r="AF506" s="544"/>
      <c r="AG506" s="348"/>
      <c r="AH506" s="348"/>
      <c r="AI506" s="348"/>
      <c r="AJ506" s="348"/>
      <c r="AK506" s="348"/>
      <c r="AL506" s="348"/>
      <c r="AM506" s="348"/>
      <c r="AN506" s="348"/>
      <c r="AO506" s="348"/>
      <c r="AP506" s="348"/>
      <c r="AQ506" s="348"/>
      <c r="AR506" s="348"/>
      <c r="AS506" s="348"/>
      <c r="AT506" s="348"/>
      <c r="AU506" s="348"/>
      <c r="BC506" s="348"/>
      <c r="BD506" s="340"/>
      <c r="BE506" s="340"/>
    </row>
    <row r="507" spans="2:57" ht="12" customHeight="1">
      <c r="B507" s="348"/>
      <c r="C507" s="348"/>
      <c r="D507" s="336"/>
      <c r="X507" s="544"/>
      <c r="Y507" s="544"/>
      <c r="Z507" s="544"/>
      <c r="AA507" s="544"/>
      <c r="AB507" s="544"/>
      <c r="AC507" s="544"/>
      <c r="AD507" s="544"/>
      <c r="AE507" s="544"/>
      <c r="AF507" s="544"/>
      <c r="AG507" s="348"/>
      <c r="AH507" s="348"/>
      <c r="AI507" s="348"/>
      <c r="AJ507" s="348"/>
      <c r="AK507" s="348"/>
      <c r="AL507" s="348"/>
      <c r="AM507" s="348"/>
      <c r="AN507" s="348"/>
      <c r="AO507" s="348"/>
      <c r="AP507" s="348"/>
      <c r="AQ507" s="348"/>
      <c r="AR507" s="348"/>
      <c r="AS507" s="348"/>
      <c r="AT507" s="348"/>
      <c r="AU507" s="348"/>
      <c r="BC507" s="348"/>
      <c r="BD507" s="340"/>
      <c r="BE507" s="340"/>
    </row>
    <row r="508" spans="2:57" ht="12" customHeight="1">
      <c r="B508" s="348"/>
      <c r="C508" s="348"/>
      <c r="D508" s="336"/>
      <c r="X508" s="544"/>
      <c r="Y508" s="544"/>
      <c r="Z508" s="544"/>
      <c r="AA508" s="544"/>
      <c r="AB508" s="544"/>
      <c r="AC508" s="544"/>
      <c r="AD508" s="544"/>
      <c r="AE508" s="544"/>
      <c r="AF508" s="544"/>
      <c r="AG508" s="348"/>
      <c r="AH508" s="348"/>
      <c r="AI508" s="348"/>
      <c r="AJ508" s="348"/>
      <c r="AK508" s="348"/>
      <c r="AL508" s="348"/>
      <c r="AM508" s="348"/>
      <c r="AN508" s="348"/>
      <c r="AO508" s="348"/>
      <c r="AP508" s="348"/>
      <c r="AQ508" s="348"/>
      <c r="AR508" s="348"/>
      <c r="AS508" s="348"/>
      <c r="AT508" s="348"/>
      <c r="AU508" s="348"/>
      <c r="BC508" s="348"/>
      <c r="BD508" s="340"/>
      <c r="BE508" s="340"/>
    </row>
    <row r="509" spans="2:57" ht="12" customHeight="1">
      <c r="B509" s="348"/>
      <c r="C509" s="348"/>
      <c r="D509" s="336"/>
      <c r="X509" s="544"/>
      <c r="Y509" s="544"/>
      <c r="Z509" s="544"/>
      <c r="AA509" s="544"/>
      <c r="AB509" s="544"/>
      <c r="AC509" s="544"/>
      <c r="AD509" s="544"/>
      <c r="AE509" s="544"/>
      <c r="AF509" s="544"/>
      <c r="AG509" s="348"/>
      <c r="AH509" s="348"/>
      <c r="AI509" s="348"/>
      <c r="AJ509" s="348"/>
      <c r="AK509" s="348"/>
      <c r="AL509" s="348"/>
      <c r="AM509" s="348"/>
      <c r="AN509" s="348"/>
      <c r="AO509" s="348"/>
      <c r="AP509" s="348"/>
      <c r="AQ509" s="348"/>
      <c r="AR509" s="348"/>
      <c r="AS509" s="348"/>
      <c r="AT509" s="348"/>
      <c r="AU509" s="348"/>
      <c r="BC509" s="348"/>
      <c r="BD509" s="340"/>
      <c r="BE509" s="340"/>
    </row>
    <row r="510" spans="2:57" ht="12" customHeight="1">
      <c r="B510" s="348"/>
      <c r="C510" s="348"/>
      <c r="D510" s="336"/>
      <c r="X510" s="544"/>
      <c r="Y510" s="544"/>
      <c r="Z510" s="544"/>
      <c r="AA510" s="544"/>
      <c r="AB510" s="544"/>
      <c r="AC510" s="544"/>
      <c r="AD510" s="544"/>
      <c r="AE510" s="544"/>
      <c r="AF510" s="544"/>
      <c r="AG510" s="348"/>
      <c r="AH510" s="348"/>
      <c r="AI510" s="348"/>
      <c r="AJ510" s="348"/>
      <c r="AK510" s="348"/>
      <c r="AL510" s="348"/>
      <c r="AM510" s="348"/>
      <c r="AN510" s="348"/>
      <c r="AO510" s="348"/>
      <c r="AP510" s="348"/>
      <c r="AQ510" s="348"/>
      <c r="AR510" s="348"/>
      <c r="AS510" s="348"/>
      <c r="AT510" s="348"/>
      <c r="AU510" s="348"/>
      <c r="BC510" s="348"/>
      <c r="BD510" s="340"/>
      <c r="BE510" s="340"/>
    </row>
    <row r="511" spans="2:57" ht="12" customHeight="1">
      <c r="B511" s="348"/>
      <c r="C511" s="348"/>
      <c r="D511" s="336"/>
      <c r="X511" s="544"/>
      <c r="Y511" s="544"/>
      <c r="Z511" s="544"/>
      <c r="AA511" s="544"/>
      <c r="AB511" s="544"/>
      <c r="AC511" s="544"/>
      <c r="AD511" s="544"/>
      <c r="AE511" s="544"/>
      <c r="AF511" s="544"/>
      <c r="AG511" s="348"/>
      <c r="AH511" s="348"/>
      <c r="AI511" s="348"/>
      <c r="AJ511" s="348"/>
      <c r="AK511" s="348"/>
      <c r="AL511" s="348"/>
      <c r="AM511" s="348"/>
      <c r="AN511" s="348"/>
      <c r="AO511" s="348"/>
      <c r="AP511" s="348"/>
      <c r="AQ511" s="348"/>
      <c r="AR511" s="348"/>
      <c r="AS511" s="348"/>
      <c r="AT511" s="348"/>
      <c r="AU511" s="348"/>
      <c r="BC511" s="348"/>
      <c r="BD511" s="340"/>
      <c r="BE511" s="340"/>
    </row>
    <row r="512" spans="2:57" ht="12" customHeight="1">
      <c r="B512" s="348"/>
      <c r="C512" s="348"/>
      <c r="D512" s="336"/>
      <c r="X512" s="544"/>
      <c r="Y512" s="544"/>
      <c r="Z512" s="544"/>
      <c r="AA512" s="544"/>
      <c r="AB512" s="544"/>
      <c r="AC512" s="544"/>
      <c r="AD512" s="544"/>
      <c r="AE512" s="544"/>
      <c r="AF512" s="544"/>
      <c r="AG512" s="348"/>
      <c r="AH512" s="348"/>
      <c r="AI512" s="348"/>
      <c r="AJ512" s="348"/>
      <c r="AK512" s="348"/>
      <c r="AL512" s="348"/>
      <c r="AM512" s="348"/>
      <c r="AN512" s="348"/>
      <c r="AO512" s="348"/>
      <c r="AP512" s="348"/>
      <c r="AQ512" s="348"/>
      <c r="AR512" s="348"/>
      <c r="AS512" s="348"/>
      <c r="AT512" s="348"/>
      <c r="AU512" s="348"/>
      <c r="BC512" s="348"/>
      <c r="BD512" s="340"/>
      <c r="BE512" s="340"/>
    </row>
    <row r="513" spans="2:57" ht="12" customHeight="1">
      <c r="B513" s="348"/>
      <c r="C513" s="348"/>
      <c r="D513" s="336"/>
      <c r="X513" s="544"/>
      <c r="Y513" s="544"/>
      <c r="Z513" s="544"/>
      <c r="AA513" s="544"/>
      <c r="AB513" s="544"/>
      <c r="AC513" s="544"/>
      <c r="AD513" s="544"/>
      <c r="AE513" s="544"/>
      <c r="AF513" s="544"/>
      <c r="AG513" s="348"/>
      <c r="AH513" s="348"/>
      <c r="AI513" s="348"/>
      <c r="AJ513" s="348"/>
      <c r="AK513" s="348"/>
      <c r="AL513" s="348"/>
      <c r="AM513" s="348"/>
      <c r="AN513" s="348"/>
      <c r="AO513" s="348"/>
      <c r="AP513" s="348"/>
      <c r="AQ513" s="348"/>
      <c r="AR513" s="348"/>
      <c r="AS513" s="348"/>
      <c r="AT513" s="348"/>
      <c r="AU513" s="348"/>
      <c r="BC513" s="348"/>
      <c r="BD513" s="340"/>
      <c r="BE513" s="340"/>
    </row>
    <row r="514" spans="2:57" ht="12" customHeight="1">
      <c r="B514" s="348"/>
      <c r="C514" s="348"/>
      <c r="D514" s="336"/>
      <c r="X514" s="544"/>
      <c r="Y514" s="544"/>
      <c r="Z514" s="544"/>
      <c r="AA514" s="544"/>
      <c r="AB514" s="544"/>
      <c r="AC514" s="544"/>
      <c r="AD514" s="544"/>
      <c r="AE514" s="544"/>
      <c r="AF514" s="544"/>
      <c r="AG514" s="348"/>
      <c r="AH514" s="348"/>
      <c r="AI514" s="348"/>
      <c r="AJ514" s="348"/>
      <c r="AK514" s="348"/>
      <c r="AL514" s="348"/>
      <c r="AM514" s="348"/>
      <c r="AN514" s="348"/>
      <c r="AO514" s="348"/>
      <c r="AP514" s="348"/>
      <c r="AQ514" s="348"/>
      <c r="AR514" s="348"/>
      <c r="AS514" s="348"/>
      <c r="AT514" s="348"/>
      <c r="AU514" s="348"/>
      <c r="BC514" s="348"/>
      <c r="BD514" s="340"/>
      <c r="BE514" s="340"/>
    </row>
    <row r="515" spans="2:57" ht="12" customHeight="1">
      <c r="B515" s="348"/>
      <c r="C515" s="348"/>
      <c r="D515" s="336"/>
      <c r="X515" s="544"/>
      <c r="Y515" s="544"/>
      <c r="Z515" s="544"/>
      <c r="AA515" s="544"/>
      <c r="AB515" s="544"/>
      <c r="AC515" s="544"/>
      <c r="AD515" s="544"/>
      <c r="AE515" s="544"/>
      <c r="AF515" s="544"/>
      <c r="AG515" s="348"/>
      <c r="AH515" s="348"/>
      <c r="AI515" s="348"/>
      <c r="AJ515" s="348"/>
      <c r="AK515" s="348"/>
      <c r="AL515" s="348"/>
      <c r="AM515" s="348"/>
      <c r="AN515" s="348"/>
      <c r="AO515" s="348"/>
      <c r="AP515" s="348"/>
      <c r="AQ515" s="348"/>
      <c r="AR515" s="348"/>
      <c r="AS515" s="348"/>
      <c r="AT515" s="348"/>
      <c r="AU515" s="348"/>
      <c r="BC515" s="348"/>
      <c r="BD515" s="340"/>
      <c r="BE515" s="340"/>
    </row>
    <row r="516" spans="2:57" ht="12" customHeight="1">
      <c r="B516" s="348"/>
      <c r="C516" s="348"/>
      <c r="D516" s="336"/>
      <c r="X516" s="544"/>
      <c r="Y516" s="544"/>
      <c r="Z516" s="544"/>
      <c r="AA516" s="544"/>
      <c r="AB516" s="544"/>
      <c r="AC516" s="544"/>
      <c r="AD516" s="544"/>
      <c r="AE516" s="544"/>
      <c r="AF516" s="544"/>
      <c r="AG516" s="348"/>
      <c r="AH516" s="348"/>
      <c r="AI516" s="348"/>
      <c r="AJ516" s="348"/>
      <c r="AK516" s="348"/>
      <c r="AL516" s="348"/>
      <c r="AM516" s="348"/>
      <c r="AN516" s="348"/>
      <c r="AO516" s="348"/>
      <c r="AP516" s="348"/>
      <c r="AQ516" s="348"/>
      <c r="AR516" s="348"/>
      <c r="AS516" s="348"/>
      <c r="AT516" s="348"/>
      <c r="AU516" s="348"/>
      <c r="BC516" s="348"/>
      <c r="BD516" s="340"/>
      <c r="BE516" s="340"/>
    </row>
    <row r="517" spans="2:57" ht="12" customHeight="1">
      <c r="B517" s="348"/>
      <c r="C517" s="348"/>
      <c r="D517" s="336"/>
      <c r="X517" s="544"/>
      <c r="Y517" s="544"/>
      <c r="Z517" s="544"/>
      <c r="AA517" s="544"/>
      <c r="AB517" s="544"/>
      <c r="AC517" s="544"/>
      <c r="AD517" s="544"/>
      <c r="AE517" s="544"/>
      <c r="AF517" s="544"/>
      <c r="AG517" s="348"/>
      <c r="AH517" s="348"/>
      <c r="AI517" s="348"/>
      <c r="AJ517" s="348"/>
      <c r="AK517" s="348"/>
      <c r="AL517" s="348"/>
      <c r="AM517" s="348"/>
      <c r="AN517" s="348"/>
      <c r="AO517" s="348"/>
      <c r="AP517" s="348"/>
      <c r="AQ517" s="348"/>
      <c r="AR517" s="348"/>
      <c r="AS517" s="348"/>
      <c r="AT517" s="348"/>
      <c r="AU517" s="348"/>
      <c r="BC517" s="348"/>
      <c r="BD517" s="340"/>
      <c r="BE517" s="340"/>
    </row>
    <row r="518" spans="2:57" ht="12" customHeight="1">
      <c r="B518" s="348"/>
      <c r="C518" s="348"/>
      <c r="D518" s="336"/>
      <c r="X518" s="544"/>
      <c r="Y518" s="544"/>
      <c r="Z518" s="544"/>
      <c r="AA518" s="544"/>
      <c r="AB518" s="544"/>
      <c r="AC518" s="544"/>
      <c r="AD518" s="544"/>
      <c r="AE518" s="544"/>
      <c r="AF518" s="544"/>
      <c r="AG518" s="348"/>
      <c r="AH518" s="348"/>
      <c r="AI518" s="348"/>
      <c r="AJ518" s="348"/>
      <c r="AK518" s="348"/>
      <c r="AL518" s="348"/>
      <c r="AM518" s="348"/>
      <c r="AN518" s="348"/>
      <c r="AO518" s="348"/>
      <c r="AP518" s="348"/>
      <c r="AQ518" s="348"/>
      <c r="AR518" s="348"/>
      <c r="AS518" s="348"/>
      <c r="AT518" s="348"/>
      <c r="AU518" s="348"/>
      <c r="BC518" s="348"/>
      <c r="BD518" s="340"/>
      <c r="BE518" s="340"/>
    </row>
    <row r="519" spans="2:57" ht="12" customHeight="1">
      <c r="B519" s="348"/>
      <c r="C519" s="348"/>
      <c r="D519" s="336"/>
      <c r="X519" s="544"/>
      <c r="Y519" s="544"/>
      <c r="Z519" s="544"/>
      <c r="AA519" s="544"/>
      <c r="AB519" s="544"/>
      <c r="AC519" s="544"/>
      <c r="AD519" s="544"/>
      <c r="AE519" s="544"/>
      <c r="AF519" s="544"/>
      <c r="AG519" s="348"/>
      <c r="AH519" s="348"/>
      <c r="AI519" s="348"/>
      <c r="AJ519" s="348"/>
      <c r="AK519" s="348"/>
      <c r="AL519" s="348"/>
      <c r="AM519" s="348"/>
      <c r="AN519" s="348"/>
      <c r="AO519" s="348"/>
      <c r="AP519" s="348"/>
      <c r="AQ519" s="348"/>
      <c r="AR519" s="348"/>
      <c r="AS519" s="348"/>
      <c r="AT519" s="348"/>
      <c r="AU519" s="348"/>
      <c r="BC519" s="348"/>
      <c r="BD519" s="340"/>
      <c r="BE519" s="340"/>
    </row>
    <row r="520" spans="2:57" ht="12" customHeight="1">
      <c r="B520" s="348"/>
      <c r="C520" s="348"/>
      <c r="D520" s="336"/>
      <c r="X520" s="544"/>
      <c r="Y520" s="544"/>
      <c r="Z520" s="544"/>
      <c r="AA520" s="544"/>
      <c r="AB520" s="544"/>
      <c r="AC520" s="544"/>
      <c r="AD520" s="544"/>
      <c r="AE520" s="544"/>
      <c r="AF520" s="544"/>
      <c r="AG520" s="348"/>
      <c r="AH520" s="348"/>
      <c r="AI520" s="348"/>
      <c r="AJ520" s="348"/>
      <c r="AK520" s="348"/>
      <c r="AL520" s="348"/>
      <c r="AM520" s="348"/>
      <c r="AN520" s="348"/>
      <c r="AO520" s="348"/>
      <c r="AP520" s="348"/>
      <c r="AQ520" s="348"/>
      <c r="AR520" s="348"/>
      <c r="AS520" s="348"/>
      <c r="AT520" s="348"/>
      <c r="AU520" s="348"/>
      <c r="BC520" s="348"/>
      <c r="BD520" s="340"/>
      <c r="BE520" s="340"/>
    </row>
    <row r="521" spans="2:57" ht="12" customHeight="1">
      <c r="B521" s="348"/>
      <c r="C521" s="348"/>
      <c r="D521" s="336"/>
      <c r="X521" s="544"/>
      <c r="Y521" s="544"/>
      <c r="Z521" s="544"/>
      <c r="AA521" s="544"/>
      <c r="AB521" s="544"/>
      <c r="AC521" s="544"/>
      <c r="AD521" s="544"/>
      <c r="AE521" s="544"/>
      <c r="AF521" s="544"/>
      <c r="AG521" s="348"/>
      <c r="AH521" s="348"/>
      <c r="AI521" s="348"/>
      <c r="AJ521" s="348"/>
      <c r="AK521" s="348"/>
      <c r="AL521" s="348"/>
      <c r="AM521" s="348"/>
      <c r="AN521" s="348"/>
      <c r="AO521" s="348"/>
      <c r="AP521" s="348"/>
      <c r="AQ521" s="348"/>
      <c r="AR521" s="348"/>
      <c r="AS521" s="348"/>
      <c r="AT521" s="348"/>
      <c r="AU521" s="348"/>
      <c r="BC521" s="348"/>
      <c r="BD521" s="340"/>
      <c r="BE521" s="340"/>
    </row>
    <row r="522" spans="2:57" ht="12" customHeight="1">
      <c r="B522" s="348"/>
      <c r="C522" s="348"/>
      <c r="D522" s="336"/>
      <c r="X522" s="544"/>
      <c r="Y522" s="544"/>
      <c r="Z522" s="544"/>
      <c r="AA522" s="544"/>
      <c r="AB522" s="544"/>
      <c r="AC522" s="544"/>
      <c r="AD522" s="544"/>
      <c r="AE522" s="544"/>
      <c r="AF522" s="544"/>
      <c r="AG522" s="348"/>
      <c r="AH522" s="348"/>
      <c r="AI522" s="348"/>
      <c r="AJ522" s="348"/>
      <c r="AK522" s="348"/>
      <c r="AL522" s="348"/>
      <c r="AM522" s="348"/>
      <c r="AN522" s="348"/>
      <c r="AO522" s="348"/>
      <c r="AP522" s="348"/>
      <c r="AQ522" s="348"/>
      <c r="AR522" s="348"/>
      <c r="AS522" s="348"/>
      <c r="AT522" s="348"/>
      <c r="AU522" s="348"/>
      <c r="BC522" s="348"/>
      <c r="BD522" s="340"/>
      <c r="BE522" s="340"/>
    </row>
    <row r="523" spans="2:57" ht="12" customHeight="1">
      <c r="B523" s="348"/>
      <c r="C523" s="348"/>
      <c r="D523" s="336"/>
      <c r="X523" s="544"/>
      <c r="Y523" s="544"/>
      <c r="Z523" s="544"/>
      <c r="AA523" s="544"/>
      <c r="AB523" s="544"/>
      <c r="AC523" s="544"/>
      <c r="AD523" s="544"/>
      <c r="AE523" s="544"/>
      <c r="AF523" s="544"/>
      <c r="AG523" s="348"/>
      <c r="AH523" s="348"/>
      <c r="AI523" s="348"/>
      <c r="AJ523" s="348"/>
      <c r="AK523" s="348"/>
      <c r="AL523" s="348"/>
      <c r="AM523" s="348"/>
      <c r="AN523" s="348"/>
      <c r="AO523" s="348"/>
      <c r="AP523" s="348"/>
      <c r="AQ523" s="348"/>
      <c r="AR523" s="348"/>
      <c r="AS523" s="348"/>
      <c r="AT523" s="348"/>
      <c r="AU523" s="348"/>
      <c r="BC523" s="348"/>
      <c r="BD523" s="340"/>
      <c r="BE523" s="340"/>
    </row>
    <row r="524" spans="2:57" ht="12" customHeight="1">
      <c r="B524" s="348"/>
      <c r="C524" s="348"/>
      <c r="D524" s="336"/>
      <c r="X524" s="544"/>
      <c r="Y524" s="544"/>
      <c r="Z524" s="544"/>
      <c r="AA524" s="544"/>
      <c r="AB524" s="544"/>
      <c r="AC524" s="544"/>
      <c r="AD524" s="544"/>
      <c r="AE524" s="544"/>
      <c r="AF524" s="544"/>
      <c r="AG524" s="348"/>
      <c r="AH524" s="348"/>
      <c r="AI524" s="348"/>
      <c r="AJ524" s="348"/>
      <c r="AK524" s="348"/>
      <c r="AL524" s="348"/>
      <c r="AM524" s="348"/>
      <c r="AN524" s="348"/>
      <c r="AO524" s="348"/>
      <c r="AP524" s="348"/>
      <c r="AQ524" s="348"/>
      <c r="AR524" s="348"/>
      <c r="AS524" s="348"/>
      <c r="AT524" s="348"/>
      <c r="AU524" s="348"/>
      <c r="BC524" s="348"/>
      <c r="BD524" s="340"/>
      <c r="BE524" s="340"/>
    </row>
    <row r="525" spans="2:57" ht="12" customHeight="1">
      <c r="B525" s="348"/>
      <c r="C525" s="348"/>
      <c r="D525" s="336"/>
      <c r="X525" s="544"/>
      <c r="Y525" s="544"/>
      <c r="Z525" s="544"/>
      <c r="AA525" s="544"/>
      <c r="AB525" s="544"/>
      <c r="AC525" s="544"/>
      <c r="AD525" s="544"/>
      <c r="AE525" s="544"/>
      <c r="AF525" s="544"/>
      <c r="AG525" s="348"/>
      <c r="AH525" s="348"/>
      <c r="AI525" s="348"/>
      <c r="AJ525" s="348"/>
      <c r="AK525" s="348"/>
      <c r="AL525" s="348"/>
      <c r="AM525" s="348"/>
      <c r="AN525" s="348"/>
      <c r="AO525" s="348"/>
      <c r="AP525" s="348"/>
      <c r="AQ525" s="348"/>
      <c r="AR525" s="348"/>
      <c r="AS525" s="348"/>
      <c r="AT525" s="348"/>
      <c r="AU525" s="348"/>
      <c r="BC525" s="348"/>
      <c r="BD525" s="340"/>
      <c r="BE525" s="340"/>
    </row>
    <row r="526" spans="2:57" ht="12" customHeight="1">
      <c r="B526" s="348"/>
      <c r="C526" s="348"/>
      <c r="D526" s="336"/>
      <c r="X526" s="544"/>
      <c r="Y526" s="544"/>
      <c r="Z526" s="544"/>
      <c r="AA526" s="544"/>
      <c r="AB526" s="544"/>
      <c r="AC526" s="544"/>
      <c r="AD526" s="544"/>
      <c r="AE526" s="544"/>
      <c r="AF526" s="544"/>
      <c r="AG526" s="348"/>
      <c r="AH526" s="348"/>
      <c r="AI526" s="348"/>
      <c r="AJ526" s="348"/>
      <c r="AK526" s="348"/>
      <c r="AL526" s="348"/>
      <c r="AM526" s="348"/>
      <c r="AN526" s="348"/>
      <c r="AO526" s="348"/>
      <c r="AP526" s="348"/>
      <c r="AQ526" s="348"/>
      <c r="AR526" s="348"/>
      <c r="AS526" s="348"/>
      <c r="AT526" s="348"/>
      <c r="AU526" s="348"/>
      <c r="BC526" s="348"/>
      <c r="BD526" s="340"/>
      <c r="BE526" s="340"/>
    </row>
    <row r="527" spans="2:57" ht="12" customHeight="1">
      <c r="B527" s="348"/>
      <c r="C527" s="348"/>
      <c r="D527" s="336"/>
      <c r="X527" s="544"/>
      <c r="Y527" s="544"/>
      <c r="Z527" s="544"/>
      <c r="AA527" s="544"/>
      <c r="AB527" s="544"/>
      <c r="AC527" s="544"/>
      <c r="AD527" s="544"/>
      <c r="AE527" s="544"/>
      <c r="AF527" s="544"/>
      <c r="AG527" s="348"/>
      <c r="AH527" s="348"/>
      <c r="AI527" s="348"/>
      <c r="AJ527" s="348"/>
      <c r="AK527" s="348"/>
      <c r="AL527" s="348"/>
      <c r="AM527" s="348"/>
      <c r="AN527" s="348"/>
      <c r="AO527" s="348"/>
      <c r="AP527" s="348"/>
      <c r="AQ527" s="348"/>
      <c r="AR527" s="348"/>
      <c r="AS527" s="348"/>
      <c r="AT527" s="348"/>
      <c r="AU527" s="348"/>
      <c r="BC527" s="348"/>
      <c r="BD527" s="340"/>
      <c r="BE527" s="340"/>
    </row>
    <row r="528" spans="2:57" ht="12" customHeight="1">
      <c r="B528" s="348"/>
      <c r="C528" s="348"/>
      <c r="D528" s="336"/>
      <c r="X528" s="544"/>
      <c r="Y528" s="544"/>
      <c r="Z528" s="544"/>
      <c r="AA528" s="544"/>
      <c r="AB528" s="544"/>
      <c r="AC528" s="544"/>
      <c r="AD528" s="544"/>
      <c r="AE528" s="544"/>
      <c r="AF528" s="544"/>
      <c r="AG528" s="348"/>
      <c r="AH528" s="348"/>
      <c r="AI528" s="348"/>
      <c r="AJ528" s="348"/>
      <c r="AK528" s="348"/>
      <c r="AL528" s="348"/>
      <c r="AM528" s="348"/>
      <c r="AN528" s="348"/>
      <c r="AO528" s="348"/>
      <c r="AP528" s="348"/>
      <c r="AQ528" s="348"/>
      <c r="AR528" s="348"/>
      <c r="AS528" s="348"/>
      <c r="AT528" s="348"/>
      <c r="AU528" s="348"/>
      <c r="BC528" s="348"/>
      <c r="BD528" s="340"/>
      <c r="BE528" s="340"/>
    </row>
    <row r="529" spans="2:57" ht="12" customHeight="1">
      <c r="B529" s="348"/>
      <c r="C529" s="348"/>
      <c r="D529" s="336"/>
      <c r="X529" s="544"/>
      <c r="Y529" s="544"/>
      <c r="Z529" s="544"/>
      <c r="AA529" s="544"/>
      <c r="AB529" s="544"/>
      <c r="AC529" s="544"/>
      <c r="AD529" s="544"/>
      <c r="AE529" s="544"/>
      <c r="AF529" s="544"/>
      <c r="AG529" s="348"/>
      <c r="AH529" s="348"/>
      <c r="AI529" s="348"/>
      <c r="AJ529" s="348"/>
      <c r="AK529" s="348"/>
      <c r="AL529" s="348"/>
      <c r="AM529" s="348"/>
      <c r="AN529" s="348"/>
      <c r="AO529" s="348"/>
      <c r="AP529" s="348"/>
      <c r="AQ529" s="348"/>
      <c r="AR529" s="348"/>
      <c r="AS529" s="348"/>
      <c r="AT529" s="348"/>
      <c r="AU529" s="348"/>
      <c r="BC529" s="348"/>
      <c r="BD529" s="340"/>
      <c r="BE529" s="340"/>
    </row>
    <row r="530" spans="2:57" ht="12" customHeight="1">
      <c r="B530" s="348"/>
      <c r="C530" s="348"/>
      <c r="D530" s="336"/>
      <c r="X530" s="544"/>
      <c r="Y530" s="544"/>
      <c r="Z530" s="544"/>
      <c r="AA530" s="544"/>
      <c r="AB530" s="544"/>
      <c r="AC530" s="544"/>
      <c r="AD530" s="544"/>
      <c r="AE530" s="544"/>
      <c r="AF530" s="544"/>
      <c r="AG530" s="348"/>
      <c r="AH530" s="348"/>
      <c r="AI530" s="348"/>
      <c r="AJ530" s="348"/>
      <c r="AK530" s="348"/>
      <c r="AL530" s="348"/>
      <c r="AM530" s="348"/>
      <c r="AN530" s="348"/>
      <c r="AO530" s="348"/>
      <c r="AP530" s="348"/>
      <c r="AQ530" s="348"/>
      <c r="AR530" s="348"/>
      <c r="AS530" s="348"/>
      <c r="AT530" s="348"/>
      <c r="AU530" s="348"/>
      <c r="BC530" s="348"/>
      <c r="BD530" s="340"/>
      <c r="BE530" s="340"/>
    </row>
    <row r="531" spans="2:57" ht="12" customHeight="1">
      <c r="B531" s="348"/>
      <c r="C531" s="348"/>
      <c r="D531" s="336"/>
      <c r="X531" s="544"/>
      <c r="Y531" s="544"/>
      <c r="Z531" s="544"/>
      <c r="AA531" s="544"/>
      <c r="AB531" s="544"/>
      <c r="AC531" s="544"/>
      <c r="AD531" s="544"/>
      <c r="AE531" s="544"/>
      <c r="AF531" s="544"/>
      <c r="AG531" s="348"/>
      <c r="AH531" s="348"/>
      <c r="AI531" s="348"/>
      <c r="AJ531" s="348"/>
      <c r="AK531" s="348"/>
      <c r="AL531" s="348"/>
      <c r="AM531" s="348"/>
      <c r="AN531" s="348"/>
      <c r="AO531" s="348"/>
      <c r="AP531" s="348"/>
      <c r="AQ531" s="348"/>
      <c r="AR531" s="348"/>
      <c r="AS531" s="348"/>
      <c r="AT531" s="348"/>
      <c r="AU531" s="348"/>
      <c r="BC531" s="348"/>
      <c r="BD531" s="340"/>
      <c r="BE531" s="340"/>
    </row>
    <row r="532" spans="2:57" ht="12" customHeight="1">
      <c r="B532" s="348"/>
      <c r="C532" s="348"/>
      <c r="D532" s="336"/>
      <c r="X532" s="544"/>
      <c r="Y532" s="544"/>
      <c r="Z532" s="544"/>
      <c r="AA532" s="544"/>
      <c r="AB532" s="544"/>
      <c r="AC532" s="544"/>
      <c r="AD532" s="544"/>
      <c r="AE532" s="544"/>
      <c r="AF532" s="544"/>
      <c r="AG532" s="348"/>
      <c r="AH532" s="348"/>
      <c r="AI532" s="348"/>
      <c r="AJ532" s="348"/>
      <c r="AK532" s="348"/>
      <c r="AL532" s="348"/>
      <c r="AM532" s="348"/>
      <c r="AN532" s="348"/>
      <c r="AO532" s="348"/>
      <c r="AP532" s="348"/>
      <c r="AQ532" s="348"/>
      <c r="AR532" s="348"/>
      <c r="AS532" s="348"/>
      <c r="AT532" s="348"/>
      <c r="AU532" s="348"/>
      <c r="BC532" s="348"/>
      <c r="BD532" s="340"/>
      <c r="BE532" s="340"/>
    </row>
    <row r="533" spans="2:57" ht="12" customHeight="1">
      <c r="B533" s="348"/>
      <c r="C533" s="348"/>
      <c r="D533" s="336"/>
      <c r="X533" s="544"/>
      <c r="Y533" s="544"/>
      <c r="Z533" s="544"/>
      <c r="AA533" s="544"/>
      <c r="AB533" s="544"/>
      <c r="AC533" s="544"/>
      <c r="AD533" s="544"/>
      <c r="AE533" s="544"/>
      <c r="AF533" s="544"/>
      <c r="AG533" s="348"/>
      <c r="AH533" s="348"/>
      <c r="AI533" s="348"/>
      <c r="AJ533" s="348"/>
      <c r="AK533" s="348"/>
      <c r="AL533" s="348"/>
      <c r="AM533" s="348"/>
      <c r="AN533" s="348"/>
      <c r="AO533" s="348"/>
      <c r="AP533" s="348"/>
      <c r="AQ533" s="348"/>
      <c r="AR533" s="348"/>
      <c r="AS533" s="348"/>
      <c r="AT533" s="348"/>
      <c r="AU533" s="348"/>
      <c r="BC533" s="348"/>
      <c r="BD533" s="340"/>
      <c r="BE533" s="340"/>
    </row>
    <row r="534" spans="2:57" ht="12" customHeight="1">
      <c r="B534" s="348"/>
      <c r="C534" s="348"/>
      <c r="D534" s="336"/>
      <c r="X534" s="544"/>
      <c r="Y534" s="544"/>
      <c r="Z534" s="544"/>
      <c r="AA534" s="544"/>
      <c r="AB534" s="544"/>
      <c r="AC534" s="544"/>
      <c r="AD534" s="544"/>
      <c r="AE534" s="544"/>
      <c r="AF534" s="544"/>
      <c r="AG534" s="348"/>
      <c r="AH534" s="348"/>
      <c r="AI534" s="348"/>
      <c r="AJ534" s="348"/>
      <c r="AK534" s="348"/>
      <c r="AL534" s="348"/>
      <c r="AM534" s="348"/>
      <c r="AN534" s="348"/>
      <c r="AO534" s="348"/>
      <c r="AP534" s="348"/>
      <c r="AQ534" s="348"/>
      <c r="AR534" s="348"/>
      <c r="AS534" s="348"/>
      <c r="AT534" s="348"/>
      <c r="AU534" s="348"/>
      <c r="BC534" s="348"/>
      <c r="BD534" s="340"/>
      <c r="BE534" s="340"/>
    </row>
    <row r="535" spans="2:57" ht="12" customHeight="1">
      <c r="B535" s="348"/>
      <c r="C535" s="348"/>
      <c r="D535" s="336"/>
      <c r="X535" s="544"/>
      <c r="Y535" s="544"/>
      <c r="Z535" s="544"/>
      <c r="AA535" s="544"/>
      <c r="AB535" s="544"/>
      <c r="AC535" s="544"/>
      <c r="AD535" s="544"/>
      <c r="AE535" s="544"/>
      <c r="AF535" s="544"/>
      <c r="AG535" s="348"/>
      <c r="AH535" s="348"/>
      <c r="AI535" s="348"/>
      <c r="AJ535" s="348"/>
      <c r="AK535" s="348"/>
      <c r="AL535" s="348"/>
      <c r="AM535" s="348"/>
      <c r="AN535" s="348"/>
      <c r="AO535" s="348"/>
      <c r="AP535" s="348"/>
      <c r="AQ535" s="348"/>
      <c r="AR535" s="348"/>
      <c r="AS535" s="348"/>
      <c r="AT535" s="348"/>
      <c r="AU535" s="348"/>
      <c r="BC535" s="348"/>
      <c r="BD535" s="340"/>
      <c r="BE535" s="340"/>
    </row>
    <row r="536" spans="2:57" ht="12" customHeight="1">
      <c r="B536" s="348"/>
      <c r="C536" s="348"/>
      <c r="D536" s="336"/>
      <c r="X536" s="544"/>
      <c r="Y536" s="544"/>
      <c r="Z536" s="544"/>
      <c r="AA536" s="544"/>
      <c r="AB536" s="544"/>
      <c r="AC536" s="544"/>
      <c r="AD536" s="544"/>
      <c r="AE536" s="544"/>
      <c r="AF536" s="544"/>
      <c r="AG536" s="348"/>
      <c r="AH536" s="348"/>
      <c r="AI536" s="348"/>
      <c r="AJ536" s="348"/>
      <c r="AK536" s="348"/>
      <c r="AL536" s="348"/>
      <c r="AM536" s="348"/>
      <c r="AN536" s="348"/>
      <c r="AO536" s="348"/>
      <c r="AP536" s="348"/>
      <c r="AQ536" s="348"/>
      <c r="AR536" s="348"/>
      <c r="AS536" s="348"/>
      <c r="AT536" s="348"/>
      <c r="AU536" s="348"/>
      <c r="BC536" s="348"/>
      <c r="BD536" s="340"/>
      <c r="BE536" s="340"/>
    </row>
    <row r="537" spans="2:57" ht="12" customHeight="1">
      <c r="B537" s="348"/>
      <c r="C537" s="348"/>
      <c r="D537" s="336"/>
      <c r="X537" s="544"/>
      <c r="Y537" s="544"/>
      <c r="Z537" s="544"/>
      <c r="AA537" s="544"/>
      <c r="AB537" s="544"/>
      <c r="AC537" s="544"/>
      <c r="AD537" s="544"/>
      <c r="AE537" s="544"/>
      <c r="AF537" s="544"/>
      <c r="AG537" s="348"/>
      <c r="AH537" s="348"/>
      <c r="AI537" s="348"/>
      <c r="AJ537" s="348"/>
      <c r="AK537" s="348"/>
      <c r="AL537" s="348"/>
      <c r="AM537" s="348"/>
      <c r="AN537" s="348"/>
      <c r="AO537" s="348"/>
      <c r="AP537" s="348"/>
      <c r="AQ537" s="348"/>
      <c r="AR537" s="348"/>
      <c r="AS537" s="348"/>
      <c r="AT537" s="348"/>
      <c r="AU537" s="348"/>
      <c r="BC537" s="348"/>
      <c r="BD537" s="340"/>
      <c r="BE537" s="340"/>
    </row>
    <row r="538" spans="2:57" ht="12" customHeight="1">
      <c r="B538" s="348"/>
      <c r="C538" s="348"/>
      <c r="D538" s="336"/>
      <c r="X538" s="544"/>
      <c r="Y538" s="544"/>
      <c r="Z538" s="544"/>
      <c r="AA538" s="544"/>
      <c r="AB538" s="544"/>
      <c r="AC538" s="544"/>
      <c r="AD538" s="544"/>
      <c r="AE538" s="544"/>
      <c r="AF538" s="544"/>
      <c r="AG538" s="348"/>
      <c r="AH538" s="348"/>
      <c r="AI538" s="348"/>
      <c r="AJ538" s="348"/>
      <c r="AK538" s="348"/>
      <c r="AL538" s="348"/>
      <c r="AM538" s="348"/>
      <c r="AN538" s="348"/>
      <c r="AO538" s="348"/>
      <c r="AP538" s="348"/>
      <c r="AQ538" s="348"/>
      <c r="AR538" s="348"/>
      <c r="AS538" s="348"/>
      <c r="AT538" s="348"/>
      <c r="AU538" s="348"/>
      <c r="BC538" s="348"/>
      <c r="BD538" s="340"/>
      <c r="BE538" s="340"/>
    </row>
    <row r="539" spans="2:57" ht="12" customHeight="1">
      <c r="B539" s="348"/>
      <c r="C539" s="348"/>
      <c r="D539" s="336"/>
      <c r="X539" s="544"/>
      <c r="Y539" s="544"/>
      <c r="Z539" s="544"/>
      <c r="AA539" s="544"/>
      <c r="AB539" s="544"/>
      <c r="AC539" s="544"/>
      <c r="AD539" s="544"/>
      <c r="AE539" s="544"/>
      <c r="AF539" s="544"/>
      <c r="AG539" s="348"/>
      <c r="AH539" s="348"/>
      <c r="AI539" s="348"/>
      <c r="AJ539" s="348"/>
      <c r="AK539" s="348"/>
      <c r="AL539" s="348"/>
      <c r="AM539" s="348"/>
      <c r="AN539" s="348"/>
      <c r="AO539" s="348"/>
      <c r="AP539" s="348"/>
      <c r="AQ539" s="348"/>
      <c r="AR539" s="348"/>
      <c r="AS539" s="348"/>
      <c r="AT539" s="348"/>
      <c r="AU539" s="348"/>
      <c r="BC539" s="348"/>
      <c r="BD539" s="340"/>
      <c r="BE539" s="340"/>
    </row>
    <row r="540" spans="2:57" ht="12" customHeight="1">
      <c r="B540" s="348"/>
      <c r="C540" s="348"/>
      <c r="D540" s="336"/>
      <c r="X540" s="544"/>
      <c r="Y540" s="544"/>
      <c r="Z540" s="544"/>
      <c r="AA540" s="544"/>
      <c r="AB540" s="544"/>
      <c r="AC540" s="544"/>
      <c r="AD540" s="544"/>
      <c r="AE540" s="544"/>
      <c r="AF540" s="544"/>
      <c r="AG540" s="348"/>
      <c r="AH540" s="348"/>
      <c r="AI540" s="348"/>
      <c r="AJ540" s="348"/>
      <c r="AK540" s="348"/>
      <c r="AL540" s="348"/>
      <c r="AM540" s="348"/>
      <c r="AN540" s="348"/>
      <c r="AO540" s="348"/>
      <c r="AP540" s="348"/>
      <c r="AQ540" s="348"/>
      <c r="AR540" s="348"/>
      <c r="AS540" s="348"/>
      <c r="AT540" s="348"/>
      <c r="AU540" s="348"/>
      <c r="BC540" s="348"/>
      <c r="BD540" s="340"/>
      <c r="BE540" s="340"/>
    </row>
    <row r="541" spans="2:57" ht="12" customHeight="1">
      <c r="B541" s="348"/>
      <c r="C541" s="348"/>
      <c r="D541" s="336"/>
      <c r="X541" s="544"/>
      <c r="Y541" s="544"/>
      <c r="Z541" s="544"/>
      <c r="AA541" s="544"/>
      <c r="AB541" s="544"/>
      <c r="AC541" s="544"/>
      <c r="AD541" s="544"/>
      <c r="AE541" s="544"/>
      <c r="AF541" s="544"/>
      <c r="AG541" s="348"/>
      <c r="AH541" s="348"/>
      <c r="AI541" s="348"/>
      <c r="AJ541" s="348"/>
      <c r="AK541" s="348"/>
      <c r="AL541" s="348"/>
      <c r="AM541" s="348"/>
      <c r="AN541" s="348"/>
      <c r="AO541" s="348"/>
      <c r="AP541" s="348"/>
      <c r="AQ541" s="348"/>
      <c r="AR541" s="348"/>
      <c r="AS541" s="348"/>
      <c r="AT541" s="348"/>
      <c r="AU541" s="348"/>
      <c r="BC541" s="348"/>
      <c r="BD541" s="340"/>
      <c r="BE541" s="340"/>
    </row>
    <row r="542" spans="2:57" ht="12" customHeight="1">
      <c r="B542" s="348"/>
      <c r="C542" s="348"/>
      <c r="D542" s="336"/>
      <c r="X542" s="544"/>
      <c r="Y542" s="544"/>
      <c r="Z542" s="544"/>
      <c r="AA542" s="544"/>
      <c r="AB542" s="544"/>
      <c r="AC542" s="544"/>
      <c r="AD542" s="544"/>
      <c r="AE542" s="544"/>
      <c r="AF542" s="544"/>
      <c r="AG542" s="348"/>
      <c r="AH542" s="348"/>
      <c r="AI542" s="348"/>
      <c r="AJ542" s="348"/>
      <c r="AK542" s="348"/>
      <c r="AL542" s="348"/>
      <c r="AM542" s="348"/>
      <c r="AN542" s="348"/>
      <c r="AO542" s="348"/>
      <c r="AP542" s="348"/>
      <c r="AQ542" s="348"/>
      <c r="AR542" s="348"/>
      <c r="AS542" s="348"/>
      <c r="AT542" s="348"/>
      <c r="AU542" s="348"/>
      <c r="BC542" s="348"/>
      <c r="BD542" s="340"/>
      <c r="BE542" s="340"/>
    </row>
    <row r="543" spans="2:57" ht="12" customHeight="1">
      <c r="B543" s="348"/>
      <c r="C543" s="348"/>
      <c r="D543" s="336"/>
      <c r="X543" s="544"/>
      <c r="Y543" s="544"/>
      <c r="Z543" s="544"/>
      <c r="AA543" s="544"/>
      <c r="AB543" s="544"/>
      <c r="AC543" s="544"/>
      <c r="AD543" s="544"/>
      <c r="AE543" s="544"/>
      <c r="AF543" s="544"/>
      <c r="AG543" s="348"/>
      <c r="AH543" s="348"/>
      <c r="AI543" s="348"/>
      <c r="AJ543" s="348"/>
      <c r="AK543" s="348"/>
      <c r="AL543" s="348"/>
      <c r="AM543" s="348"/>
      <c r="AN543" s="348"/>
      <c r="AO543" s="348"/>
      <c r="AP543" s="348"/>
      <c r="AQ543" s="348"/>
      <c r="AR543" s="348"/>
      <c r="AS543" s="348"/>
      <c r="AT543" s="348"/>
      <c r="AU543" s="348"/>
      <c r="BC543" s="348"/>
      <c r="BD543" s="340"/>
      <c r="BE543" s="340"/>
    </row>
    <row r="544" spans="2:57" ht="12" customHeight="1">
      <c r="B544" s="348"/>
      <c r="C544" s="348"/>
      <c r="D544" s="336"/>
      <c r="X544" s="544"/>
      <c r="Y544" s="544"/>
      <c r="Z544" s="544"/>
      <c r="AA544" s="544"/>
      <c r="AB544" s="544"/>
      <c r="AC544" s="544"/>
      <c r="AD544" s="544"/>
      <c r="AE544" s="544"/>
      <c r="AF544" s="544"/>
      <c r="AG544" s="348"/>
      <c r="AH544" s="348"/>
      <c r="AI544" s="348"/>
      <c r="AJ544" s="348"/>
      <c r="AK544" s="348"/>
      <c r="AL544" s="348"/>
      <c r="AM544" s="348"/>
      <c r="AN544" s="348"/>
      <c r="AO544" s="348"/>
      <c r="AP544" s="348"/>
      <c r="AQ544" s="348"/>
      <c r="AR544" s="348"/>
      <c r="AS544" s="348"/>
      <c r="AT544" s="348"/>
      <c r="AU544" s="348"/>
      <c r="BC544" s="348"/>
      <c r="BD544" s="340"/>
      <c r="BE544" s="340"/>
    </row>
    <row r="545" spans="2:57" ht="12" customHeight="1">
      <c r="B545" s="348"/>
      <c r="C545" s="348"/>
      <c r="D545" s="336"/>
      <c r="X545" s="544"/>
      <c r="Y545" s="544"/>
      <c r="Z545" s="544"/>
      <c r="AA545" s="544"/>
      <c r="AB545" s="544"/>
      <c r="AC545" s="544"/>
      <c r="AD545" s="544"/>
      <c r="AE545" s="544"/>
      <c r="AF545" s="544"/>
      <c r="AG545" s="348"/>
      <c r="AH545" s="348"/>
      <c r="AI545" s="348"/>
      <c r="AJ545" s="348"/>
      <c r="AK545" s="348"/>
      <c r="AL545" s="348"/>
      <c r="AM545" s="348"/>
      <c r="AN545" s="348"/>
      <c r="AO545" s="348"/>
      <c r="AP545" s="348"/>
      <c r="AQ545" s="348"/>
      <c r="AR545" s="348"/>
      <c r="AS545" s="348"/>
      <c r="AT545" s="348"/>
      <c r="AU545" s="348"/>
      <c r="BC545" s="348"/>
      <c r="BD545" s="340"/>
      <c r="BE545" s="340"/>
    </row>
    <row r="546" spans="2:57" ht="12" customHeight="1">
      <c r="B546" s="348"/>
      <c r="C546" s="348"/>
      <c r="D546" s="336"/>
      <c r="X546" s="544"/>
      <c r="Y546" s="544"/>
      <c r="Z546" s="544"/>
      <c r="AA546" s="544"/>
      <c r="AB546" s="544"/>
      <c r="AC546" s="544"/>
      <c r="AD546" s="544"/>
      <c r="AE546" s="544"/>
      <c r="AF546" s="544"/>
      <c r="AG546" s="348"/>
      <c r="AH546" s="348"/>
      <c r="AI546" s="348"/>
      <c r="AJ546" s="348"/>
      <c r="AK546" s="348"/>
      <c r="AL546" s="348"/>
      <c r="AM546" s="348"/>
      <c r="AN546" s="348"/>
      <c r="AO546" s="348"/>
      <c r="AP546" s="348"/>
      <c r="AQ546" s="348"/>
      <c r="AR546" s="348"/>
      <c r="AS546" s="348"/>
      <c r="AT546" s="348"/>
      <c r="AU546" s="348"/>
      <c r="BC546" s="348"/>
      <c r="BD546" s="340"/>
      <c r="BE546" s="340"/>
    </row>
    <row r="547" spans="2:57" ht="12" customHeight="1">
      <c r="B547" s="348"/>
      <c r="C547" s="348"/>
      <c r="D547" s="336"/>
      <c r="X547" s="544"/>
      <c r="Y547" s="544"/>
      <c r="Z547" s="544"/>
      <c r="AA547" s="544"/>
      <c r="AB547" s="544"/>
      <c r="AC547" s="544"/>
      <c r="AD547" s="544"/>
      <c r="AE547" s="544"/>
      <c r="AF547" s="544"/>
      <c r="AG547" s="348"/>
      <c r="AH547" s="348"/>
      <c r="AI547" s="348"/>
      <c r="AJ547" s="348"/>
      <c r="AK547" s="348"/>
      <c r="AL547" s="348"/>
      <c r="AM547" s="348"/>
      <c r="AN547" s="348"/>
      <c r="AO547" s="348"/>
      <c r="AP547" s="348"/>
      <c r="AQ547" s="348"/>
      <c r="AR547" s="348"/>
      <c r="AS547" s="348"/>
      <c r="AT547" s="348"/>
      <c r="AU547" s="348"/>
      <c r="BC547" s="348"/>
      <c r="BD547" s="340"/>
      <c r="BE547" s="340"/>
    </row>
    <row r="548" spans="2:57" ht="12" customHeight="1">
      <c r="B548" s="348"/>
      <c r="C548" s="348"/>
      <c r="D548" s="336"/>
      <c r="X548" s="544"/>
      <c r="Y548" s="544"/>
      <c r="Z548" s="544"/>
      <c r="AA548" s="544"/>
      <c r="AB548" s="544"/>
      <c r="AC548" s="544"/>
      <c r="AD548" s="544"/>
      <c r="AE548" s="544"/>
      <c r="AF548" s="544"/>
      <c r="AG548" s="348"/>
      <c r="AH548" s="348"/>
      <c r="AI548" s="348"/>
      <c r="AJ548" s="348"/>
      <c r="AK548" s="348"/>
      <c r="AL548" s="348"/>
      <c r="AM548" s="348"/>
      <c r="AN548" s="348"/>
      <c r="AO548" s="348"/>
      <c r="AP548" s="348"/>
      <c r="AQ548" s="348"/>
      <c r="AR548" s="348"/>
      <c r="AS548" s="348"/>
      <c r="AT548" s="348"/>
      <c r="AU548" s="348"/>
      <c r="BC548" s="348"/>
      <c r="BD548" s="340"/>
      <c r="BE548" s="340"/>
    </row>
    <row r="549" spans="2:57" ht="12" customHeight="1">
      <c r="B549" s="348"/>
      <c r="C549" s="348"/>
      <c r="D549" s="336"/>
      <c r="X549" s="544"/>
      <c r="Y549" s="544"/>
      <c r="Z549" s="544"/>
      <c r="AA549" s="544"/>
      <c r="AB549" s="544"/>
      <c r="AC549" s="544"/>
      <c r="AD549" s="544"/>
      <c r="AE549" s="544"/>
      <c r="AF549" s="544"/>
      <c r="AG549" s="348"/>
      <c r="AH549" s="348"/>
      <c r="AI549" s="348"/>
      <c r="AJ549" s="348"/>
      <c r="AK549" s="348"/>
      <c r="AL549" s="348"/>
      <c r="AM549" s="348"/>
      <c r="AN549" s="348"/>
      <c r="AO549" s="348"/>
      <c r="AP549" s="348"/>
      <c r="AQ549" s="348"/>
      <c r="AR549" s="348"/>
      <c r="AS549" s="348"/>
      <c r="AT549" s="348"/>
      <c r="AU549" s="348"/>
      <c r="BC549" s="348"/>
      <c r="BD549" s="340"/>
      <c r="BE549" s="340"/>
    </row>
    <row r="550" spans="2:57" ht="12" customHeight="1">
      <c r="B550" s="348"/>
      <c r="C550" s="348"/>
      <c r="D550" s="336"/>
      <c r="X550" s="544"/>
      <c r="Y550" s="544"/>
      <c r="Z550" s="544"/>
      <c r="AA550" s="544"/>
      <c r="AB550" s="544"/>
      <c r="AC550" s="544"/>
      <c r="AD550" s="544"/>
      <c r="AE550" s="544"/>
      <c r="AF550" s="544"/>
      <c r="AG550" s="348"/>
      <c r="AH550" s="348"/>
      <c r="AI550" s="348"/>
      <c r="AJ550" s="348"/>
      <c r="AK550" s="348"/>
      <c r="AL550" s="348"/>
      <c r="AM550" s="348"/>
      <c r="AN550" s="348"/>
      <c r="AO550" s="348"/>
      <c r="AP550" s="348"/>
      <c r="AQ550" s="348"/>
      <c r="AR550" s="348"/>
      <c r="AS550" s="348"/>
      <c r="AT550" s="348"/>
      <c r="AU550" s="348"/>
      <c r="BC550" s="348"/>
      <c r="BD550" s="340"/>
      <c r="BE550" s="340"/>
    </row>
    <row r="551" spans="2:57" ht="12" customHeight="1">
      <c r="B551" s="348"/>
      <c r="C551" s="348"/>
      <c r="D551" s="336"/>
      <c r="X551" s="544"/>
      <c r="Y551" s="544"/>
      <c r="Z551" s="544"/>
      <c r="AA551" s="544"/>
      <c r="AB551" s="544"/>
      <c r="AC551" s="544"/>
      <c r="AD551" s="544"/>
      <c r="AE551" s="544"/>
      <c r="AF551" s="544"/>
      <c r="AG551" s="348"/>
      <c r="AH551" s="348"/>
      <c r="AI551" s="348"/>
      <c r="AJ551" s="348"/>
      <c r="AK551" s="348"/>
      <c r="AL551" s="348"/>
      <c r="AM551" s="348"/>
      <c r="AN551" s="348"/>
      <c r="AO551" s="348"/>
      <c r="AP551" s="348"/>
      <c r="AQ551" s="348"/>
      <c r="AR551" s="348"/>
      <c r="AS551" s="348"/>
      <c r="AT551" s="348"/>
      <c r="AU551" s="348"/>
      <c r="BC551" s="348"/>
      <c r="BD551" s="340"/>
      <c r="BE551" s="340"/>
    </row>
    <row r="552" spans="2:57" ht="12" customHeight="1">
      <c r="B552" s="348"/>
      <c r="C552" s="348"/>
      <c r="D552" s="336"/>
      <c r="X552" s="544"/>
      <c r="Y552" s="544"/>
      <c r="Z552" s="544"/>
      <c r="AA552" s="544"/>
      <c r="AB552" s="544"/>
      <c r="AC552" s="544"/>
      <c r="AD552" s="544"/>
      <c r="AE552" s="544"/>
      <c r="AF552" s="544"/>
      <c r="AG552" s="348"/>
      <c r="AH552" s="348"/>
      <c r="AI552" s="348"/>
      <c r="AJ552" s="348"/>
      <c r="AK552" s="348"/>
      <c r="AL552" s="348"/>
      <c r="AM552" s="348"/>
      <c r="AN552" s="348"/>
      <c r="AO552" s="348"/>
      <c r="AP552" s="348"/>
      <c r="AQ552" s="348"/>
      <c r="AR552" s="348"/>
      <c r="AS552" s="348"/>
      <c r="AT552" s="348"/>
      <c r="AU552" s="348"/>
      <c r="BC552" s="348"/>
      <c r="BD552" s="340"/>
      <c r="BE552" s="340"/>
    </row>
    <row r="553" spans="2:57" ht="12" customHeight="1">
      <c r="B553" s="348"/>
      <c r="C553" s="348"/>
      <c r="D553" s="336"/>
      <c r="X553" s="544"/>
      <c r="Y553" s="544"/>
      <c r="Z553" s="544"/>
      <c r="AA553" s="544"/>
      <c r="AB553" s="544"/>
      <c r="AC553" s="544"/>
      <c r="AD553" s="544"/>
      <c r="AE553" s="544"/>
      <c r="AF553" s="544"/>
      <c r="AG553" s="348"/>
      <c r="AH553" s="348"/>
      <c r="AI553" s="348"/>
      <c r="AJ553" s="348"/>
      <c r="AK553" s="348"/>
      <c r="AL553" s="348"/>
      <c r="AM553" s="348"/>
      <c r="AN553" s="348"/>
      <c r="AO553" s="348"/>
      <c r="AP553" s="348"/>
      <c r="AQ553" s="348"/>
      <c r="AR553" s="348"/>
      <c r="AS553" s="348"/>
      <c r="AT553" s="348"/>
      <c r="AU553" s="348"/>
      <c r="BC553" s="348"/>
      <c r="BD553" s="340"/>
      <c r="BE553" s="340"/>
    </row>
    <row r="554" spans="2:57" ht="12" customHeight="1">
      <c r="B554" s="348"/>
      <c r="C554" s="348"/>
      <c r="D554" s="336"/>
      <c r="X554" s="544"/>
      <c r="Y554" s="544"/>
      <c r="Z554" s="544"/>
      <c r="AA554" s="544"/>
      <c r="AB554" s="544"/>
      <c r="AC554" s="544"/>
      <c r="AD554" s="544"/>
      <c r="AE554" s="544"/>
      <c r="AF554" s="544"/>
      <c r="AG554" s="348"/>
      <c r="AH554" s="348"/>
      <c r="AI554" s="348"/>
      <c r="AJ554" s="348"/>
      <c r="AK554" s="348"/>
      <c r="AL554" s="348"/>
      <c r="AM554" s="348"/>
      <c r="AN554" s="348"/>
      <c r="AO554" s="348"/>
      <c r="AP554" s="348"/>
      <c r="AQ554" s="348"/>
      <c r="AR554" s="348"/>
      <c r="AS554" s="348"/>
      <c r="AT554" s="348"/>
      <c r="AU554" s="348"/>
      <c r="BC554" s="348"/>
      <c r="BD554" s="340"/>
      <c r="BE554" s="340"/>
    </row>
    <row r="555" spans="2:57" ht="12" customHeight="1">
      <c r="B555" s="348"/>
      <c r="C555" s="348"/>
      <c r="D555" s="336"/>
      <c r="X555" s="544"/>
      <c r="Y555" s="544"/>
      <c r="Z555" s="544"/>
      <c r="AA555" s="544"/>
      <c r="AB555" s="544"/>
      <c r="AC555" s="544"/>
      <c r="AD555" s="544"/>
      <c r="AE555" s="544"/>
      <c r="AF555" s="544"/>
      <c r="AG555" s="348"/>
      <c r="AH555" s="348"/>
      <c r="AI555" s="348"/>
      <c r="AJ555" s="348"/>
      <c r="AK555" s="348"/>
      <c r="AL555" s="348"/>
      <c r="AM555" s="348"/>
      <c r="AN555" s="348"/>
      <c r="AO555" s="348"/>
      <c r="AP555" s="348"/>
      <c r="AQ555" s="348"/>
      <c r="AR555" s="348"/>
      <c r="AS555" s="348"/>
      <c r="AT555" s="348"/>
      <c r="AU555" s="348"/>
      <c r="BC555" s="348"/>
      <c r="BD555" s="340"/>
      <c r="BE555" s="340"/>
    </row>
    <row r="556" spans="2:57" ht="12" customHeight="1">
      <c r="B556" s="348"/>
      <c r="C556" s="348"/>
      <c r="D556" s="336"/>
      <c r="X556" s="544"/>
      <c r="Y556" s="544"/>
      <c r="Z556" s="544"/>
      <c r="AA556" s="544"/>
      <c r="AB556" s="544"/>
      <c r="AC556" s="544"/>
      <c r="AD556" s="544"/>
      <c r="AE556" s="544"/>
      <c r="AF556" s="544"/>
      <c r="AG556" s="348"/>
      <c r="AH556" s="348"/>
      <c r="AI556" s="348"/>
      <c r="AJ556" s="348"/>
      <c r="AK556" s="348"/>
      <c r="AL556" s="348"/>
      <c r="AM556" s="348"/>
      <c r="AN556" s="348"/>
      <c r="AO556" s="348"/>
      <c r="AP556" s="348"/>
      <c r="AQ556" s="348"/>
      <c r="AR556" s="348"/>
      <c r="AS556" s="348"/>
      <c r="AT556" s="348"/>
      <c r="AU556" s="348"/>
      <c r="BC556" s="348"/>
      <c r="BD556" s="340"/>
      <c r="BE556" s="340"/>
    </row>
    <row r="557" spans="2:57" ht="12" customHeight="1">
      <c r="B557" s="348"/>
      <c r="C557" s="348"/>
      <c r="D557" s="336"/>
      <c r="X557" s="544"/>
      <c r="Y557" s="544"/>
      <c r="Z557" s="544"/>
      <c r="AA557" s="544"/>
      <c r="AB557" s="544"/>
      <c r="AC557" s="544"/>
      <c r="AD557" s="544"/>
      <c r="AE557" s="544"/>
      <c r="AF557" s="544"/>
      <c r="AG557" s="348"/>
      <c r="AH557" s="348"/>
      <c r="AI557" s="348"/>
      <c r="AJ557" s="348"/>
      <c r="AK557" s="348"/>
      <c r="AL557" s="348"/>
      <c r="AM557" s="348"/>
      <c r="AN557" s="348"/>
      <c r="AO557" s="348"/>
      <c r="AP557" s="348"/>
      <c r="AQ557" s="348"/>
      <c r="AR557" s="348"/>
      <c r="AS557" s="348"/>
      <c r="AT557" s="348"/>
      <c r="AU557" s="348"/>
      <c r="BC557" s="348"/>
      <c r="BD557" s="340"/>
      <c r="BE557" s="340"/>
    </row>
    <row r="558" spans="2:57" ht="12" customHeight="1">
      <c r="B558" s="348"/>
      <c r="C558" s="348"/>
      <c r="D558" s="336"/>
      <c r="X558" s="544"/>
      <c r="Y558" s="544"/>
      <c r="Z558" s="544"/>
      <c r="AA558" s="544"/>
      <c r="AB558" s="544"/>
      <c r="AC558" s="544"/>
      <c r="AD558" s="544"/>
      <c r="AE558" s="544"/>
      <c r="AF558" s="544"/>
      <c r="AG558" s="348"/>
      <c r="AH558" s="348"/>
      <c r="AI558" s="348"/>
      <c r="AJ558" s="348"/>
      <c r="AK558" s="348"/>
      <c r="AL558" s="348"/>
      <c r="AM558" s="348"/>
      <c r="AN558" s="348"/>
      <c r="AO558" s="348"/>
      <c r="AP558" s="348"/>
      <c r="AQ558" s="348"/>
      <c r="AR558" s="348"/>
      <c r="AS558" s="348"/>
      <c r="AT558" s="348"/>
      <c r="AU558" s="348"/>
      <c r="BC558" s="348"/>
      <c r="BD558" s="340"/>
      <c r="BE558" s="340"/>
    </row>
    <row r="559" spans="2:57" ht="12" customHeight="1">
      <c r="B559" s="348"/>
      <c r="C559" s="348"/>
      <c r="D559" s="336"/>
      <c r="X559" s="544"/>
      <c r="Y559" s="544"/>
      <c r="Z559" s="544"/>
      <c r="AA559" s="544"/>
      <c r="AB559" s="544"/>
      <c r="AC559" s="544"/>
      <c r="AD559" s="544"/>
      <c r="AE559" s="544"/>
      <c r="AF559" s="544"/>
      <c r="AG559" s="348"/>
      <c r="AH559" s="348"/>
      <c r="AI559" s="348"/>
      <c r="AJ559" s="348"/>
      <c r="AK559" s="348"/>
      <c r="AL559" s="348"/>
      <c r="AM559" s="348"/>
      <c r="AN559" s="348"/>
      <c r="AO559" s="348"/>
      <c r="AP559" s="348"/>
      <c r="AQ559" s="348"/>
      <c r="AR559" s="348"/>
      <c r="AS559" s="348"/>
      <c r="AT559" s="348"/>
      <c r="AU559" s="348"/>
      <c r="BC559" s="348"/>
      <c r="BD559" s="340"/>
      <c r="BE559" s="340"/>
    </row>
    <row r="560" spans="2:57" ht="12" customHeight="1">
      <c r="B560" s="348"/>
      <c r="C560" s="348"/>
      <c r="D560" s="336"/>
      <c r="X560" s="544"/>
      <c r="Y560" s="544"/>
      <c r="Z560" s="544"/>
      <c r="AA560" s="544"/>
      <c r="AB560" s="544"/>
      <c r="AC560" s="544"/>
      <c r="AD560" s="544"/>
      <c r="AE560" s="544"/>
      <c r="AF560" s="544"/>
      <c r="AG560" s="348"/>
      <c r="AH560" s="348"/>
      <c r="AI560" s="348"/>
      <c r="AJ560" s="348"/>
      <c r="AK560" s="348"/>
      <c r="AL560" s="348"/>
      <c r="AM560" s="348"/>
      <c r="AN560" s="348"/>
      <c r="AO560" s="348"/>
      <c r="AP560" s="348"/>
      <c r="AQ560" s="348"/>
      <c r="AR560" s="348"/>
      <c r="AS560" s="348"/>
      <c r="AT560" s="348"/>
      <c r="AU560" s="348"/>
      <c r="BC560" s="348"/>
      <c r="BD560" s="340"/>
      <c r="BE560" s="340"/>
    </row>
    <row r="561" spans="2:57" ht="12" customHeight="1">
      <c r="B561" s="348"/>
      <c r="C561" s="348"/>
      <c r="D561" s="336"/>
      <c r="X561" s="544"/>
      <c r="Y561" s="544"/>
      <c r="Z561" s="544"/>
      <c r="AA561" s="544"/>
      <c r="AB561" s="544"/>
      <c r="AC561" s="544"/>
      <c r="AD561" s="544"/>
      <c r="AE561" s="544"/>
      <c r="AF561" s="544"/>
      <c r="AG561" s="348"/>
      <c r="AH561" s="348"/>
      <c r="AI561" s="348"/>
      <c r="AJ561" s="348"/>
      <c r="AK561" s="348"/>
      <c r="AL561" s="348"/>
      <c r="AM561" s="348"/>
      <c r="AN561" s="348"/>
      <c r="AO561" s="348"/>
      <c r="AP561" s="348"/>
      <c r="AQ561" s="348"/>
      <c r="AR561" s="348"/>
      <c r="AS561" s="348"/>
      <c r="AT561" s="348"/>
      <c r="AU561" s="348"/>
      <c r="BC561" s="348"/>
      <c r="BD561" s="340"/>
      <c r="BE561" s="340"/>
    </row>
    <row r="562" spans="2:57" ht="12" customHeight="1">
      <c r="B562" s="348"/>
      <c r="C562" s="348"/>
      <c r="D562" s="336"/>
      <c r="X562" s="544"/>
      <c r="Y562" s="544"/>
      <c r="Z562" s="544"/>
      <c r="AA562" s="544"/>
      <c r="AB562" s="544"/>
      <c r="AC562" s="544"/>
      <c r="AD562" s="544"/>
      <c r="AE562" s="544"/>
      <c r="AF562" s="544"/>
      <c r="AG562" s="348"/>
      <c r="AH562" s="348"/>
      <c r="AI562" s="348"/>
      <c r="AJ562" s="348"/>
      <c r="AK562" s="348"/>
      <c r="AL562" s="348"/>
      <c r="AM562" s="348"/>
      <c r="AN562" s="348"/>
      <c r="AO562" s="348"/>
      <c r="AP562" s="348"/>
      <c r="AQ562" s="348"/>
      <c r="AR562" s="348"/>
      <c r="AS562" s="348"/>
      <c r="AT562" s="348"/>
      <c r="AU562" s="348"/>
      <c r="BC562" s="348"/>
      <c r="BD562" s="340"/>
      <c r="BE562" s="340"/>
    </row>
    <row r="563" spans="2:57" ht="12" customHeight="1">
      <c r="B563" s="348"/>
      <c r="C563" s="348"/>
      <c r="D563" s="336"/>
      <c r="X563" s="544"/>
      <c r="Y563" s="544"/>
      <c r="Z563" s="544"/>
      <c r="AA563" s="544"/>
      <c r="AB563" s="544"/>
      <c r="AC563" s="544"/>
      <c r="AD563" s="544"/>
      <c r="AE563" s="544"/>
      <c r="AF563" s="544"/>
      <c r="AG563" s="348"/>
      <c r="AH563" s="348"/>
      <c r="AI563" s="348"/>
      <c r="AJ563" s="348"/>
      <c r="AK563" s="348"/>
      <c r="AL563" s="348"/>
      <c r="AM563" s="348"/>
      <c r="AN563" s="348"/>
      <c r="AO563" s="348"/>
      <c r="AP563" s="348"/>
      <c r="AQ563" s="348"/>
      <c r="AR563" s="348"/>
      <c r="AS563" s="348"/>
      <c r="AT563" s="348"/>
      <c r="AU563" s="348"/>
      <c r="BC563" s="348"/>
      <c r="BD563" s="340"/>
      <c r="BE563" s="340"/>
    </row>
    <row r="564" spans="2:57" ht="12" customHeight="1">
      <c r="B564" s="348"/>
      <c r="C564" s="348"/>
      <c r="D564" s="336"/>
      <c r="X564" s="544"/>
      <c r="Y564" s="544"/>
      <c r="Z564" s="544"/>
      <c r="AA564" s="544"/>
      <c r="AB564" s="544"/>
      <c r="AC564" s="544"/>
      <c r="AD564" s="544"/>
      <c r="AE564" s="544"/>
      <c r="AF564" s="544"/>
      <c r="AG564" s="348"/>
      <c r="AH564" s="348"/>
      <c r="AI564" s="348"/>
      <c r="AJ564" s="348"/>
      <c r="AK564" s="348"/>
      <c r="AL564" s="348"/>
      <c r="AM564" s="348"/>
      <c r="AN564" s="348"/>
      <c r="AO564" s="348"/>
      <c r="AP564" s="348"/>
      <c r="AQ564" s="348"/>
      <c r="AR564" s="348"/>
      <c r="AS564" s="348"/>
      <c r="AT564" s="348"/>
      <c r="AU564" s="348"/>
      <c r="BC564" s="348"/>
      <c r="BD564" s="340"/>
      <c r="BE564" s="340"/>
    </row>
    <row r="565" spans="2:57" ht="12" customHeight="1">
      <c r="B565" s="348"/>
      <c r="C565" s="348"/>
      <c r="D565" s="336"/>
      <c r="X565" s="544"/>
      <c r="Y565" s="544"/>
      <c r="Z565" s="544"/>
      <c r="AA565" s="544"/>
      <c r="AB565" s="544"/>
      <c r="AC565" s="544"/>
      <c r="AD565" s="544"/>
      <c r="AE565" s="544"/>
      <c r="AF565" s="544"/>
      <c r="AG565" s="348"/>
      <c r="AH565" s="348"/>
      <c r="AI565" s="348"/>
      <c r="AJ565" s="348"/>
      <c r="AK565" s="348"/>
      <c r="AL565" s="348"/>
      <c r="AM565" s="348"/>
      <c r="AN565" s="348"/>
      <c r="AO565" s="348"/>
      <c r="AP565" s="348"/>
      <c r="AQ565" s="348"/>
      <c r="AR565" s="348"/>
      <c r="AS565" s="348"/>
      <c r="AT565" s="348"/>
      <c r="AU565" s="348"/>
      <c r="BC565" s="348"/>
      <c r="BD565" s="340"/>
      <c r="BE565" s="340"/>
    </row>
    <row r="566" spans="2:57" ht="12" customHeight="1">
      <c r="B566" s="348"/>
      <c r="C566" s="348"/>
      <c r="D566" s="336"/>
      <c r="X566" s="544"/>
      <c r="Y566" s="544"/>
      <c r="Z566" s="544"/>
      <c r="AA566" s="544"/>
      <c r="AB566" s="544"/>
      <c r="AC566" s="544"/>
      <c r="AD566" s="544"/>
      <c r="AE566" s="544"/>
      <c r="AF566" s="544"/>
      <c r="AG566" s="348"/>
      <c r="AH566" s="348"/>
      <c r="AI566" s="348"/>
      <c r="AJ566" s="348"/>
      <c r="AK566" s="348"/>
      <c r="AL566" s="348"/>
      <c r="AM566" s="348"/>
      <c r="AN566" s="348"/>
      <c r="AO566" s="348"/>
      <c r="AP566" s="348"/>
      <c r="AQ566" s="348"/>
      <c r="AR566" s="348"/>
      <c r="AS566" s="348"/>
      <c r="AT566" s="348"/>
      <c r="AU566" s="348"/>
      <c r="BC566" s="348"/>
      <c r="BD566" s="340"/>
      <c r="BE566" s="340"/>
    </row>
    <row r="567" spans="2:57" ht="12" customHeight="1">
      <c r="B567" s="348"/>
      <c r="C567" s="348"/>
      <c r="D567" s="336"/>
      <c r="X567" s="544"/>
      <c r="Y567" s="544"/>
      <c r="Z567" s="544"/>
      <c r="AA567" s="544"/>
      <c r="AB567" s="544"/>
      <c r="AC567" s="544"/>
      <c r="AD567" s="544"/>
      <c r="AE567" s="544"/>
      <c r="AF567" s="544"/>
      <c r="AG567" s="348"/>
      <c r="AH567" s="348"/>
      <c r="AI567" s="348"/>
      <c r="AJ567" s="348"/>
      <c r="AK567" s="348"/>
      <c r="AL567" s="348"/>
      <c r="AM567" s="348"/>
      <c r="AN567" s="348"/>
      <c r="AO567" s="348"/>
      <c r="AP567" s="348"/>
      <c r="AQ567" s="348"/>
      <c r="AR567" s="348"/>
      <c r="AS567" s="348"/>
      <c r="AT567" s="348"/>
      <c r="AU567" s="348"/>
      <c r="BC567" s="348"/>
      <c r="BD567" s="340"/>
      <c r="BE567" s="340"/>
    </row>
    <row r="568" spans="2:57" ht="12" customHeight="1">
      <c r="B568" s="348"/>
      <c r="C568" s="348"/>
      <c r="D568" s="336"/>
      <c r="X568" s="544"/>
      <c r="Y568" s="544"/>
      <c r="Z568" s="544"/>
      <c r="AA568" s="544"/>
      <c r="AB568" s="544"/>
      <c r="AC568" s="544"/>
      <c r="AD568" s="544"/>
      <c r="AE568" s="544"/>
      <c r="AF568" s="544"/>
      <c r="AG568" s="348"/>
      <c r="AH568" s="348"/>
      <c r="AI568" s="348"/>
      <c r="AJ568" s="348"/>
      <c r="AK568" s="348"/>
      <c r="AL568" s="348"/>
      <c r="AM568" s="348"/>
      <c r="AN568" s="348"/>
      <c r="AO568" s="348"/>
      <c r="AP568" s="348"/>
      <c r="AQ568" s="348"/>
      <c r="AR568" s="348"/>
      <c r="AS568" s="348"/>
      <c r="AT568" s="348"/>
      <c r="AU568" s="348"/>
      <c r="BC568" s="348"/>
      <c r="BD568" s="340"/>
      <c r="BE568" s="340"/>
    </row>
    <row r="569" spans="2:57" ht="12" customHeight="1">
      <c r="B569" s="348"/>
      <c r="C569" s="348"/>
      <c r="D569" s="336"/>
      <c r="X569" s="544"/>
      <c r="Y569" s="544"/>
      <c r="Z569" s="544"/>
      <c r="AA569" s="544"/>
      <c r="AB569" s="544"/>
      <c r="AC569" s="544"/>
      <c r="AD569" s="544"/>
      <c r="AE569" s="544"/>
      <c r="AF569" s="544"/>
      <c r="AG569" s="348"/>
      <c r="AH569" s="348"/>
      <c r="AI569" s="348"/>
      <c r="AJ569" s="348"/>
      <c r="AK569" s="348"/>
      <c r="AL569" s="348"/>
      <c r="AM569" s="348"/>
      <c r="AN569" s="348"/>
      <c r="AO569" s="348"/>
      <c r="AP569" s="348"/>
      <c r="AQ569" s="348"/>
      <c r="AR569" s="348"/>
      <c r="AS569" s="348"/>
      <c r="AT569" s="348"/>
      <c r="AU569" s="348"/>
      <c r="BC569" s="348"/>
      <c r="BD569" s="340"/>
      <c r="BE569" s="340"/>
    </row>
    <row r="570" spans="2:57" ht="12" customHeight="1">
      <c r="B570" s="348"/>
      <c r="C570" s="348"/>
      <c r="D570" s="336"/>
      <c r="X570" s="544"/>
      <c r="Y570" s="544"/>
      <c r="Z570" s="544"/>
      <c r="AA570" s="544"/>
      <c r="AB570" s="544"/>
      <c r="AC570" s="544"/>
      <c r="AD570" s="544"/>
      <c r="AE570" s="544"/>
      <c r="AF570" s="544"/>
      <c r="AG570" s="348"/>
      <c r="AH570" s="348"/>
      <c r="AI570" s="348"/>
      <c r="AJ570" s="348"/>
      <c r="AK570" s="348"/>
      <c r="AL570" s="348"/>
      <c r="AM570" s="348"/>
      <c r="AN570" s="348"/>
      <c r="AO570" s="348"/>
      <c r="AP570" s="348"/>
      <c r="AQ570" s="348"/>
      <c r="AR570" s="348"/>
      <c r="AS570" s="348"/>
      <c r="AT570" s="348"/>
      <c r="AU570" s="348"/>
      <c r="BC570" s="348"/>
      <c r="BD570" s="340"/>
      <c r="BE570" s="340"/>
    </row>
    <row r="571" spans="2:57" ht="12" customHeight="1">
      <c r="B571" s="348"/>
      <c r="C571" s="348"/>
      <c r="D571" s="336"/>
      <c r="X571" s="544"/>
      <c r="Y571" s="544"/>
      <c r="Z571" s="544"/>
      <c r="AA571" s="544"/>
      <c r="AB571" s="544"/>
      <c r="AC571" s="544"/>
      <c r="AD571" s="544"/>
      <c r="AE571" s="544"/>
      <c r="AF571" s="544"/>
      <c r="AG571" s="348"/>
      <c r="AH571" s="348"/>
      <c r="AI571" s="348"/>
      <c r="AJ571" s="348"/>
      <c r="AK571" s="348"/>
      <c r="AL571" s="348"/>
      <c r="AM571" s="348"/>
      <c r="AN571" s="348"/>
      <c r="AO571" s="348"/>
      <c r="AP571" s="348"/>
      <c r="AQ571" s="348"/>
      <c r="AR571" s="348"/>
      <c r="AS571" s="348"/>
      <c r="AT571" s="348"/>
      <c r="AU571" s="348"/>
      <c r="BC571" s="348"/>
      <c r="BD571" s="340"/>
      <c r="BE571" s="340"/>
    </row>
    <row r="572" spans="2:57" ht="12" customHeight="1">
      <c r="B572" s="348"/>
      <c r="C572" s="348"/>
      <c r="D572" s="336"/>
      <c r="X572" s="544"/>
      <c r="Y572" s="544"/>
      <c r="Z572" s="544"/>
      <c r="AA572" s="544"/>
      <c r="AB572" s="544"/>
      <c r="AC572" s="544"/>
      <c r="AD572" s="544"/>
      <c r="AE572" s="544"/>
      <c r="AF572" s="544"/>
      <c r="AG572" s="348"/>
      <c r="AH572" s="348"/>
      <c r="AI572" s="348"/>
      <c r="AJ572" s="348"/>
      <c r="AK572" s="348"/>
      <c r="AL572" s="348"/>
      <c r="AM572" s="348"/>
      <c r="AN572" s="348"/>
      <c r="AO572" s="348"/>
      <c r="AP572" s="348"/>
      <c r="AQ572" s="348"/>
      <c r="AR572" s="348"/>
      <c r="AS572" s="348"/>
      <c r="AT572" s="348"/>
      <c r="AU572" s="348"/>
      <c r="BC572" s="348"/>
      <c r="BD572" s="340"/>
      <c r="BE572" s="340"/>
    </row>
    <row r="573" spans="2:57" ht="12" customHeight="1">
      <c r="B573" s="348"/>
      <c r="C573" s="348"/>
      <c r="D573" s="336"/>
      <c r="X573" s="544"/>
      <c r="Y573" s="544"/>
      <c r="Z573" s="544"/>
      <c r="AA573" s="544"/>
      <c r="AB573" s="544"/>
      <c r="AC573" s="544"/>
      <c r="AD573" s="544"/>
      <c r="AE573" s="544"/>
      <c r="AF573" s="544"/>
      <c r="AG573" s="348"/>
      <c r="AH573" s="348"/>
      <c r="AI573" s="348"/>
      <c r="AJ573" s="348"/>
      <c r="AK573" s="348"/>
      <c r="AL573" s="348"/>
      <c r="AM573" s="348"/>
      <c r="AN573" s="348"/>
      <c r="AO573" s="348"/>
      <c r="AP573" s="348"/>
      <c r="AQ573" s="348"/>
      <c r="AR573" s="348"/>
      <c r="AS573" s="348"/>
      <c r="AT573" s="348"/>
      <c r="AU573" s="348"/>
      <c r="BC573" s="348"/>
      <c r="BD573" s="340"/>
      <c r="BE573" s="340"/>
    </row>
    <row r="574" spans="2:57" ht="12" customHeight="1">
      <c r="B574" s="348"/>
      <c r="C574" s="348"/>
      <c r="D574" s="336"/>
      <c r="X574" s="544"/>
      <c r="Y574" s="544"/>
      <c r="Z574" s="544"/>
      <c r="AA574" s="544"/>
      <c r="AB574" s="544"/>
      <c r="AC574" s="544"/>
      <c r="AD574" s="544"/>
      <c r="AE574" s="544"/>
      <c r="AF574" s="544"/>
      <c r="AG574" s="348"/>
      <c r="AH574" s="348"/>
      <c r="AI574" s="348"/>
      <c r="AJ574" s="348"/>
      <c r="AK574" s="348"/>
      <c r="AL574" s="348"/>
      <c r="AM574" s="348"/>
      <c r="AN574" s="348"/>
      <c r="AO574" s="348"/>
      <c r="AP574" s="348"/>
      <c r="AQ574" s="348"/>
      <c r="AR574" s="348"/>
      <c r="AS574" s="348"/>
      <c r="AT574" s="348"/>
      <c r="AU574" s="348"/>
      <c r="BC574" s="348"/>
      <c r="BD574" s="340"/>
      <c r="BE574" s="340"/>
    </row>
    <row r="575" spans="2:57" ht="12" customHeight="1">
      <c r="B575" s="348"/>
      <c r="C575" s="348"/>
      <c r="D575" s="336"/>
      <c r="X575" s="544"/>
      <c r="Y575" s="544"/>
      <c r="Z575" s="544"/>
      <c r="AA575" s="544"/>
      <c r="AB575" s="544"/>
      <c r="AC575" s="544"/>
      <c r="AD575" s="544"/>
      <c r="AE575" s="544"/>
      <c r="AF575" s="544"/>
      <c r="AG575" s="348"/>
      <c r="AH575" s="348"/>
      <c r="AI575" s="348"/>
      <c r="AJ575" s="348"/>
      <c r="AK575" s="348"/>
      <c r="AL575" s="348"/>
      <c r="AM575" s="348"/>
      <c r="AN575" s="348"/>
      <c r="AO575" s="348"/>
      <c r="AP575" s="348"/>
      <c r="AQ575" s="348"/>
      <c r="AR575" s="348"/>
      <c r="AS575" s="348"/>
      <c r="AT575" s="348"/>
      <c r="AU575" s="348"/>
      <c r="BC575" s="348"/>
      <c r="BD575" s="340"/>
      <c r="BE575" s="340"/>
    </row>
    <row r="576" spans="2:57" ht="12" customHeight="1">
      <c r="B576" s="348"/>
      <c r="C576" s="348"/>
      <c r="D576" s="336"/>
      <c r="X576" s="544"/>
      <c r="Y576" s="544"/>
      <c r="Z576" s="544"/>
      <c r="AA576" s="544"/>
      <c r="AB576" s="544"/>
      <c r="AC576" s="544"/>
      <c r="AD576" s="544"/>
      <c r="AE576" s="544"/>
      <c r="AF576" s="544"/>
      <c r="AG576" s="348"/>
      <c r="AH576" s="348"/>
      <c r="AI576" s="348"/>
      <c r="AJ576" s="348"/>
      <c r="AK576" s="348"/>
      <c r="AL576" s="348"/>
      <c r="AM576" s="348"/>
      <c r="AN576" s="348"/>
      <c r="AO576" s="348"/>
      <c r="AP576" s="348"/>
      <c r="AQ576" s="348"/>
      <c r="AR576" s="348"/>
      <c r="AS576" s="348"/>
      <c r="AT576" s="348"/>
      <c r="AU576" s="348"/>
      <c r="BC576" s="348"/>
      <c r="BD576" s="340"/>
      <c r="BE576" s="340"/>
    </row>
    <row r="577" spans="2:57" ht="12" customHeight="1">
      <c r="B577" s="348"/>
      <c r="C577" s="348"/>
      <c r="D577" s="336"/>
      <c r="X577" s="544"/>
      <c r="Y577" s="544"/>
      <c r="Z577" s="544"/>
      <c r="AA577" s="544"/>
      <c r="AB577" s="544"/>
      <c r="AC577" s="544"/>
      <c r="AD577" s="544"/>
      <c r="AE577" s="544"/>
      <c r="AF577" s="544"/>
      <c r="AG577" s="348"/>
      <c r="AH577" s="348"/>
      <c r="AI577" s="348"/>
      <c r="AJ577" s="348"/>
      <c r="AK577" s="348"/>
      <c r="AL577" s="348"/>
      <c r="AM577" s="348"/>
      <c r="AN577" s="348"/>
      <c r="AO577" s="348"/>
      <c r="AP577" s="348"/>
      <c r="AQ577" s="348"/>
      <c r="AR577" s="348"/>
      <c r="AS577" s="348"/>
      <c r="AT577" s="348"/>
      <c r="AU577" s="348"/>
      <c r="BC577" s="348"/>
      <c r="BD577" s="340"/>
      <c r="BE577" s="340"/>
    </row>
    <row r="578" spans="2:57" ht="12" customHeight="1">
      <c r="B578" s="348"/>
      <c r="C578" s="348"/>
      <c r="D578" s="336"/>
      <c r="X578" s="544"/>
      <c r="Y578" s="544"/>
      <c r="Z578" s="544"/>
      <c r="AA578" s="544"/>
      <c r="AB578" s="544"/>
      <c r="AC578" s="544"/>
      <c r="AD578" s="544"/>
      <c r="AE578" s="544"/>
      <c r="AF578" s="544"/>
      <c r="AG578" s="348"/>
      <c r="AH578" s="348"/>
      <c r="AI578" s="348"/>
      <c r="AJ578" s="348"/>
      <c r="AK578" s="348"/>
      <c r="AL578" s="348"/>
      <c r="AM578" s="348"/>
      <c r="AN578" s="348"/>
      <c r="AO578" s="348"/>
      <c r="AP578" s="348"/>
      <c r="AQ578" s="348"/>
      <c r="AR578" s="348"/>
      <c r="AS578" s="348"/>
      <c r="AT578" s="348"/>
      <c r="AU578" s="348"/>
      <c r="BC578" s="348"/>
      <c r="BD578" s="340"/>
      <c r="BE578" s="340"/>
    </row>
    <row r="579" spans="2:57" ht="12" customHeight="1">
      <c r="B579" s="348"/>
      <c r="C579" s="348"/>
      <c r="D579" s="336"/>
      <c r="X579" s="544"/>
      <c r="Y579" s="544"/>
      <c r="Z579" s="544"/>
      <c r="AA579" s="544"/>
      <c r="AB579" s="544"/>
      <c r="AC579" s="544"/>
      <c r="AD579" s="544"/>
      <c r="AE579" s="544"/>
      <c r="AF579" s="544"/>
      <c r="AG579" s="348"/>
      <c r="AH579" s="348"/>
      <c r="AI579" s="348"/>
      <c r="AJ579" s="348"/>
      <c r="AK579" s="348"/>
      <c r="AL579" s="348"/>
      <c r="AM579" s="348"/>
      <c r="AN579" s="348"/>
      <c r="AO579" s="348"/>
      <c r="AP579" s="348"/>
      <c r="AQ579" s="348"/>
      <c r="AR579" s="348"/>
      <c r="AS579" s="348"/>
      <c r="AT579" s="348"/>
      <c r="AU579" s="348"/>
      <c r="BC579" s="348"/>
      <c r="BD579" s="340"/>
      <c r="BE579" s="340"/>
    </row>
    <row r="580" spans="2:57" ht="12" customHeight="1">
      <c r="B580" s="348"/>
      <c r="C580" s="348"/>
      <c r="D580" s="336"/>
      <c r="X580" s="544"/>
      <c r="Y580" s="544"/>
      <c r="Z580" s="544"/>
      <c r="AA580" s="544"/>
      <c r="AB580" s="544"/>
      <c r="AC580" s="544"/>
      <c r="AD580" s="544"/>
      <c r="AE580" s="544"/>
      <c r="AF580" s="544"/>
      <c r="AG580" s="348"/>
      <c r="AH580" s="348"/>
      <c r="AI580" s="348"/>
      <c r="AJ580" s="348"/>
      <c r="AK580" s="348"/>
      <c r="AL580" s="348"/>
      <c r="AM580" s="348"/>
      <c r="AN580" s="348"/>
      <c r="AO580" s="348"/>
      <c r="AP580" s="348"/>
      <c r="AQ580" s="348"/>
      <c r="AR580" s="348"/>
      <c r="AS580" s="348"/>
      <c r="AT580" s="348"/>
      <c r="AU580" s="348"/>
      <c r="BC580" s="348"/>
      <c r="BD580" s="340"/>
      <c r="BE580" s="340"/>
    </row>
    <row r="581" spans="2:57" ht="12" customHeight="1">
      <c r="B581" s="348"/>
      <c r="C581" s="348"/>
      <c r="D581" s="336"/>
      <c r="X581" s="544"/>
      <c r="Y581" s="544"/>
      <c r="Z581" s="544"/>
      <c r="AA581" s="544"/>
      <c r="AB581" s="544"/>
      <c r="AC581" s="544"/>
      <c r="AD581" s="544"/>
      <c r="AE581" s="544"/>
      <c r="AF581" s="544"/>
      <c r="AG581" s="348"/>
      <c r="AH581" s="348"/>
      <c r="AI581" s="348"/>
      <c r="AJ581" s="348"/>
      <c r="AK581" s="348"/>
      <c r="AL581" s="348"/>
      <c r="AM581" s="348"/>
      <c r="AN581" s="348"/>
      <c r="AO581" s="348"/>
      <c r="AP581" s="348"/>
      <c r="AQ581" s="348"/>
      <c r="AR581" s="348"/>
      <c r="AS581" s="348"/>
      <c r="AT581" s="348"/>
      <c r="AU581" s="348"/>
      <c r="BC581" s="348"/>
      <c r="BD581" s="340"/>
      <c r="BE581" s="340"/>
    </row>
    <row r="582" spans="2:57" ht="12" customHeight="1">
      <c r="B582" s="348"/>
      <c r="C582" s="348"/>
      <c r="D582" s="336"/>
      <c r="X582" s="544"/>
      <c r="Y582" s="544"/>
      <c r="Z582" s="544"/>
      <c r="AA582" s="544"/>
      <c r="AB582" s="544"/>
      <c r="AC582" s="544"/>
      <c r="AD582" s="544"/>
      <c r="AE582" s="544"/>
      <c r="AF582" s="544"/>
      <c r="AG582" s="348"/>
      <c r="AH582" s="348"/>
      <c r="AI582" s="348"/>
      <c r="AJ582" s="348"/>
      <c r="AK582" s="348"/>
      <c r="AL582" s="348"/>
      <c r="AM582" s="348"/>
      <c r="AN582" s="348"/>
      <c r="AO582" s="348"/>
      <c r="AP582" s="348"/>
      <c r="AQ582" s="348"/>
      <c r="AR582" s="348"/>
      <c r="AS582" s="348"/>
      <c r="AT582" s="348"/>
      <c r="AU582" s="348"/>
      <c r="BC582" s="348"/>
      <c r="BD582" s="340"/>
      <c r="BE582" s="340"/>
    </row>
    <row r="583" spans="2:57" ht="12" customHeight="1">
      <c r="B583" s="348"/>
      <c r="C583" s="348"/>
      <c r="D583" s="336"/>
      <c r="X583" s="544"/>
      <c r="Y583" s="544"/>
      <c r="Z583" s="544"/>
      <c r="AA583" s="544"/>
      <c r="AB583" s="544"/>
      <c r="AC583" s="544"/>
      <c r="AD583" s="544"/>
      <c r="AE583" s="544"/>
      <c r="AF583" s="544"/>
      <c r="AG583" s="348"/>
      <c r="AH583" s="348"/>
      <c r="AI583" s="348"/>
      <c r="AJ583" s="348"/>
      <c r="AK583" s="348"/>
      <c r="AL583" s="348"/>
      <c r="AM583" s="348"/>
      <c r="AN583" s="348"/>
      <c r="AO583" s="348"/>
      <c r="AP583" s="348"/>
      <c r="AQ583" s="348"/>
      <c r="AR583" s="348"/>
      <c r="AS583" s="348"/>
      <c r="AT583" s="348"/>
      <c r="AU583" s="348"/>
      <c r="BC583" s="348"/>
      <c r="BD583" s="340"/>
      <c r="BE583" s="340"/>
    </row>
    <row r="584" spans="2:57" ht="12" customHeight="1">
      <c r="B584" s="348"/>
      <c r="C584" s="348"/>
      <c r="D584" s="336"/>
      <c r="X584" s="544"/>
      <c r="Y584" s="544"/>
      <c r="Z584" s="544"/>
      <c r="AA584" s="544"/>
      <c r="AB584" s="544"/>
      <c r="AC584" s="544"/>
      <c r="AD584" s="544"/>
      <c r="AE584" s="544"/>
      <c r="AF584" s="544"/>
      <c r="AG584" s="348"/>
      <c r="AH584" s="348"/>
      <c r="AI584" s="348"/>
      <c r="AJ584" s="348"/>
      <c r="AK584" s="348"/>
      <c r="AL584" s="348"/>
      <c r="AM584" s="348"/>
      <c r="AN584" s="348"/>
      <c r="AO584" s="348"/>
      <c r="AP584" s="348"/>
      <c r="AQ584" s="348"/>
      <c r="AR584" s="348"/>
      <c r="AS584" s="348"/>
      <c r="AT584" s="348"/>
      <c r="AU584" s="348"/>
      <c r="BC584" s="348"/>
      <c r="BD584" s="340"/>
      <c r="BE584" s="340"/>
    </row>
    <row r="585" spans="2:57" ht="12" customHeight="1">
      <c r="B585" s="348"/>
      <c r="C585" s="348"/>
      <c r="D585" s="336"/>
      <c r="X585" s="544"/>
      <c r="Y585" s="544"/>
      <c r="Z585" s="544"/>
      <c r="AA585" s="544"/>
      <c r="AB585" s="544"/>
      <c r="AC585" s="544"/>
      <c r="AD585" s="544"/>
      <c r="AE585" s="544"/>
      <c r="AF585" s="544"/>
      <c r="AG585" s="348"/>
      <c r="AH585" s="348"/>
      <c r="AI585" s="348"/>
      <c r="AJ585" s="348"/>
      <c r="AK585" s="348"/>
      <c r="AL585" s="348"/>
      <c r="AM585" s="348"/>
      <c r="AN585" s="348"/>
      <c r="AO585" s="348"/>
      <c r="AP585" s="348"/>
      <c r="AQ585" s="348"/>
      <c r="AR585" s="348"/>
      <c r="AS585" s="348"/>
      <c r="AT585" s="348"/>
      <c r="AU585" s="348"/>
      <c r="BC585" s="348"/>
      <c r="BD585" s="340"/>
      <c r="BE585" s="340"/>
    </row>
    <row r="586" spans="2:57" ht="12" customHeight="1">
      <c r="B586" s="348"/>
      <c r="C586" s="348"/>
      <c r="D586" s="336"/>
      <c r="X586" s="544"/>
      <c r="Y586" s="544"/>
      <c r="Z586" s="544"/>
      <c r="AA586" s="544"/>
      <c r="AB586" s="544"/>
      <c r="AC586" s="544"/>
      <c r="AD586" s="544"/>
      <c r="AE586" s="544"/>
      <c r="AF586" s="544"/>
      <c r="AG586" s="348"/>
      <c r="AH586" s="348"/>
      <c r="AI586" s="348"/>
      <c r="AJ586" s="348"/>
      <c r="AK586" s="348"/>
      <c r="AL586" s="348"/>
      <c r="AM586" s="348"/>
      <c r="AN586" s="348"/>
      <c r="AO586" s="348"/>
      <c r="AP586" s="348"/>
      <c r="AQ586" s="348"/>
      <c r="AR586" s="348"/>
      <c r="AS586" s="348"/>
      <c r="AT586" s="348"/>
      <c r="AU586" s="348"/>
      <c r="BC586" s="348"/>
      <c r="BD586" s="340"/>
      <c r="BE586" s="340"/>
    </row>
    <row r="587" spans="2:57" ht="12" customHeight="1">
      <c r="B587" s="348"/>
      <c r="C587" s="348"/>
      <c r="D587" s="336"/>
      <c r="X587" s="544"/>
      <c r="Y587" s="544"/>
      <c r="Z587" s="544"/>
      <c r="AA587" s="544"/>
      <c r="AB587" s="544"/>
      <c r="AC587" s="544"/>
      <c r="AD587" s="544"/>
      <c r="AE587" s="544"/>
      <c r="AF587" s="544"/>
      <c r="AG587" s="348"/>
      <c r="AH587" s="348"/>
      <c r="AI587" s="348"/>
      <c r="AJ587" s="348"/>
      <c r="AK587" s="348"/>
      <c r="AL587" s="348"/>
      <c r="AM587" s="348"/>
      <c r="AN587" s="348"/>
      <c r="AO587" s="348"/>
      <c r="AP587" s="348"/>
      <c r="AQ587" s="348"/>
      <c r="AR587" s="348"/>
      <c r="AS587" s="348"/>
      <c r="AT587" s="348"/>
      <c r="AU587" s="348"/>
      <c r="BC587" s="348"/>
      <c r="BD587" s="340"/>
      <c r="BE587" s="340"/>
    </row>
    <row r="588" spans="2:57" ht="12" customHeight="1">
      <c r="B588" s="348"/>
      <c r="C588" s="348"/>
      <c r="D588" s="336"/>
      <c r="X588" s="544"/>
      <c r="Y588" s="544"/>
      <c r="Z588" s="544"/>
      <c r="AA588" s="544"/>
      <c r="AB588" s="544"/>
      <c r="AC588" s="544"/>
      <c r="AD588" s="544"/>
      <c r="AE588" s="544"/>
      <c r="AF588" s="544"/>
      <c r="AG588" s="348"/>
      <c r="AH588" s="348"/>
      <c r="AI588" s="348"/>
      <c r="AJ588" s="348"/>
      <c r="AK588" s="348"/>
      <c r="AL588" s="348"/>
      <c r="AM588" s="348"/>
      <c r="AN588" s="348"/>
      <c r="AO588" s="348"/>
      <c r="AP588" s="348"/>
      <c r="AQ588" s="348"/>
      <c r="AR588" s="348"/>
      <c r="AS588" s="348"/>
      <c r="AT588" s="348"/>
      <c r="AU588" s="348"/>
      <c r="BC588" s="348"/>
      <c r="BD588" s="340"/>
      <c r="BE588" s="340"/>
    </row>
    <row r="589" spans="2:57" ht="12" customHeight="1">
      <c r="B589" s="348"/>
      <c r="C589" s="348"/>
      <c r="D589" s="336"/>
      <c r="X589" s="544"/>
      <c r="Y589" s="544"/>
      <c r="Z589" s="544"/>
      <c r="AA589" s="544"/>
      <c r="AB589" s="544"/>
      <c r="AC589" s="544"/>
      <c r="AD589" s="544"/>
      <c r="AE589" s="544"/>
      <c r="AF589" s="544"/>
      <c r="AG589" s="348"/>
      <c r="AH589" s="348"/>
      <c r="AI589" s="348"/>
      <c r="AJ589" s="348"/>
      <c r="AK589" s="348"/>
      <c r="AL589" s="348"/>
      <c r="AM589" s="348"/>
      <c r="AN589" s="348"/>
      <c r="AO589" s="348"/>
      <c r="AP589" s="348"/>
      <c r="AQ589" s="348"/>
      <c r="AR589" s="348"/>
      <c r="AS589" s="348"/>
      <c r="AT589" s="348"/>
      <c r="AU589" s="348"/>
      <c r="BC589" s="348"/>
      <c r="BD589" s="340"/>
      <c r="BE589" s="340"/>
    </row>
    <row r="590" spans="2:57" ht="12" customHeight="1">
      <c r="B590" s="348"/>
      <c r="C590" s="348"/>
      <c r="D590" s="336"/>
      <c r="X590" s="544"/>
      <c r="Y590" s="544"/>
      <c r="Z590" s="544"/>
      <c r="AA590" s="544"/>
      <c r="AB590" s="544"/>
      <c r="AC590" s="544"/>
      <c r="AD590" s="544"/>
      <c r="AE590" s="544"/>
      <c r="AF590" s="544"/>
      <c r="AG590" s="348"/>
      <c r="AH590" s="348"/>
      <c r="AI590" s="348"/>
      <c r="AJ590" s="348"/>
      <c r="AK590" s="348"/>
      <c r="AL590" s="348"/>
      <c r="AM590" s="348"/>
      <c r="AN590" s="348"/>
      <c r="AO590" s="348"/>
      <c r="AP590" s="348"/>
      <c r="AQ590" s="348"/>
      <c r="AR590" s="348"/>
      <c r="AS590" s="348"/>
      <c r="AT590" s="348"/>
      <c r="AU590" s="348"/>
      <c r="BC590" s="348"/>
      <c r="BD590" s="340"/>
      <c r="BE590" s="340"/>
    </row>
    <row r="591" spans="2:57" ht="12" customHeight="1">
      <c r="B591" s="348"/>
      <c r="C591" s="348"/>
      <c r="D591" s="336"/>
      <c r="X591" s="544"/>
      <c r="Y591" s="544"/>
      <c r="Z591" s="544"/>
      <c r="AA591" s="544"/>
      <c r="AB591" s="544"/>
      <c r="AC591" s="544"/>
      <c r="AD591" s="544"/>
      <c r="AE591" s="544"/>
      <c r="AF591" s="544"/>
      <c r="AG591" s="348"/>
      <c r="AH591" s="348"/>
      <c r="AI591" s="348"/>
      <c r="AJ591" s="348"/>
      <c r="AK591" s="348"/>
      <c r="AL591" s="348"/>
      <c r="AM591" s="348"/>
      <c r="AN591" s="348"/>
      <c r="AO591" s="348"/>
      <c r="AP591" s="348"/>
      <c r="AQ591" s="348"/>
      <c r="AR591" s="348"/>
      <c r="AS591" s="348"/>
      <c r="AT591" s="348"/>
      <c r="AU591" s="348"/>
      <c r="BC591" s="348"/>
      <c r="BD591" s="340"/>
      <c r="BE591" s="340"/>
    </row>
    <row r="592" spans="2:57" ht="12" customHeight="1">
      <c r="B592" s="348"/>
      <c r="C592" s="348"/>
      <c r="D592" s="336"/>
      <c r="X592" s="544"/>
      <c r="Y592" s="544"/>
      <c r="Z592" s="544"/>
      <c r="AA592" s="544"/>
      <c r="AB592" s="544"/>
      <c r="AC592" s="544"/>
      <c r="AD592" s="544"/>
      <c r="AE592" s="544"/>
      <c r="AF592" s="544"/>
      <c r="AG592" s="348"/>
      <c r="AH592" s="348"/>
      <c r="AI592" s="348"/>
      <c r="AJ592" s="348"/>
      <c r="AK592" s="348"/>
      <c r="AL592" s="348"/>
      <c r="AM592" s="348"/>
      <c r="AN592" s="348"/>
      <c r="AO592" s="348"/>
      <c r="AP592" s="348"/>
      <c r="AQ592" s="348"/>
      <c r="AR592" s="348"/>
      <c r="AS592" s="348"/>
      <c r="AT592" s="348"/>
      <c r="AU592" s="348"/>
      <c r="BC592" s="348"/>
      <c r="BD592" s="340"/>
      <c r="BE592" s="340"/>
    </row>
    <row r="593" spans="2:57" ht="12" customHeight="1">
      <c r="B593" s="348"/>
      <c r="C593" s="348"/>
      <c r="D593" s="336"/>
      <c r="X593" s="544"/>
      <c r="Y593" s="544"/>
      <c r="Z593" s="544"/>
      <c r="AA593" s="544"/>
      <c r="AB593" s="544"/>
      <c r="AC593" s="544"/>
      <c r="AD593" s="544"/>
      <c r="AE593" s="544"/>
      <c r="AF593" s="544"/>
      <c r="AG593" s="348"/>
      <c r="AH593" s="348"/>
      <c r="AI593" s="348"/>
      <c r="AJ593" s="348"/>
      <c r="AK593" s="348"/>
      <c r="AL593" s="348"/>
      <c r="AM593" s="348"/>
      <c r="AN593" s="348"/>
      <c r="AO593" s="348"/>
      <c r="AP593" s="348"/>
      <c r="AQ593" s="348"/>
      <c r="AR593" s="348"/>
      <c r="AS593" s="348"/>
      <c r="AT593" s="348"/>
      <c r="AU593" s="348"/>
      <c r="BC593" s="348"/>
      <c r="BD593" s="340"/>
      <c r="BE593" s="340"/>
    </row>
    <row r="594" spans="2:57" ht="12" customHeight="1">
      <c r="B594" s="348"/>
      <c r="C594" s="348"/>
      <c r="D594" s="336"/>
      <c r="X594" s="544"/>
      <c r="Y594" s="544"/>
      <c r="Z594" s="544"/>
      <c r="AA594" s="544"/>
      <c r="AB594" s="544"/>
      <c r="AC594" s="544"/>
      <c r="AD594" s="544"/>
      <c r="AE594" s="544"/>
      <c r="AF594" s="544"/>
      <c r="AG594" s="348"/>
      <c r="AH594" s="348"/>
      <c r="AI594" s="348"/>
      <c r="AJ594" s="348"/>
      <c r="AK594" s="348"/>
      <c r="AL594" s="348"/>
      <c r="AM594" s="348"/>
      <c r="AN594" s="348"/>
      <c r="AO594" s="348"/>
      <c r="AP594" s="348"/>
      <c r="AQ594" s="348"/>
      <c r="AR594" s="348"/>
      <c r="AS594" s="348"/>
      <c r="AT594" s="348"/>
      <c r="AU594" s="348"/>
      <c r="BC594" s="348"/>
      <c r="BD594" s="340"/>
      <c r="BE594" s="340"/>
    </row>
    <row r="595" spans="2:57" ht="12" customHeight="1">
      <c r="B595" s="348"/>
      <c r="C595" s="348"/>
      <c r="D595" s="336"/>
      <c r="X595" s="544"/>
      <c r="Y595" s="544"/>
      <c r="Z595" s="544"/>
      <c r="AA595" s="544"/>
      <c r="AB595" s="544"/>
      <c r="AC595" s="544"/>
      <c r="AD595" s="544"/>
      <c r="AE595" s="544"/>
      <c r="AF595" s="544"/>
      <c r="AG595" s="348"/>
      <c r="AH595" s="348"/>
      <c r="AI595" s="348"/>
      <c r="AJ595" s="348"/>
      <c r="AK595" s="348"/>
      <c r="AL595" s="348"/>
      <c r="AM595" s="348"/>
      <c r="AN595" s="348"/>
      <c r="AO595" s="348"/>
      <c r="AP595" s="348"/>
      <c r="AQ595" s="348"/>
      <c r="AR595" s="348"/>
      <c r="AS595" s="348"/>
      <c r="AT595" s="348"/>
      <c r="AU595" s="348"/>
      <c r="BC595" s="348"/>
      <c r="BD595" s="340"/>
      <c r="BE595" s="340"/>
    </row>
    <row r="596" spans="2:57" ht="12" customHeight="1">
      <c r="B596" s="348"/>
      <c r="C596" s="348"/>
      <c r="D596" s="336"/>
      <c r="X596" s="544"/>
      <c r="Y596" s="544"/>
      <c r="Z596" s="544"/>
      <c r="AA596" s="544"/>
      <c r="AB596" s="544"/>
      <c r="AC596" s="544"/>
      <c r="AD596" s="544"/>
      <c r="AE596" s="544"/>
      <c r="AF596" s="544"/>
      <c r="AG596" s="348"/>
      <c r="AH596" s="348"/>
      <c r="AI596" s="348"/>
      <c r="AJ596" s="348"/>
      <c r="AK596" s="348"/>
      <c r="AL596" s="348"/>
      <c r="AM596" s="348"/>
      <c r="AN596" s="348"/>
      <c r="AO596" s="348"/>
      <c r="AP596" s="348"/>
      <c r="AQ596" s="348"/>
      <c r="AR596" s="348"/>
      <c r="AS596" s="348"/>
      <c r="AT596" s="348"/>
      <c r="AU596" s="348"/>
      <c r="BC596" s="348"/>
      <c r="BD596" s="340"/>
      <c r="BE596" s="340"/>
    </row>
    <row r="597" spans="2:57" ht="12" customHeight="1">
      <c r="B597" s="348"/>
      <c r="C597" s="348"/>
      <c r="D597" s="336"/>
      <c r="X597" s="544"/>
      <c r="Y597" s="544"/>
      <c r="Z597" s="544"/>
      <c r="AA597" s="544"/>
      <c r="AB597" s="544"/>
      <c r="AC597" s="544"/>
      <c r="AD597" s="544"/>
      <c r="AE597" s="544"/>
      <c r="AF597" s="544"/>
      <c r="AG597" s="348"/>
      <c r="AH597" s="348"/>
      <c r="AI597" s="348"/>
      <c r="AJ597" s="348"/>
      <c r="AK597" s="348"/>
      <c r="AL597" s="348"/>
      <c r="AM597" s="348"/>
      <c r="AN597" s="348"/>
      <c r="AO597" s="348"/>
      <c r="AP597" s="348"/>
      <c r="AQ597" s="348"/>
      <c r="AR597" s="348"/>
      <c r="AS597" s="348"/>
      <c r="AT597" s="348"/>
      <c r="AU597" s="348"/>
      <c r="BC597" s="348"/>
      <c r="BD597" s="340"/>
      <c r="BE597" s="340"/>
    </row>
    <row r="598" spans="2:57" ht="12" customHeight="1">
      <c r="B598" s="348"/>
      <c r="C598" s="348"/>
      <c r="D598" s="336"/>
      <c r="X598" s="544"/>
      <c r="Y598" s="544"/>
      <c r="Z598" s="544"/>
      <c r="AA598" s="544"/>
      <c r="AB598" s="544"/>
      <c r="AC598" s="544"/>
      <c r="AD598" s="544"/>
      <c r="AE598" s="544"/>
      <c r="AF598" s="544"/>
      <c r="AG598" s="348"/>
      <c r="AH598" s="348"/>
      <c r="AI598" s="348"/>
      <c r="AJ598" s="348"/>
      <c r="AK598" s="348"/>
      <c r="AL598" s="348"/>
      <c r="AM598" s="348"/>
      <c r="AN598" s="348"/>
      <c r="AO598" s="348"/>
      <c r="AP598" s="348"/>
      <c r="AQ598" s="348"/>
      <c r="AR598" s="348"/>
      <c r="AS598" s="348"/>
      <c r="AT598" s="348"/>
      <c r="AU598" s="348"/>
      <c r="BC598" s="348"/>
      <c r="BD598" s="340"/>
      <c r="BE598" s="340"/>
    </row>
    <row r="599" spans="2:57" ht="12" customHeight="1">
      <c r="B599" s="348"/>
      <c r="C599" s="348"/>
      <c r="D599" s="336"/>
      <c r="X599" s="544"/>
      <c r="Y599" s="544"/>
      <c r="Z599" s="544"/>
      <c r="AA599" s="544"/>
      <c r="AB599" s="544"/>
      <c r="AC599" s="544"/>
      <c r="AD599" s="544"/>
      <c r="AE599" s="544"/>
      <c r="AF599" s="544"/>
      <c r="AG599" s="348"/>
      <c r="AH599" s="348"/>
      <c r="AI599" s="348"/>
      <c r="AJ599" s="348"/>
      <c r="AK599" s="348"/>
      <c r="AL599" s="348"/>
      <c r="AM599" s="348"/>
      <c r="AN599" s="348"/>
      <c r="AO599" s="348"/>
      <c r="AP599" s="348"/>
      <c r="AQ599" s="348"/>
      <c r="AR599" s="348"/>
      <c r="AS599" s="348"/>
      <c r="AT599" s="348"/>
      <c r="AU599" s="348"/>
      <c r="BC599" s="348"/>
      <c r="BD599" s="340"/>
      <c r="BE599" s="340"/>
    </row>
    <row r="600" spans="2:57" ht="12" customHeight="1">
      <c r="B600" s="348"/>
      <c r="C600" s="348"/>
      <c r="D600" s="336"/>
      <c r="X600" s="544"/>
      <c r="Y600" s="544"/>
      <c r="Z600" s="544"/>
      <c r="AA600" s="544"/>
      <c r="AB600" s="544"/>
      <c r="AC600" s="544"/>
      <c r="AD600" s="544"/>
      <c r="AE600" s="544"/>
      <c r="AF600" s="544"/>
      <c r="AG600" s="348"/>
      <c r="AH600" s="348"/>
      <c r="AI600" s="348"/>
      <c r="AJ600" s="348"/>
      <c r="AK600" s="348"/>
      <c r="AL600" s="348"/>
      <c r="AM600" s="348"/>
      <c r="AN600" s="348"/>
      <c r="AO600" s="348"/>
      <c r="AP600" s="348"/>
      <c r="AQ600" s="348"/>
      <c r="AR600" s="348"/>
      <c r="AS600" s="348"/>
      <c r="AT600" s="348"/>
      <c r="AU600" s="348"/>
      <c r="BC600" s="348"/>
      <c r="BD600" s="340"/>
      <c r="BE600" s="340"/>
    </row>
    <row r="601" spans="2:57" ht="12" customHeight="1">
      <c r="B601" s="348"/>
      <c r="C601" s="348"/>
      <c r="D601" s="336"/>
      <c r="X601" s="544"/>
      <c r="Y601" s="544"/>
      <c r="Z601" s="544"/>
      <c r="AA601" s="544"/>
      <c r="AB601" s="544"/>
      <c r="AC601" s="544"/>
      <c r="AD601" s="544"/>
      <c r="AE601" s="544"/>
      <c r="AF601" s="544"/>
      <c r="AG601" s="348"/>
      <c r="AH601" s="348"/>
      <c r="AI601" s="348"/>
      <c r="AJ601" s="348"/>
      <c r="AK601" s="348"/>
      <c r="AL601" s="348"/>
      <c r="AM601" s="348"/>
      <c r="AN601" s="348"/>
      <c r="AO601" s="348"/>
      <c r="AP601" s="348"/>
      <c r="AQ601" s="348"/>
      <c r="AR601" s="348"/>
      <c r="AS601" s="348"/>
      <c r="AT601" s="348"/>
      <c r="AU601" s="348"/>
      <c r="BC601" s="348"/>
      <c r="BD601" s="340"/>
      <c r="BE601" s="340"/>
    </row>
    <row r="602" spans="2:57" ht="12" customHeight="1">
      <c r="B602" s="348"/>
      <c r="C602" s="348"/>
      <c r="D602" s="336"/>
      <c r="X602" s="544"/>
      <c r="Y602" s="544"/>
      <c r="Z602" s="544"/>
      <c r="AA602" s="544"/>
      <c r="AB602" s="544"/>
      <c r="AC602" s="544"/>
      <c r="AD602" s="544"/>
      <c r="AE602" s="544"/>
      <c r="AF602" s="544"/>
      <c r="AG602" s="348"/>
      <c r="AH602" s="348"/>
      <c r="AI602" s="348"/>
      <c r="AJ602" s="348"/>
      <c r="AK602" s="348"/>
      <c r="AL602" s="348"/>
      <c r="AM602" s="348"/>
      <c r="AN602" s="348"/>
      <c r="AO602" s="348"/>
      <c r="AP602" s="348"/>
      <c r="AQ602" s="348"/>
      <c r="AR602" s="348"/>
      <c r="AS602" s="348"/>
      <c r="AT602" s="348"/>
      <c r="AU602" s="348"/>
      <c r="BC602" s="348"/>
      <c r="BD602" s="340"/>
      <c r="BE602" s="340"/>
    </row>
    <row r="603" spans="2:57" ht="12" customHeight="1">
      <c r="B603" s="348"/>
      <c r="C603" s="348"/>
      <c r="D603" s="336"/>
      <c r="X603" s="544"/>
      <c r="Y603" s="544"/>
      <c r="Z603" s="544"/>
      <c r="AA603" s="544"/>
      <c r="AB603" s="544"/>
      <c r="AC603" s="544"/>
      <c r="AD603" s="544"/>
      <c r="AE603" s="544"/>
      <c r="AF603" s="544"/>
      <c r="AG603" s="348"/>
      <c r="AH603" s="348"/>
      <c r="AI603" s="348"/>
      <c r="AJ603" s="348"/>
      <c r="AK603" s="348"/>
      <c r="AL603" s="348"/>
      <c r="AM603" s="348"/>
      <c r="AN603" s="348"/>
      <c r="AO603" s="348"/>
      <c r="AP603" s="348"/>
      <c r="AQ603" s="348"/>
      <c r="AR603" s="348"/>
      <c r="AS603" s="348"/>
      <c r="AT603" s="348"/>
      <c r="AU603" s="348"/>
      <c r="BC603" s="348"/>
      <c r="BD603" s="340"/>
      <c r="BE603" s="340"/>
    </row>
    <row r="604" spans="2:57" ht="12" customHeight="1">
      <c r="B604" s="348"/>
      <c r="C604" s="348"/>
      <c r="D604" s="336"/>
      <c r="X604" s="544"/>
      <c r="Y604" s="544"/>
      <c r="Z604" s="544"/>
      <c r="AA604" s="544"/>
      <c r="AB604" s="544"/>
      <c r="AC604" s="544"/>
      <c r="AD604" s="544"/>
      <c r="AE604" s="544"/>
      <c r="AF604" s="544"/>
      <c r="AG604" s="348"/>
      <c r="AH604" s="348"/>
      <c r="AI604" s="348"/>
      <c r="AJ604" s="348"/>
      <c r="AK604" s="348"/>
      <c r="AL604" s="348"/>
      <c r="AM604" s="348"/>
      <c r="AN604" s="348"/>
      <c r="AO604" s="348"/>
      <c r="AP604" s="348"/>
      <c r="AQ604" s="348"/>
      <c r="AR604" s="348"/>
      <c r="AS604" s="348"/>
      <c r="AT604" s="348"/>
      <c r="AU604" s="348"/>
      <c r="BC604" s="348"/>
      <c r="BD604" s="340"/>
      <c r="BE604" s="340"/>
    </row>
    <row r="605" spans="2:57" ht="12" customHeight="1">
      <c r="B605" s="348"/>
      <c r="C605" s="348"/>
      <c r="D605" s="336"/>
      <c r="X605" s="544"/>
      <c r="Y605" s="544"/>
      <c r="Z605" s="544"/>
      <c r="AA605" s="544"/>
      <c r="AB605" s="544"/>
      <c r="AC605" s="544"/>
      <c r="AD605" s="544"/>
      <c r="AE605" s="544"/>
      <c r="AF605" s="544"/>
      <c r="AG605" s="348"/>
      <c r="AH605" s="348"/>
      <c r="AI605" s="348"/>
      <c r="AJ605" s="348"/>
      <c r="AK605" s="348"/>
      <c r="AL605" s="348"/>
      <c r="AM605" s="348"/>
      <c r="AN605" s="348"/>
      <c r="AO605" s="348"/>
      <c r="AP605" s="348"/>
      <c r="AQ605" s="348"/>
      <c r="AR605" s="348"/>
      <c r="AS605" s="348"/>
      <c r="AT605" s="348"/>
      <c r="AU605" s="348"/>
      <c r="BC605" s="348"/>
      <c r="BD605" s="340"/>
      <c r="BE605" s="340"/>
    </row>
    <row r="606" spans="2:57" ht="12" customHeight="1">
      <c r="B606" s="348"/>
      <c r="C606" s="348"/>
      <c r="D606" s="336"/>
      <c r="X606" s="544"/>
      <c r="Y606" s="544"/>
      <c r="Z606" s="544"/>
      <c r="AA606" s="544"/>
      <c r="AB606" s="544"/>
      <c r="AC606" s="544"/>
      <c r="AD606" s="544"/>
      <c r="AE606" s="544"/>
      <c r="AF606" s="544"/>
      <c r="AG606" s="348"/>
      <c r="AH606" s="348"/>
      <c r="AI606" s="348"/>
      <c r="AJ606" s="348"/>
      <c r="AK606" s="348"/>
      <c r="AL606" s="348"/>
      <c r="AM606" s="348"/>
      <c r="AN606" s="348"/>
      <c r="AO606" s="348"/>
      <c r="AP606" s="348"/>
      <c r="AQ606" s="348"/>
      <c r="AR606" s="348"/>
      <c r="AS606" s="348"/>
      <c r="AT606" s="348"/>
      <c r="AU606" s="348"/>
      <c r="BC606" s="348"/>
      <c r="BD606" s="340"/>
      <c r="BE606" s="340"/>
    </row>
    <row r="607" spans="2:57" ht="12" customHeight="1">
      <c r="B607" s="348"/>
      <c r="C607" s="348"/>
      <c r="D607" s="336"/>
      <c r="X607" s="544"/>
      <c r="Y607" s="544"/>
      <c r="Z607" s="544"/>
      <c r="AA607" s="544"/>
      <c r="AB607" s="544"/>
      <c r="AC607" s="544"/>
      <c r="AD607" s="544"/>
      <c r="AE607" s="544"/>
      <c r="AF607" s="544"/>
      <c r="AG607" s="348"/>
      <c r="AH607" s="348"/>
      <c r="AI607" s="348"/>
      <c r="AJ607" s="348"/>
      <c r="AK607" s="348"/>
      <c r="AL607" s="348"/>
      <c r="AM607" s="348"/>
      <c r="AN607" s="348"/>
      <c r="AO607" s="348"/>
      <c r="AP607" s="348"/>
      <c r="AQ607" s="348"/>
      <c r="AR607" s="348"/>
      <c r="AS607" s="348"/>
      <c r="AT607" s="348"/>
      <c r="AU607" s="348"/>
      <c r="BC607" s="348"/>
      <c r="BD607" s="340"/>
      <c r="BE607" s="340"/>
    </row>
    <row r="608" spans="2:57" ht="12" customHeight="1">
      <c r="B608" s="348"/>
      <c r="C608" s="348"/>
      <c r="D608" s="336"/>
      <c r="X608" s="544"/>
      <c r="Y608" s="544"/>
      <c r="Z608" s="544"/>
      <c r="AA608" s="544"/>
      <c r="AB608" s="544"/>
      <c r="AC608" s="544"/>
      <c r="AD608" s="544"/>
      <c r="AE608" s="544"/>
      <c r="AF608" s="544"/>
      <c r="AG608" s="348"/>
      <c r="AH608" s="348"/>
      <c r="AI608" s="348"/>
      <c r="AJ608" s="348"/>
      <c r="AK608" s="348"/>
      <c r="AL608" s="348"/>
      <c r="AM608" s="348"/>
      <c r="AN608" s="348"/>
      <c r="AO608" s="348"/>
      <c r="AP608" s="348"/>
      <c r="AQ608" s="348"/>
      <c r="AR608" s="348"/>
      <c r="AS608" s="348"/>
      <c r="AT608" s="348"/>
      <c r="AU608" s="348"/>
      <c r="BC608" s="348"/>
      <c r="BD608" s="340"/>
      <c r="BE608" s="340"/>
    </row>
    <row r="609" spans="2:57" ht="12" customHeight="1">
      <c r="B609" s="348"/>
      <c r="C609" s="348"/>
      <c r="D609" s="336"/>
      <c r="X609" s="544"/>
      <c r="Y609" s="544"/>
      <c r="Z609" s="544"/>
      <c r="AA609" s="544"/>
      <c r="AB609" s="544"/>
      <c r="AC609" s="544"/>
      <c r="AD609" s="544"/>
      <c r="AE609" s="544"/>
      <c r="AF609" s="544"/>
      <c r="AG609" s="348"/>
      <c r="AH609" s="348"/>
      <c r="AI609" s="348"/>
      <c r="AJ609" s="348"/>
      <c r="AK609" s="348"/>
      <c r="AL609" s="348"/>
      <c r="AM609" s="348"/>
      <c r="AN609" s="348"/>
      <c r="AO609" s="348"/>
      <c r="AP609" s="348"/>
      <c r="AQ609" s="348"/>
      <c r="AR609" s="348"/>
      <c r="AS609" s="348"/>
      <c r="AT609" s="348"/>
      <c r="AU609" s="348"/>
      <c r="BC609" s="348"/>
      <c r="BD609" s="340"/>
      <c r="BE609" s="340"/>
    </row>
    <row r="610" spans="2:57" ht="12" customHeight="1">
      <c r="B610" s="348"/>
      <c r="C610" s="348"/>
      <c r="D610" s="336"/>
      <c r="X610" s="544"/>
      <c r="Y610" s="544"/>
      <c r="Z610" s="544"/>
      <c r="AA610" s="544"/>
      <c r="AB610" s="544"/>
      <c r="AC610" s="544"/>
      <c r="AD610" s="544"/>
      <c r="AE610" s="544"/>
      <c r="AF610" s="544"/>
      <c r="AG610" s="348"/>
      <c r="AH610" s="348"/>
      <c r="AI610" s="348"/>
      <c r="AJ610" s="348"/>
      <c r="AK610" s="348"/>
      <c r="AL610" s="348"/>
      <c r="AM610" s="348"/>
      <c r="AN610" s="348"/>
      <c r="AO610" s="348"/>
      <c r="AP610" s="348"/>
      <c r="AQ610" s="348"/>
      <c r="AR610" s="348"/>
      <c r="AS610" s="348"/>
      <c r="AT610" s="348"/>
      <c r="AU610" s="348"/>
      <c r="BC610" s="348"/>
      <c r="BD610" s="340"/>
      <c r="BE610" s="340"/>
    </row>
    <row r="611" spans="2:57" ht="12" customHeight="1">
      <c r="B611" s="348"/>
      <c r="C611" s="348"/>
      <c r="D611" s="336"/>
      <c r="X611" s="544"/>
      <c r="Y611" s="544"/>
      <c r="Z611" s="544"/>
      <c r="AA611" s="544"/>
      <c r="AB611" s="544"/>
      <c r="AC611" s="544"/>
      <c r="AD611" s="544"/>
      <c r="AE611" s="544"/>
      <c r="AF611" s="544"/>
      <c r="AG611" s="348"/>
      <c r="AH611" s="348"/>
      <c r="AI611" s="348"/>
      <c r="AJ611" s="348"/>
      <c r="AK611" s="348"/>
      <c r="AL611" s="348"/>
      <c r="AM611" s="348"/>
      <c r="AN611" s="348"/>
      <c r="AO611" s="348"/>
      <c r="AP611" s="348"/>
      <c r="AQ611" s="348"/>
      <c r="AR611" s="348"/>
      <c r="AS611" s="348"/>
      <c r="AT611" s="348"/>
      <c r="AU611" s="348"/>
      <c r="BC611" s="348"/>
      <c r="BD611" s="340"/>
      <c r="BE611" s="340"/>
    </row>
    <row r="612" spans="2:57" ht="12" customHeight="1">
      <c r="B612" s="348"/>
      <c r="C612" s="348"/>
      <c r="D612" s="336"/>
      <c r="X612" s="544"/>
      <c r="Y612" s="544"/>
      <c r="Z612" s="544"/>
      <c r="AA612" s="544"/>
      <c r="AB612" s="544"/>
      <c r="AC612" s="544"/>
      <c r="AD612" s="544"/>
      <c r="AE612" s="544"/>
      <c r="AF612" s="544"/>
      <c r="AG612" s="348"/>
      <c r="AH612" s="348"/>
      <c r="AI612" s="348"/>
      <c r="AJ612" s="348"/>
      <c r="AK612" s="348"/>
      <c r="AL612" s="348"/>
      <c r="AM612" s="348"/>
      <c r="AN612" s="348"/>
      <c r="AO612" s="348"/>
      <c r="AP612" s="348"/>
      <c r="AQ612" s="348"/>
      <c r="AR612" s="348"/>
      <c r="AS612" s="348"/>
      <c r="AT612" s="348"/>
      <c r="AU612" s="348"/>
      <c r="BC612" s="348"/>
      <c r="BD612" s="340"/>
      <c r="BE612" s="340"/>
    </row>
    <row r="613" spans="2:57" ht="12" customHeight="1">
      <c r="B613" s="348"/>
      <c r="C613" s="348"/>
      <c r="D613" s="336"/>
      <c r="X613" s="544"/>
      <c r="Y613" s="544"/>
      <c r="Z613" s="544"/>
      <c r="AA613" s="544"/>
      <c r="AB613" s="544"/>
      <c r="AC613" s="544"/>
      <c r="AD613" s="544"/>
      <c r="AE613" s="544"/>
      <c r="AF613" s="544"/>
      <c r="AG613" s="348"/>
      <c r="AH613" s="348"/>
      <c r="AI613" s="348"/>
      <c r="AJ613" s="348"/>
      <c r="AK613" s="348"/>
      <c r="AL613" s="348"/>
      <c r="AM613" s="348"/>
      <c r="AN613" s="348"/>
      <c r="AO613" s="348"/>
      <c r="AP613" s="348"/>
      <c r="AQ613" s="348"/>
      <c r="AR613" s="348"/>
      <c r="AS613" s="348"/>
      <c r="AT613" s="348"/>
      <c r="AU613" s="348"/>
      <c r="BC613" s="348"/>
      <c r="BD613" s="340"/>
      <c r="BE613" s="340"/>
    </row>
    <row r="614" spans="2:57" ht="12" customHeight="1">
      <c r="B614" s="348"/>
      <c r="C614" s="348"/>
      <c r="D614" s="336"/>
      <c r="X614" s="544"/>
      <c r="Y614" s="544"/>
      <c r="Z614" s="544"/>
      <c r="AA614" s="544"/>
      <c r="AB614" s="544"/>
      <c r="AC614" s="544"/>
      <c r="AD614" s="544"/>
      <c r="AE614" s="544"/>
      <c r="AF614" s="544"/>
      <c r="AG614" s="348"/>
      <c r="AH614" s="348"/>
      <c r="AI614" s="348"/>
      <c r="AJ614" s="348"/>
      <c r="AK614" s="348"/>
      <c r="AL614" s="348"/>
      <c r="AM614" s="348"/>
      <c r="AN614" s="348"/>
      <c r="AO614" s="348"/>
      <c r="AP614" s="348"/>
      <c r="AQ614" s="348"/>
      <c r="AR614" s="348"/>
      <c r="AS614" s="348"/>
      <c r="AT614" s="348"/>
      <c r="AU614" s="348"/>
      <c r="BC614" s="348"/>
      <c r="BD614" s="340"/>
      <c r="BE614" s="340"/>
    </row>
    <row r="615" spans="2:57" ht="12" customHeight="1">
      <c r="B615" s="348"/>
      <c r="C615" s="348"/>
      <c r="D615" s="336"/>
      <c r="X615" s="544"/>
      <c r="Y615" s="544"/>
      <c r="Z615" s="544"/>
      <c r="AA615" s="544"/>
      <c r="AB615" s="544"/>
      <c r="AC615" s="544"/>
      <c r="AD615" s="544"/>
      <c r="AE615" s="544"/>
      <c r="AF615" s="544"/>
      <c r="AG615" s="348"/>
      <c r="AH615" s="348"/>
      <c r="AI615" s="348"/>
      <c r="AJ615" s="348"/>
      <c r="AK615" s="348"/>
      <c r="AL615" s="348"/>
      <c r="AM615" s="348"/>
      <c r="AN615" s="348"/>
      <c r="AO615" s="348"/>
      <c r="AP615" s="348"/>
      <c r="AQ615" s="348"/>
      <c r="AR615" s="348"/>
      <c r="AS615" s="348"/>
      <c r="AT615" s="348"/>
      <c r="AU615" s="348"/>
      <c r="BC615" s="348"/>
      <c r="BD615" s="340"/>
      <c r="BE615" s="340"/>
    </row>
    <row r="616" spans="2:57" ht="12" customHeight="1">
      <c r="B616" s="348"/>
      <c r="C616" s="348"/>
      <c r="D616" s="336"/>
      <c r="X616" s="544"/>
      <c r="Y616" s="544"/>
      <c r="Z616" s="544"/>
      <c r="AA616" s="544"/>
      <c r="AB616" s="544"/>
      <c r="AC616" s="544"/>
      <c r="AD616" s="544"/>
      <c r="AE616" s="544"/>
      <c r="AF616" s="544"/>
      <c r="AG616" s="348"/>
      <c r="AH616" s="348"/>
      <c r="AI616" s="348"/>
      <c r="AJ616" s="348"/>
      <c r="AK616" s="348"/>
      <c r="AL616" s="348"/>
      <c r="AM616" s="348"/>
      <c r="AN616" s="348"/>
      <c r="AO616" s="348"/>
      <c r="AP616" s="348"/>
      <c r="AQ616" s="348"/>
      <c r="AR616" s="348"/>
      <c r="AS616" s="348"/>
      <c r="AT616" s="348"/>
      <c r="AU616" s="348"/>
      <c r="BC616" s="348"/>
      <c r="BD616" s="340"/>
      <c r="BE616" s="340"/>
    </row>
    <row r="617" spans="2:57" ht="12" customHeight="1">
      <c r="B617" s="348"/>
      <c r="C617" s="348"/>
      <c r="D617" s="336"/>
      <c r="X617" s="544"/>
      <c r="Y617" s="544"/>
      <c r="Z617" s="544"/>
      <c r="AA617" s="544"/>
      <c r="AB617" s="544"/>
      <c r="AC617" s="544"/>
      <c r="AD617" s="544"/>
      <c r="AE617" s="544"/>
      <c r="AF617" s="544"/>
      <c r="AG617" s="348"/>
      <c r="AH617" s="348"/>
      <c r="AI617" s="348"/>
      <c r="AJ617" s="348"/>
      <c r="AK617" s="348"/>
      <c r="AL617" s="348"/>
      <c r="AM617" s="348"/>
      <c r="AN617" s="348"/>
      <c r="AO617" s="348"/>
      <c r="AP617" s="348"/>
      <c r="AQ617" s="348"/>
      <c r="AR617" s="348"/>
      <c r="AS617" s="348"/>
      <c r="AT617" s="348"/>
      <c r="AU617" s="348"/>
      <c r="BC617" s="348"/>
      <c r="BD617" s="340"/>
      <c r="BE617" s="340"/>
    </row>
    <row r="618" spans="2:57" ht="12" customHeight="1">
      <c r="B618" s="348"/>
      <c r="C618" s="348"/>
      <c r="D618" s="336"/>
      <c r="X618" s="544"/>
      <c r="Y618" s="544"/>
      <c r="Z618" s="544"/>
      <c r="AA618" s="544"/>
      <c r="AB618" s="544"/>
      <c r="AC618" s="544"/>
      <c r="AD618" s="544"/>
      <c r="AE618" s="544"/>
      <c r="AF618" s="544"/>
      <c r="AG618" s="348"/>
      <c r="AH618" s="348"/>
      <c r="AI618" s="348"/>
      <c r="AJ618" s="348"/>
      <c r="AK618" s="348"/>
      <c r="AL618" s="348"/>
      <c r="AM618" s="348"/>
      <c r="AN618" s="348"/>
      <c r="AO618" s="348"/>
      <c r="AP618" s="348"/>
      <c r="AQ618" s="348"/>
      <c r="AR618" s="348"/>
      <c r="AS618" s="348"/>
      <c r="AT618" s="348"/>
      <c r="AU618" s="348"/>
      <c r="BC618" s="348"/>
      <c r="BD618" s="340"/>
      <c r="BE618" s="340"/>
    </row>
    <row r="619" spans="2:57" ht="12" customHeight="1">
      <c r="B619" s="348"/>
      <c r="C619" s="348"/>
      <c r="D619" s="336"/>
      <c r="X619" s="544"/>
      <c r="Y619" s="544"/>
      <c r="Z619" s="544"/>
      <c r="AA619" s="544"/>
      <c r="AB619" s="544"/>
      <c r="AC619" s="544"/>
      <c r="AD619" s="544"/>
      <c r="AE619" s="544"/>
      <c r="AF619" s="544"/>
      <c r="AG619" s="348"/>
      <c r="AH619" s="348"/>
      <c r="AI619" s="348"/>
      <c r="AJ619" s="348"/>
      <c r="AK619" s="348"/>
      <c r="AL619" s="348"/>
      <c r="AM619" s="348"/>
      <c r="AN619" s="348"/>
      <c r="AO619" s="348"/>
      <c r="AP619" s="348"/>
      <c r="AQ619" s="348"/>
      <c r="AR619" s="348"/>
      <c r="AS619" s="348"/>
      <c r="AT619" s="348"/>
      <c r="AU619" s="348"/>
      <c r="BC619" s="348"/>
      <c r="BD619" s="340"/>
      <c r="BE619" s="340"/>
    </row>
    <row r="620" spans="2:57" ht="12" customHeight="1">
      <c r="B620" s="348"/>
      <c r="C620" s="348"/>
      <c r="D620" s="336"/>
      <c r="X620" s="544"/>
      <c r="Y620" s="544"/>
      <c r="Z620" s="544"/>
      <c r="AA620" s="544"/>
      <c r="AB620" s="544"/>
      <c r="AC620" s="544"/>
      <c r="AD620" s="544"/>
      <c r="AE620" s="544"/>
      <c r="AF620" s="544"/>
      <c r="AG620" s="348"/>
      <c r="AH620" s="348"/>
      <c r="AI620" s="348"/>
      <c r="AJ620" s="348"/>
      <c r="AK620" s="348"/>
      <c r="AL620" s="348"/>
      <c r="AM620" s="348"/>
      <c r="AN620" s="348"/>
      <c r="AO620" s="348"/>
      <c r="AP620" s="348"/>
      <c r="AQ620" s="348"/>
      <c r="AR620" s="348"/>
      <c r="AS620" s="348"/>
      <c r="AT620" s="348"/>
      <c r="AU620" s="348"/>
      <c r="BC620" s="348"/>
      <c r="BD620" s="340"/>
      <c r="BE620" s="340"/>
    </row>
    <row r="621" spans="2:57" ht="12" customHeight="1">
      <c r="B621" s="348"/>
      <c r="C621" s="348"/>
      <c r="D621" s="336"/>
      <c r="X621" s="544"/>
      <c r="Y621" s="544"/>
      <c r="Z621" s="544"/>
      <c r="AA621" s="544"/>
      <c r="AB621" s="544"/>
      <c r="AC621" s="544"/>
      <c r="AD621" s="544"/>
      <c r="AE621" s="544"/>
      <c r="AF621" s="544"/>
      <c r="AG621" s="348"/>
      <c r="AH621" s="348"/>
      <c r="AI621" s="348"/>
      <c r="AJ621" s="348"/>
      <c r="AK621" s="348"/>
      <c r="AL621" s="348"/>
      <c r="AM621" s="348"/>
      <c r="AN621" s="348"/>
      <c r="AO621" s="348"/>
      <c r="AP621" s="348"/>
      <c r="AQ621" s="348"/>
      <c r="AR621" s="348"/>
      <c r="AS621" s="348"/>
      <c r="AT621" s="348"/>
      <c r="AU621" s="348"/>
      <c r="BC621" s="348"/>
      <c r="BD621" s="340"/>
      <c r="BE621" s="340"/>
    </row>
    <row r="622" spans="2:57" ht="12" customHeight="1">
      <c r="B622" s="348"/>
      <c r="C622" s="348"/>
      <c r="D622" s="336"/>
      <c r="X622" s="544"/>
      <c r="Y622" s="544"/>
      <c r="Z622" s="544"/>
      <c r="AA622" s="544"/>
      <c r="AB622" s="544"/>
      <c r="AC622" s="544"/>
      <c r="AD622" s="544"/>
      <c r="AE622" s="544"/>
      <c r="AF622" s="544"/>
      <c r="AG622" s="348"/>
      <c r="AH622" s="348"/>
      <c r="AI622" s="348"/>
      <c r="AJ622" s="348"/>
      <c r="AK622" s="348"/>
      <c r="AL622" s="348"/>
      <c r="AM622" s="348"/>
      <c r="AN622" s="348"/>
      <c r="AO622" s="348"/>
      <c r="AP622" s="348"/>
      <c r="AQ622" s="348"/>
      <c r="AR622" s="348"/>
      <c r="AS622" s="348"/>
      <c r="AT622" s="348"/>
      <c r="AU622" s="348"/>
      <c r="BC622" s="348"/>
      <c r="BD622" s="340"/>
      <c r="BE622" s="340"/>
    </row>
    <row r="623" spans="2:57" ht="12" customHeight="1">
      <c r="B623" s="348"/>
      <c r="C623" s="348"/>
      <c r="D623" s="336"/>
      <c r="X623" s="544"/>
      <c r="Y623" s="544"/>
      <c r="Z623" s="544"/>
      <c r="AA623" s="544"/>
      <c r="AB623" s="544"/>
      <c r="AC623" s="544"/>
      <c r="AD623" s="544"/>
      <c r="AE623" s="544"/>
      <c r="AF623" s="544"/>
      <c r="AG623" s="348"/>
      <c r="AH623" s="348"/>
      <c r="AI623" s="348"/>
      <c r="AJ623" s="348"/>
      <c r="AK623" s="348"/>
      <c r="AL623" s="348"/>
      <c r="AM623" s="348"/>
      <c r="AN623" s="348"/>
      <c r="AO623" s="348"/>
      <c r="AP623" s="348"/>
      <c r="AQ623" s="348"/>
      <c r="AR623" s="348"/>
      <c r="AS623" s="348"/>
      <c r="AT623" s="348"/>
      <c r="AU623" s="348"/>
      <c r="BC623" s="348"/>
      <c r="BD623" s="340"/>
      <c r="BE623" s="340"/>
    </row>
    <row r="624" spans="2:57" ht="12" customHeight="1">
      <c r="B624" s="348"/>
      <c r="C624" s="348"/>
      <c r="D624" s="336"/>
      <c r="X624" s="544"/>
      <c r="Y624" s="544"/>
      <c r="Z624" s="544"/>
      <c r="AA624" s="544"/>
      <c r="AB624" s="544"/>
      <c r="AC624" s="544"/>
      <c r="AD624" s="544"/>
      <c r="AE624" s="544"/>
      <c r="AF624" s="544"/>
      <c r="AG624" s="348"/>
      <c r="AH624" s="348"/>
      <c r="AI624" s="348"/>
      <c r="AJ624" s="348"/>
      <c r="AK624" s="348"/>
      <c r="AL624" s="348"/>
      <c r="AM624" s="348"/>
      <c r="AN624" s="348"/>
      <c r="AO624" s="348"/>
      <c r="AP624" s="348"/>
      <c r="AQ624" s="348"/>
      <c r="AR624" s="348"/>
      <c r="AS624" s="348"/>
      <c r="AT624" s="348"/>
      <c r="AU624" s="348"/>
      <c r="BC624" s="348"/>
      <c r="BD624" s="340"/>
      <c r="BE624" s="340"/>
    </row>
    <row r="625" spans="2:57" ht="12" customHeight="1">
      <c r="B625" s="348"/>
      <c r="C625" s="348"/>
      <c r="D625" s="336"/>
      <c r="X625" s="544"/>
      <c r="Y625" s="544"/>
      <c r="Z625" s="544"/>
      <c r="AA625" s="544"/>
      <c r="AB625" s="544"/>
      <c r="AC625" s="544"/>
      <c r="AD625" s="544"/>
      <c r="AE625" s="544"/>
      <c r="AF625" s="544"/>
      <c r="AG625" s="348"/>
      <c r="AH625" s="348"/>
      <c r="AI625" s="348"/>
      <c r="AJ625" s="348"/>
      <c r="AK625" s="348"/>
      <c r="AL625" s="348"/>
      <c r="AM625" s="348"/>
      <c r="AN625" s="348"/>
      <c r="AO625" s="348"/>
      <c r="AP625" s="348"/>
      <c r="AQ625" s="348"/>
      <c r="AR625" s="348"/>
      <c r="AS625" s="348"/>
      <c r="AT625" s="348"/>
      <c r="AU625" s="348"/>
      <c r="BC625" s="348"/>
      <c r="BD625" s="340"/>
      <c r="BE625" s="340"/>
    </row>
    <row r="626" spans="2:57" ht="12" customHeight="1">
      <c r="B626" s="348"/>
      <c r="C626" s="348"/>
      <c r="D626" s="336"/>
      <c r="X626" s="544"/>
      <c r="Y626" s="544"/>
      <c r="Z626" s="544"/>
      <c r="AA626" s="544"/>
      <c r="AB626" s="544"/>
      <c r="AC626" s="544"/>
      <c r="AD626" s="544"/>
      <c r="AE626" s="544"/>
      <c r="AF626" s="544"/>
      <c r="AG626" s="348"/>
      <c r="AH626" s="348"/>
      <c r="AI626" s="348"/>
      <c r="AJ626" s="348"/>
      <c r="AK626" s="348"/>
      <c r="AL626" s="348"/>
      <c r="AM626" s="348"/>
      <c r="AN626" s="348"/>
      <c r="AO626" s="348"/>
      <c r="AP626" s="348"/>
      <c r="AQ626" s="348"/>
      <c r="AR626" s="348"/>
      <c r="AS626" s="348"/>
      <c r="AT626" s="348"/>
      <c r="AU626" s="348"/>
      <c r="BC626" s="348"/>
      <c r="BD626" s="340"/>
      <c r="BE626" s="340"/>
    </row>
    <row r="627" spans="2:57" ht="12" customHeight="1">
      <c r="B627" s="348"/>
      <c r="C627" s="348"/>
      <c r="D627" s="336"/>
      <c r="X627" s="544"/>
      <c r="Y627" s="544"/>
      <c r="Z627" s="544"/>
      <c r="AA627" s="544"/>
      <c r="AB627" s="544"/>
      <c r="AC627" s="544"/>
      <c r="AD627" s="544"/>
      <c r="AE627" s="544"/>
      <c r="AF627" s="544"/>
      <c r="AG627" s="348"/>
      <c r="AH627" s="348"/>
      <c r="AI627" s="348"/>
      <c r="AJ627" s="348"/>
      <c r="AK627" s="348"/>
      <c r="AL627" s="348"/>
      <c r="AM627" s="348"/>
      <c r="AN627" s="348"/>
      <c r="AO627" s="348"/>
      <c r="AP627" s="348"/>
      <c r="AQ627" s="348"/>
      <c r="AR627" s="348"/>
      <c r="AS627" s="348"/>
      <c r="AT627" s="348"/>
      <c r="AU627" s="348"/>
      <c r="BC627" s="348"/>
      <c r="BD627" s="340"/>
      <c r="BE627" s="340"/>
    </row>
    <row r="628" spans="2:57" ht="12" customHeight="1">
      <c r="B628" s="348"/>
      <c r="C628" s="348"/>
      <c r="D628" s="336"/>
      <c r="X628" s="544"/>
      <c r="Y628" s="544"/>
      <c r="Z628" s="544"/>
      <c r="AA628" s="544"/>
      <c r="AB628" s="544"/>
      <c r="AC628" s="544"/>
      <c r="AD628" s="544"/>
      <c r="AE628" s="544"/>
      <c r="AF628" s="544"/>
      <c r="AG628" s="348"/>
      <c r="AH628" s="348"/>
      <c r="AI628" s="348"/>
      <c r="AJ628" s="348"/>
      <c r="AK628" s="348"/>
      <c r="AL628" s="348"/>
      <c r="AM628" s="348"/>
      <c r="AN628" s="348"/>
      <c r="AO628" s="348"/>
      <c r="AP628" s="348"/>
      <c r="AQ628" s="348"/>
      <c r="AR628" s="348"/>
      <c r="AS628" s="348"/>
      <c r="AT628" s="348"/>
      <c r="AU628" s="348"/>
      <c r="BC628" s="348"/>
      <c r="BD628" s="340"/>
      <c r="BE628" s="340"/>
    </row>
    <row r="629" spans="2:57" ht="12" customHeight="1">
      <c r="B629" s="348"/>
      <c r="C629" s="348"/>
      <c r="D629" s="336"/>
      <c r="X629" s="544"/>
      <c r="Y629" s="544"/>
      <c r="Z629" s="544"/>
      <c r="AA629" s="544"/>
      <c r="AB629" s="544"/>
      <c r="AC629" s="544"/>
      <c r="AD629" s="544"/>
      <c r="AE629" s="544"/>
      <c r="AF629" s="544"/>
      <c r="AG629" s="348"/>
      <c r="AH629" s="348"/>
      <c r="AI629" s="348"/>
      <c r="AJ629" s="348"/>
      <c r="AK629" s="348"/>
      <c r="AL629" s="348"/>
      <c r="AM629" s="348"/>
      <c r="AN629" s="348"/>
      <c r="AO629" s="348"/>
      <c r="AP629" s="348"/>
      <c r="AQ629" s="348"/>
      <c r="AR629" s="348"/>
      <c r="AS629" s="348"/>
      <c r="AT629" s="348"/>
      <c r="AU629" s="348"/>
      <c r="BC629" s="348"/>
      <c r="BD629" s="340"/>
      <c r="BE629" s="340"/>
    </row>
    <row r="630" spans="2:57" ht="12" customHeight="1">
      <c r="B630" s="348"/>
      <c r="C630" s="348"/>
      <c r="D630" s="336"/>
      <c r="X630" s="544"/>
      <c r="Y630" s="544"/>
      <c r="Z630" s="544"/>
      <c r="AA630" s="544"/>
      <c r="AB630" s="544"/>
      <c r="AC630" s="544"/>
      <c r="AD630" s="544"/>
      <c r="AE630" s="544"/>
      <c r="AF630" s="544"/>
      <c r="AG630" s="348"/>
      <c r="AH630" s="348"/>
      <c r="AI630" s="348"/>
      <c r="AJ630" s="348"/>
      <c r="AK630" s="348"/>
      <c r="AL630" s="348"/>
      <c r="AM630" s="348"/>
      <c r="AN630" s="348"/>
      <c r="AO630" s="348"/>
      <c r="AP630" s="348"/>
      <c r="AQ630" s="348"/>
      <c r="AR630" s="348"/>
      <c r="AS630" s="348"/>
      <c r="AT630" s="348"/>
      <c r="AU630" s="348"/>
      <c r="BC630" s="348"/>
      <c r="BD630" s="340"/>
      <c r="BE630" s="340"/>
    </row>
    <row r="631" spans="2:57" ht="12" customHeight="1">
      <c r="B631" s="348"/>
      <c r="C631" s="348"/>
      <c r="D631" s="336"/>
      <c r="X631" s="544"/>
      <c r="Y631" s="544"/>
      <c r="Z631" s="544"/>
      <c r="AA631" s="544"/>
      <c r="AB631" s="544"/>
      <c r="AC631" s="544"/>
      <c r="AD631" s="544"/>
      <c r="AE631" s="544"/>
      <c r="AF631" s="544"/>
      <c r="AG631" s="348"/>
      <c r="AH631" s="348"/>
      <c r="AI631" s="348"/>
      <c r="AJ631" s="348"/>
      <c r="AK631" s="348"/>
      <c r="AL631" s="348"/>
      <c r="AM631" s="348"/>
      <c r="AN631" s="348"/>
      <c r="AO631" s="348"/>
      <c r="AP631" s="348"/>
      <c r="AQ631" s="348"/>
      <c r="AR631" s="348"/>
      <c r="AS631" s="348"/>
      <c r="AT631" s="348"/>
      <c r="AU631" s="348"/>
      <c r="BC631" s="348"/>
      <c r="BD631" s="340"/>
      <c r="BE631" s="340"/>
    </row>
    <row r="632" spans="2:57" ht="12" customHeight="1">
      <c r="B632" s="348"/>
      <c r="C632" s="348"/>
      <c r="D632" s="336"/>
      <c r="X632" s="544"/>
      <c r="Y632" s="544"/>
      <c r="Z632" s="544"/>
      <c r="AA632" s="544"/>
      <c r="AB632" s="544"/>
      <c r="AC632" s="544"/>
      <c r="AD632" s="544"/>
      <c r="AE632" s="544"/>
      <c r="AF632" s="544"/>
      <c r="AG632" s="348"/>
      <c r="AH632" s="348"/>
      <c r="AI632" s="348"/>
      <c r="AJ632" s="348"/>
      <c r="AK632" s="348"/>
      <c r="AL632" s="348"/>
      <c r="AM632" s="348"/>
      <c r="AN632" s="348"/>
      <c r="AO632" s="348"/>
      <c r="AP632" s="348"/>
      <c r="AQ632" s="348"/>
      <c r="AR632" s="348"/>
      <c r="AS632" s="348"/>
      <c r="AT632" s="348"/>
      <c r="AU632" s="348"/>
      <c r="BC632" s="348"/>
      <c r="BD632" s="340"/>
      <c r="BE632" s="340"/>
    </row>
    <row r="633" spans="2:57" ht="12" customHeight="1">
      <c r="B633" s="348"/>
      <c r="C633" s="348"/>
      <c r="D633" s="336"/>
      <c r="X633" s="544"/>
      <c r="Y633" s="544"/>
      <c r="Z633" s="544"/>
      <c r="AA633" s="544"/>
      <c r="AB633" s="544"/>
      <c r="AC633" s="544"/>
      <c r="AD633" s="544"/>
      <c r="AE633" s="544"/>
      <c r="AF633" s="544"/>
      <c r="AG633" s="348"/>
      <c r="AH633" s="348"/>
      <c r="AI633" s="348"/>
      <c r="AJ633" s="348"/>
      <c r="AK633" s="348"/>
      <c r="AL633" s="348"/>
      <c r="AM633" s="348"/>
      <c r="AN633" s="348"/>
      <c r="AO633" s="348"/>
      <c r="AP633" s="348"/>
      <c r="AQ633" s="348"/>
      <c r="AR633" s="348"/>
      <c r="AS633" s="348"/>
      <c r="AT633" s="348"/>
      <c r="AU633" s="348"/>
      <c r="BC633" s="348"/>
      <c r="BD633" s="340"/>
      <c r="BE633" s="340"/>
    </row>
    <row r="634" spans="2:57" ht="12" customHeight="1">
      <c r="B634" s="348"/>
      <c r="C634" s="348"/>
      <c r="D634" s="336"/>
      <c r="X634" s="544"/>
      <c r="Y634" s="544"/>
      <c r="Z634" s="544"/>
      <c r="AA634" s="544"/>
      <c r="AB634" s="544"/>
      <c r="AC634" s="544"/>
      <c r="AD634" s="544"/>
      <c r="AE634" s="544"/>
      <c r="AF634" s="544"/>
      <c r="AG634" s="348"/>
      <c r="AH634" s="348"/>
      <c r="AI634" s="348"/>
      <c r="AJ634" s="348"/>
      <c r="AK634" s="348"/>
      <c r="AL634" s="348"/>
      <c r="AM634" s="348"/>
      <c r="AN634" s="348"/>
      <c r="AO634" s="348"/>
      <c r="AP634" s="348"/>
      <c r="AQ634" s="348"/>
      <c r="AR634" s="348"/>
      <c r="AS634" s="348"/>
      <c r="AT634" s="348"/>
      <c r="AU634" s="348"/>
      <c r="BC634" s="348"/>
      <c r="BD634" s="340"/>
      <c r="BE634" s="340"/>
    </row>
    <row r="635" spans="2:57" ht="12" customHeight="1">
      <c r="B635" s="348"/>
      <c r="C635" s="348"/>
      <c r="D635" s="336"/>
      <c r="X635" s="544"/>
      <c r="Y635" s="544"/>
      <c r="Z635" s="544"/>
      <c r="AA635" s="544"/>
      <c r="AB635" s="544"/>
      <c r="AC635" s="544"/>
      <c r="AD635" s="544"/>
      <c r="AE635" s="544"/>
      <c r="AF635" s="544"/>
      <c r="AG635" s="348"/>
      <c r="AH635" s="348"/>
      <c r="AI635" s="348"/>
      <c r="AJ635" s="348"/>
      <c r="AK635" s="348"/>
      <c r="AL635" s="348"/>
      <c r="AM635" s="348"/>
      <c r="AN635" s="348"/>
      <c r="AO635" s="348"/>
      <c r="AP635" s="348"/>
      <c r="AQ635" s="348"/>
      <c r="AR635" s="348"/>
      <c r="AS635" s="348"/>
      <c r="AT635" s="348"/>
      <c r="AU635" s="348"/>
      <c r="BC635" s="348"/>
      <c r="BD635" s="340"/>
      <c r="BE635" s="340"/>
    </row>
    <row r="636" spans="2:57" ht="12" customHeight="1">
      <c r="B636" s="348"/>
      <c r="C636" s="348"/>
      <c r="D636" s="336"/>
      <c r="X636" s="544"/>
      <c r="Y636" s="544"/>
      <c r="Z636" s="544"/>
      <c r="AA636" s="544"/>
      <c r="AB636" s="544"/>
      <c r="AC636" s="544"/>
      <c r="AD636" s="544"/>
      <c r="AE636" s="544"/>
      <c r="AF636" s="544"/>
      <c r="AG636" s="348"/>
      <c r="AH636" s="348"/>
      <c r="AI636" s="348"/>
      <c r="AJ636" s="348"/>
      <c r="AK636" s="348"/>
      <c r="AL636" s="348"/>
      <c r="AM636" s="348"/>
      <c r="AN636" s="348"/>
      <c r="AO636" s="348"/>
      <c r="AP636" s="348"/>
      <c r="AQ636" s="348"/>
      <c r="AR636" s="348"/>
      <c r="AS636" s="348"/>
      <c r="AT636" s="348"/>
      <c r="AU636" s="348"/>
      <c r="BC636" s="348"/>
      <c r="BD636" s="340"/>
      <c r="BE636" s="340"/>
    </row>
    <row r="637" spans="2:57" ht="12" customHeight="1">
      <c r="B637" s="348"/>
      <c r="C637" s="348"/>
      <c r="D637" s="336"/>
      <c r="X637" s="544"/>
      <c r="Y637" s="544"/>
      <c r="Z637" s="544"/>
      <c r="AA637" s="544"/>
      <c r="AB637" s="544"/>
      <c r="AC637" s="544"/>
      <c r="AD637" s="544"/>
      <c r="AE637" s="544"/>
      <c r="AF637" s="544"/>
      <c r="AG637" s="348"/>
      <c r="AH637" s="348"/>
      <c r="AI637" s="348"/>
      <c r="AJ637" s="348"/>
      <c r="AK637" s="348"/>
      <c r="AL637" s="348"/>
      <c r="AM637" s="348"/>
      <c r="AN637" s="348"/>
      <c r="AO637" s="348"/>
      <c r="AP637" s="348"/>
      <c r="AQ637" s="348"/>
      <c r="AR637" s="348"/>
      <c r="AS637" s="348"/>
      <c r="AT637" s="348"/>
      <c r="AU637" s="348"/>
      <c r="BC637" s="348"/>
      <c r="BD637" s="340"/>
      <c r="BE637" s="340"/>
    </row>
    <row r="638" spans="2:57" ht="12" customHeight="1">
      <c r="B638" s="348"/>
      <c r="D638" s="336"/>
      <c r="X638" s="544"/>
      <c r="Y638" s="544"/>
      <c r="Z638" s="544"/>
      <c r="AA638" s="544"/>
      <c r="AB638" s="544"/>
      <c r="AC638" s="544"/>
      <c r="AD638" s="544"/>
      <c r="AE638" s="544"/>
      <c r="AF638" s="544"/>
      <c r="AG638" s="348"/>
      <c r="AH638" s="348"/>
      <c r="AI638" s="348"/>
      <c r="AJ638" s="348"/>
      <c r="AK638" s="348"/>
      <c r="AL638" s="348"/>
      <c r="AM638" s="348"/>
      <c r="AN638" s="348"/>
      <c r="AO638" s="348"/>
      <c r="AP638" s="348"/>
      <c r="AQ638" s="348"/>
      <c r="AR638" s="348"/>
      <c r="AS638" s="348"/>
      <c r="AT638" s="348"/>
      <c r="AU638" s="348"/>
      <c r="BC638" s="348"/>
      <c r="BD638" s="340"/>
      <c r="BE638" s="340"/>
    </row>
  </sheetData>
  <mergeCells count="3">
    <mergeCell ref="B87:AD87"/>
    <mergeCell ref="B41:AO41"/>
    <mergeCell ref="B15:AQ16"/>
  </mergeCells>
  <pageMargins left="0.70866141732283472" right="0.70866141732283472" top="0.74803149606299213" bottom="0.74803149606299213" header="0.31496062992125984" footer="0.31496062992125984"/>
  <pageSetup paperSize="9" scale="47"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R120"/>
  <sheetViews>
    <sheetView topLeftCell="B15" zoomScale="55" zoomScaleNormal="55" workbookViewId="0">
      <selection activeCell="B15" sqref="A1:XFD1048576"/>
    </sheetView>
  </sheetViews>
  <sheetFormatPr defaultColWidth="8.88671875" defaultRowHeight="18.75" outlineLevelRow="1"/>
  <cols>
    <col min="1" max="1" width="5.6640625" style="642" hidden="1" customWidth="1"/>
    <col min="2" max="2" width="1.88671875" style="642" customWidth="1"/>
    <col min="3" max="3" width="38.88671875" style="642" customWidth="1"/>
    <col min="4" max="4" width="89.5546875" style="643" customWidth="1"/>
    <col min="5" max="6" width="2.77734375" style="642" hidden="1" customWidth="1"/>
    <col min="7" max="18" width="2.6640625" style="642" hidden="1" customWidth="1"/>
    <col min="19" max="19" width="4.44140625" style="642" hidden="1" customWidth="1"/>
    <col min="20" max="20" width="5.44140625" style="642" hidden="1" customWidth="1"/>
    <col min="21" max="21" width="4.109375" style="642" hidden="1" customWidth="1"/>
    <col min="22" max="23" width="5.33203125" style="642" hidden="1" customWidth="1"/>
    <col min="24" max="24" width="6.6640625" style="644" hidden="1" customWidth="1"/>
    <col min="25" max="25" width="3.6640625" style="644" customWidth="1"/>
    <col min="26" max="26" width="8.88671875" style="644" customWidth="1"/>
    <col min="27" max="27" width="3.77734375" style="644" hidden="1" customWidth="1"/>
    <col min="28" max="28" width="8.88671875" style="644" customWidth="1"/>
    <col min="29" max="29" width="4.44140625" style="644" hidden="1" customWidth="1"/>
    <col min="30" max="30" width="10" style="644" customWidth="1"/>
    <col min="31" max="31" width="2.6640625" style="644" hidden="1" customWidth="1"/>
    <col min="32" max="32" width="10.77734375" style="644" customWidth="1"/>
    <col min="33" max="44" width="10.77734375" style="642" customWidth="1"/>
    <col min="45" max="16384" width="8.88671875" style="642"/>
  </cols>
  <sheetData>
    <row r="1" spans="1:44" ht="17.25" hidden="1" customHeight="1" outlineLevel="1">
      <c r="C1" s="642" t="s">
        <v>1277</v>
      </c>
    </row>
    <row r="2" spans="1:44" ht="17.25" hidden="1" customHeight="1" outlineLevel="1"/>
    <row r="3" spans="1:44" ht="17.25" hidden="1" customHeight="1" outlineLevel="1"/>
    <row r="4" spans="1:44" ht="17.25" hidden="1" customHeight="1" outlineLevel="1">
      <c r="C4" s="645" t="s">
        <v>1278</v>
      </c>
      <c r="D4" s="646"/>
      <c r="E4" s="645"/>
      <c r="F4" s="645"/>
      <c r="G4" s="645"/>
      <c r="H4" s="645"/>
      <c r="I4" s="645"/>
      <c r="J4" s="645"/>
      <c r="K4" s="645"/>
      <c r="L4" s="645"/>
      <c r="M4" s="645"/>
      <c r="N4" s="645"/>
      <c r="O4" s="645"/>
      <c r="P4" s="645"/>
      <c r="Q4" s="645"/>
      <c r="R4" s="645"/>
      <c r="S4" s="645"/>
      <c r="T4" s="645">
        <v>1997</v>
      </c>
      <c r="U4" s="645">
        <v>1998</v>
      </c>
      <c r="V4" s="645">
        <v>1999</v>
      </c>
      <c r="W4" s="645">
        <v>2000</v>
      </c>
      <c r="X4" s="647">
        <v>2001</v>
      </c>
      <c r="Y4" s="647"/>
      <c r="Z4" s="648">
        <v>2003</v>
      </c>
      <c r="AA4" s="648"/>
      <c r="AB4" s="648">
        <v>2005</v>
      </c>
      <c r="AC4" s="648"/>
      <c r="AD4" s="648">
        <v>2007</v>
      </c>
      <c r="AE4" s="648"/>
      <c r="AF4" s="648">
        <v>2009</v>
      </c>
      <c r="AG4" s="648">
        <v>2010</v>
      </c>
      <c r="AH4" s="648">
        <v>2011</v>
      </c>
      <c r="AI4" s="648">
        <v>2012</v>
      </c>
      <c r="AJ4" s="648">
        <v>2013</v>
      </c>
      <c r="AK4" s="648">
        <v>2014</v>
      </c>
      <c r="AL4" s="648">
        <v>2015</v>
      </c>
      <c r="AM4" s="648">
        <v>2016</v>
      </c>
      <c r="AN4" s="648">
        <v>2017</v>
      </c>
      <c r="AO4" s="648">
        <v>2018</v>
      </c>
      <c r="AP4" s="648">
        <v>2019</v>
      </c>
      <c r="AQ4" s="648">
        <v>2020</v>
      </c>
      <c r="AR4" s="648">
        <v>2021</v>
      </c>
    </row>
    <row r="5" spans="1:44" ht="17.25" hidden="1" customHeight="1" outlineLevel="1"/>
    <row r="6" spans="1:44" ht="17.25" hidden="1" customHeight="1" outlineLevel="1">
      <c r="A6" s="649" t="s">
        <v>2</v>
      </c>
      <c r="B6" s="649"/>
      <c r="C6" s="649" t="s">
        <v>3</v>
      </c>
      <c r="D6" s="650"/>
      <c r="E6" s="651"/>
      <c r="T6" s="642">
        <f>T98</f>
        <v>19.076000000000001</v>
      </c>
      <c r="V6" s="642">
        <f>V98</f>
        <v>16.5</v>
      </c>
      <c r="W6" s="642">
        <f>W98</f>
        <v>16.100000000000001</v>
      </c>
      <c r="X6" s="652">
        <f>X94</f>
        <v>26.6</v>
      </c>
      <c r="Y6" s="652"/>
      <c r="Z6" s="653">
        <f>Z94</f>
        <v>24</v>
      </c>
      <c r="AA6" s="653"/>
      <c r="AB6" s="653">
        <f>AB94</f>
        <v>24.4</v>
      </c>
      <c r="AC6" s="653"/>
      <c r="AD6" s="653">
        <f>AD94</f>
        <v>48.4</v>
      </c>
      <c r="AE6" s="653"/>
      <c r="AF6" s="653">
        <f>AF94</f>
        <v>46</v>
      </c>
      <c r="AG6" s="653">
        <f t="shared" ref="AG6:AL6" si="0">AG94</f>
        <v>40.799999999999997</v>
      </c>
      <c r="AH6" s="653">
        <f t="shared" si="0"/>
        <v>33.5</v>
      </c>
      <c r="AI6" s="653">
        <f t="shared" si="0"/>
        <v>1.7</v>
      </c>
      <c r="AJ6" s="653">
        <f t="shared" si="0"/>
        <v>0.9</v>
      </c>
      <c r="AK6" s="653">
        <f t="shared" si="0"/>
        <v>4.8</v>
      </c>
      <c r="AL6" s="653">
        <f t="shared" si="0"/>
        <v>3.7</v>
      </c>
      <c r="AM6" s="653">
        <f>AM94</f>
        <v>4</v>
      </c>
      <c r="AN6" s="653">
        <f>AN94</f>
        <v>4.4000000000000004</v>
      </c>
      <c r="AO6" s="653">
        <f>AO94</f>
        <v>4.9000000000000004</v>
      </c>
      <c r="AP6" s="653">
        <f>AP94</f>
        <v>3.5</v>
      </c>
      <c r="AQ6" s="653">
        <f t="shared" ref="AQ6:AR6" si="1">AQ94</f>
        <v>3.5</v>
      </c>
      <c r="AR6" s="653">
        <f t="shared" si="1"/>
        <v>0</v>
      </c>
    </row>
    <row r="7" spans="1:44" ht="17.25" hidden="1" customHeight="1" outlineLevel="1">
      <c r="A7" s="649" t="s">
        <v>4</v>
      </c>
      <c r="B7" s="649"/>
      <c r="C7" s="649" t="s">
        <v>5</v>
      </c>
      <c r="D7" s="650"/>
      <c r="E7" s="651"/>
      <c r="T7" s="642">
        <f>T106</f>
        <v>75.888000000000005</v>
      </c>
      <c r="V7" s="642">
        <f>V106</f>
        <v>74.099999999999994</v>
      </c>
      <c r="W7" s="642">
        <f>W106</f>
        <v>74.099999999999994</v>
      </c>
      <c r="X7" s="652">
        <f>X105</f>
        <v>82.8</v>
      </c>
      <c r="Y7" s="652"/>
      <c r="Z7" s="653">
        <f>Z105</f>
        <v>97.5</v>
      </c>
      <c r="AA7" s="653"/>
      <c r="AB7" s="653">
        <f>AB105</f>
        <v>106</v>
      </c>
      <c r="AC7" s="653"/>
      <c r="AD7" s="653">
        <f>AD105</f>
        <v>116</v>
      </c>
      <c r="AE7" s="653"/>
      <c r="AF7" s="653">
        <f>AF105</f>
        <v>198</v>
      </c>
      <c r="AG7" s="653">
        <f t="shared" ref="AG7:AM7" si="2">AG105</f>
        <v>210</v>
      </c>
      <c r="AH7" s="653">
        <f t="shared" si="2"/>
        <v>235</v>
      </c>
      <c r="AI7" s="653">
        <f t="shared" si="2"/>
        <v>225</v>
      </c>
      <c r="AJ7" s="653">
        <f t="shared" si="2"/>
        <v>239</v>
      </c>
      <c r="AK7" s="653">
        <f t="shared" si="2"/>
        <v>247</v>
      </c>
      <c r="AL7" s="653">
        <f t="shared" si="2"/>
        <v>252</v>
      </c>
      <c r="AM7" s="653">
        <f t="shared" si="2"/>
        <v>261</v>
      </c>
      <c r="AN7" s="653">
        <f>AN105</f>
        <v>274</v>
      </c>
      <c r="AO7" s="653">
        <f>AO105</f>
        <v>281</v>
      </c>
      <c r="AP7" s="653">
        <f>AP105</f>
        <v>282</v>
      </c>
      <c r="AQ7" s="653">
        <f t="shared" ref="AQ7:AR7" si="3">AQ105</f>
        <v>283</v>
      </c>
      <c r="AR7" s="653">
        <f t="shared" si="3"/>
        <v>0</v>
      </c>
    </row>
    <row r="8" spans="1:44" ht="17.25" hidden="1" customHeight="1" outlineLevel="1">
      <c r="A8" s="649" t="s">
        <v>6</v>
      </c>
      <c r="B8" s="649"/>
      <c r="C8" s="649"/>
      <c r="D8" s="650"/>
      <c r="E8" s="651"/>
      <c r="T8" s="642">
        <f>T7+T6</f>
        <v>94.963999999999999</v>
      </c>
      <c r="V8" s="642">
        <f>V7+V6</f>
        <v>90.6</v>
      </c>
      <c r="W8" s="642">
        <f>W7+W6</f>
        <v>90.199999999999989</v>
      </c>
      <c r="X8" s="652">
        <f>X7+X6</f>
        <v>109.4</v>
      </c>
      <c r="Y8" s="652"/>
      <c r="Z8" s="653">
        <f>Z7+Z6</f>
        <v>121.5</v>
      </c>
      <c r="AA8" s="653"/>
      <c r="AB8" s="653">
        <f>AB7+AB6</f>
        <v>130.4</v>
      </c>
      <c r="AC8" s="653"/>
      <c r="AD8" s="653">
        <f>AD7+AD6</f>
        <v>164.4</v>
      </c>
      <c r="AE8" s="653"/>
      <c r="AF8" s="653">
        <f>AF7+AF6</f>
        <v>244</v>
      </c>
      <c r="AG8" s="653">
        <f t="shared" ref="AG8:AM8" si="4">AG7+AG6</f>
        <v>250.8</v>
      </c>
      <c r="AH8" s="653">
        <f t="shared" si="4"/>
        <v>268.5</v>
      </c>
      <c r="AI8" s="653">
        <f t="shared" si="4"/>
        <v>226.7</v>
      </c>
      <c r="AJ8" s="653">
        <f t="shared" si="4"/>
        <v>239.9</v>
      </c>
      <c r="AK8" s="653">
        <f t="shared" si="4"/>
        <v>251.8</v>
      </c>
      <c r="AL8" s="653">
        <f t="shared" si="4"/>
        <v>255.7</v>
      </c>
      <c r="AM8" s="653">
        <f t="shared" si="4"/>
        <v>265</v>
      </c>
      <c r="AN8" s="653">
        <f>AN7+AN6</f>
        <v>278.39999999999998</v>
      </c>
      <c r="AO8" s="653">
        <f>AO7+AO6</f>
        <v>285.89999999999998</v>
      </c>
      <c r="AP8" s="653">
        <f>AP7+AP6</f>
        <v>285.5</v>
      </c>
      <c r="AQ8" s="653">
        <f t="shared" ref="AQ8:AR8" si="5">AQ7+AQ6</f>
        <v>286.5</v>
      </c>
      <c r="AR8" s="653">
        <f t="shared" si="5"/>
        <v>0</v>
      </c>
    </row>
    <row r="9" spans="1:44" ht="17.25" hidden="1" customHeight="1" outlineLevel="1">
      <c r="A9" s="649"/>
      <c r="B9" s="649"/>
      <c r="C9" s="649"/>
      <c r="D9" s="650"/>
      <c r="E9" s="651"/>
      <c r="X9" s="652"/>
      <c r="Y9" s="652"/>
      <c r="Z9" s="653"/>
      <c r="AA9" s="653"/>
      <c r="AB9" s="653"/>
      <c r="AC9" s="653"/>
      <c r="AD9" s="653"/>
      <c r="AE9" s="653"/>
      <c r="AF9" s="653"/>
      <c r="AG9" s="653"/>
      <c r="AH9" s="653"/>
      <c r="AI9" s="653"/>
      <c r="AJ9" s="653"/>
      <c r="AK9" s="653"/>
      <c r="AL9" s="653"/>
      <c r="AM9" s="653"/>
      <c r="AN9" s="653"/>
      <c r="AO9" s="653"/>
      <c r="AP9" s="653"/>
      <c r="AQ9" s="653"/>
      <c r="AR9" s="653"/>
    </row>
    <row r="10" spans="1:44" ht="17.25" hidden="1" customHeight="1" outlineLevel="1">
      <c r="C10" s="642" t="s">
        <v>110</v>
      </c>
      <c r="X10" s="652"/>
      <c r="Y10" s="652"/>
      <c r="Z10" s="653"/>
      <c r="AA10" s="653"/>
      <c r="AB10" s="653"/>
      <c r="AC10" s="653"/>
      <c r="AD10" s="653"/>
      <c r="AE10" s="653"/>
      <c r="AF10" s="653"/>
      <c r="AG10" s="653"/>
      <c r="AH10" s="653"/>
      <c r="AI10" s="653"/>
      <c r="AJ10" s="653"/>
      <c r="AK10" s="653"/>
      <c r="AL10" s="653"/>
      <c r="AM10" s="653"/>
      <c r="AN10" s="653"/>
      <c r="AO10" s="653"/>
      <c r="AP10" s="653"/>
      <c r="AQ10" s="653"/>
      <c r="AR10" s="653"/>
    </row>
    <row r="11" spans="1:44" ht="17.25" hidden="1" customHeight="1" outlineLevel="1">
      <c r="X11" s="652"/>
      <c r="Y11" s="652"/>
      <c r="Z11" s="653"/>
      <c r="AA11" s="653"/>
      <c r="AB11" s="653"/>
      <c r="AC11" s="653"/>
      <c r="AD11" s="653"/>
      <c r="AE11" s="653"/>
      <c r="AF11" s="653"/>
      <c r="AG11" s="653"/>
      <c r="AH11" s="653"/>
      <c r="AI11" s="653"/>
      <c r="AJ11" s="653"/>
      <c r="AK11" s="653"/>
      <c r="AL11" s="653"/>
      <c r="AM11" s="653"/>
      <c r="AN11" s="653"/>
      <c r="AO11" s="653"/>
      <c r="AP11" s="653"/>
      <c r="AQ11" s="653"/>
      <c r="AR11" s="653"/>
    </row>
    <row r="12" spans="1:44" ht="17.25" hidden="1" customHeight="1" outlineLevel="1">
      <c r="C12" s="642" t="s">
        <v>8</v>
      </c>
      <c r="T12" s="642">
        <f>T98</f>
        <v>19.076000000000001</v>
      </c>
      <c r="V12" s="642">
        <f>V98</f>
        <v>16.5</v>
      </c>
      <c r="W12" s="642">
        <f>W98</f>
        <v>16.100000000000001</v>
      </c>
      <c r="X12" s="652">
        <f>SUM(X97:X98)</f>
        <v>26.6</v>
      </c>
      <c r="Y12" s="652"/>
      <c r="Z12" s="653">
        <f>SUM(Z97:Z98)</f>
        <v>24</v>
      </c>
      <c r="AA12" s="653"/>
      <c r="AB12" s="653">
        <f>SUM(AB97:AB98)</f>
        <v>24.4</v>
      </c>
      <c r="AC12" s="653"/>
      <c r="AD12" s="653">
        <f>SUM(AD97:AD98)</f>
        <v>41.5</v>
      </c>
      <c r="AE12" s="653"/>
      <c r="AF12" s="653">
        <f>SUM(AF97:AF98)</f>
        <v>29</v>
      </c>
      <c r="AG12" s="653">
        <f>SUM(AG97:AG98)</f>
        <v>28</v>
      </c>
      <c r="AH12" s="653">
        <f>SUM(AH97:AH98)</f>
        <v>27</v>
      </c>
      <c r="AI12" s="653" t="s">
        <v>1054</v>
      </c>
      <c r="AJ12" s="653" t="s">
        <v>1054</v>
      </c>
      <c r="AK12" s="653" t="s">
        <v>1054</v>
      </c>
      <c r="AL12" s="653" t="s">
        <v>1054</v>
      </c>
      <c r="AM12" s="653" t="s">
        <v>1054</v>
      </c>
      <c r="AN12" s="653" t="s">
        <v>1054</v>
      </c>
      <c r="AO12" s="653" t="s">
        <v>1054</v>
      </c>
      <c r="AP12" s="653" t="s">
        <v>1054</v>
      </c>
      <c r="AQ12" s="653" t="s">
        <v>1054</v>
      </c>
      <c r="AR12" s="653" t="s">
        <v>1054</v>
      </c>
    </row>
    <row r="13" spans="1:44" ht="17.25" hidden="1" customHeight="1" outlineLevel="1">
      <c r="D13" s="643" t="s">
        <v>256</v>
      </c>
      <c r="X13" s="652"/>
      <c r="Y13" s="652"/>
      <c r="Z13" s="653">
        <f>Z98</f>
        <v>15.4</v>
      </c>
      <c r="AA13" s="653"/>
      <c r="AB13" s="653">
        <f>AB98</f>
        <v>15.7</v>
      </c>
      <c r="AC13" s="653"/>
      <c r="AD13" s="653">
        <f>AD98</f>
        <v>15</v>
      </c>
      <c r="AE13" s="653"/>
      <c r="AF13" s="653">
        <f>AF98</f>
        <v>13</v>
      </c>
      <c r="AG13" s="653">
        <f t="shared" ref="AG13:AL13" si="6">AG98</f>
        <v>14</v>
      </c>
      <c r="AH13" s="653">
        <f t="shared" si="6"/>
        <v>15</v>
      </c>
      <c r="AI13" s="653" t="str">
        <f t="shared" si="6"/>
        <v>a</v>
      </c>
      <c r="AJ13" s="653" t="str">
        <f t="shared" si="6"/>
        <v>a</v>
      </c>
      <c r="AK13" s="653" t="str">
        <f t="shared" si="6"/>
        <v>a</v>
      </c>
      <c r="AL13" s="653" t="str">
        <f t="shared" si="6"/>
        <v>a</v>
      </c>
      <c r="AM13" s="653" t="str">
        <f>AM98</f>
        <v>a</v>
      </c>
      <c r="AN13" s="653" t="str">
        <f>AN98</f>
        <v>a</v>
      </c>
      <c r="AO13" s="653" t="str">
        <f>AO98</f>
        <v>a</v>
      </c>
      <c r="AP13" s="653" t="str">
        <f>AP98</f>
        <v>a</v>
      </c>
      <c r="AQ13" s="653" t="str">
        <f t="shared" ref="AQ13:AR13" si="7">AQ98</f>
        <v>a</v>
      </c>
      <c r="AR13" s="653">
        <f t="shared" si="7"/>
        <v>0</v>
      </c>
    </row>
    <row r="14" spans="1:44" ht="17.25" hidden="1" customHeight="1" outlineLevel="1">
      <c r="D14" s="643" t="s">
        <v>257</v>
      </c>
    </row>
    <row r="15" spans="1:44" ht="34.5" customHeight="1" collapsed="1">
      <c r="C15" s="2032" t="s">
        <v>1279</v>
      </c>
      <c r="D15" s="2032"/>
      <c r="E15" s="2032"/>
      <c r="F15" s="2032"/>
      <c r="G15" s="2032"/>
      <c r="H15" s="2032"/>
      <c r="I15" s="2032"/>
      <c r="J15" s="2032"/>
      <c r="K15" s="2032"/>
      <c r="L15" s="2032"/>
      <c r="M15" s="2032"/>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c r="AL15" s="2032"/>
      <c r="AM15" s="2032"/>
      <c r="AN15" s="2032"/>
      <c r="AO15" s="2032"/>
      <c r="AP15" s="2032"/>
      <c r="AQ15" s="2032"/>
      <c r="AR15" s="2032"/>
    </row>
    <row r="16" spans="1:44" ht="17.25" customHeight="1">
      <c r="O16" s="654"/>
      <c r="P16" s="654"/>
      <c r="Q16" s="654"/>
      <c r="R16" s="654"/>
      <c r="S16" s="654"/>
      <c r="T16" s="654"/>
      <c r="U16" s="654"/>
      <c r="V16" s="654"/>
      <c r="W16" s="654"/>
      <c r="X16" s="655"/>
      <c r="Y16" s="653"/>
      <c r="Z16" s="653"/>
      <c r="AA16" s="653"/>
      <c r="AB16" s="653"/>
      <c r="AC16" s="653"/>
      <c r="AD16" s="653"/>
      <c r="AE16" s="653"/>
      <c r="AF16" s="653"/>
    </row>
    <row r="17" spans="3:44" ht="17.25" customHeight="1">
      <c r="C17" s="656" t="s">
        <v>1280</v>
      </c>
      <c r="D17" s="657"/>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row>
    <row r="18" spans="3:44" ht="17.25" customHeight="1">
      <c r="O18" s="654"/>
      <c r="P18" s="654"/>
      <c r="Q18" s="654"/>
      <c r="R18" s="654"/>
      <c r="S18" s="654"/>
      <c r="T18" s="654"/>
      <c r="U18" s="654"/>
      <c r="V18" s="654"/>
      <c r="W18" s="654"/>
      <c r="X18" s="655"/>
      <c r="Y18" s="653"/>
      <c r="Z18" s="653"/>
      <c r="AA18" s="653"/>
      <c r="AB18" s="653"/>
      <c r="AC18" s="653"/>
      <c r="AD18" s="653"/>
      <c r="AE18" s="653"/>
      <c r="AF18" s="653"/>
    </row>
    <row r="19" spans="3:44" ht="17.25" customHeight="1">
      <c r="C19" s="656" t="s">
        <v>243</v>
      </c>
      <c r="D19" s="657"/>
      <c r="E19" s="658"/>
      <c r="F19" s="658"/>
      <c r="G19" s="658"/>
      <c r="H19" s="658"/>
      <c r="I19" s="658"/>
      <c r="J19" s="658"/>
      <c r="K19" s="658"/>
      <c r="L19" s="658"/>
      <c r="M19" s="658"/>
      <c r="N19" s="658"/>
      <c r="O19" s="658"/>
      <c r="P19" s="658"/>
      <c r="Q19" s="658"/>
      <c r="R19" s="658"/>
      <c r="S19" s="658"/>
      <c r="T19" s="658"/>
      <c r="U19" s="658"/>
      <c r="V19" s="658"/>
      <c r="W19" s="658"/>
      <c r="X19" s="658"/>
      <c r="Y19" s="658"/>
      <c r="Z19" s="658"/>
      <c r="AA19" s="658"/>
      <c r="AB19" s="658"/>
      <c r="AC19" s="658"/>
      <c r="AD19" s="658"/>
      <c r="AE19" s="658"/>
      <c r="AF19" s="658"/>
    </row>
    <row r="20" spans="3:44" ht="17.25" customHeight="1">
      <c r="C20" s="659"/>
      <c r="D20" s="660"/>
      <c r="E20" s="659"/>
      <c r="F20" s="659"/>
      <c r="G20" s="659"/>
      <c r="H20" s="659"/>
      <c r="I20" s="659"/>
      <c r="J20" s="659"/>
      <c r="K20" s="659"/>
      <c r="L20" s="659"/>
      <c r="M20" s="659"/>
      <c r="N20" s="659"/>
      <c r="O20" s="661"/>
      <c r="P20" s="661"/>
      <c r="Q20" s="661"/>
      <c r="R20" s="661"/>
      <c r="S20" s="661"/>
      <c r="T20" s="661"/>
      <c r="U20" s="661"/>
      <c r="V20" s="661"/>
      <c r="W20" s="661"/>
      <c r="X20" s="662"/>
      <c r="Y20" s="662"/>
      <c r="Z20" s="662"/>
      <c r="AA20" s="662"/>
      <c r="AB20" s="662"/>
      <c r="AC20" s="662"/>
      <c r="AD20" s="662"/>
      <c r="AE20" s="662"/>
      <c r="AF20" s="662"/>
      <c r="AN20" s="663"/>
      <c r="AO20" s="663"/>
    </row>
    <row r="21" spans="3:44" ht="32.25" customHeight="1">
      <c r="O21" s="654"/>
      <c r="P21" s="654"/>
      <c r="Q21" s="654"/>
      <c r="R21" s="654"/>
      <c r="S21" s="654"/>
      <c r="T21" s="654"/>
      <c r="U21" s="654"/>
      <c r="V21" s="654"/>
      <c r="W21" s="654"/>
      <c r="X21" s="664">
        <v>2001</v>
      </c>
      <c r="Y21" s="665"/>
      <c r="Z21" s="666">
        <v>2003</v>
      </c>
      <c r="AA21" s="667"/>
      <c r="AB21" s="666">
        <v>2005</v>
      </c>
      <c r="AC21" s="667"/>
      <c r="AD21" s="666">
        <v>2007</v>
      </c>
      <c r="AE21" s="667"/>
      <c r="AF21" s="666">
        <v>2009</v>
      </c>
      <c r="AG21" s="668">
        <v>2010</v>
      </c>
      <c r="AH21" s="668">
        <v>2011</v>
      </c>
      <c r="AI21" s="668">
        <v>2012</v>
      </c>
      <c r="AJ21" s="668">
        <v>2013</v>
      </c>
      <c r="AK21" s="668">
        <v>2014</v>
      </c>
      <c r="AL21" s="668">
        <v>2015</v>
      </c>
      <c r="AM21" s="668">
        <v>2016</v>
      </c>
      <c r="AN21" s="668">
        <v>2017</v>
      </c>
      <c r="AO21" s="668">
        <v>2018</v>
      </c>
      <c r="AP21" s="668">
        <v>2019</v>
      </c>
      <c r="AQ21" s="668">
        <v>2020</v>
      </c>
      <c r="AR21" s="668">
        <v>2021</v>
      </c>
    </row>
    <row r="22" spans="3:44" ht="28.5" customHeight="1">
      <c r="C22" s="669"/>
      <c r="D22" s="670"/>
      <c r="O22" s="654"/>
      <c r="P22" s="654"/>
      <c r="Q22" s="654"/>
      <c r="R22" s="654"/>
      <c r="S22" s="654"/>
      <c r="T22" s="654"/>
      <c r="U22" s="654"/>
      <c r="V22" s="654"/>
      <c r="W22" s="654"/>
      <c r="Z22" s="671"/>
      <c r="AA22" s="671"/>
      <c r="AB22" s="671"/>
      <c r="AC22" s="671"/>
      <c r="AD22" s="671"/>
      <c r="AE22" s="671"/>
      <c r="AF22" s="671"/>
      <c r="AG22" s="671"/>
      <c r="AH22" s="671"/>
      <c r="AI22" s="671"/>
      <c r="AJ22" s="671"/>
      <c r="AK22" s="671"/>
      <c r="AL22" s="671"/>
      <c r="AM22" s="671"/>
      <c r="AN22" s="671"/>
      <c r="AO22" s="671"/>
      <c r="AP22" s="671"/>
    </row>
    <row r="23" spans="3:44" ht="25.15" customHeight="1">
      <c r="D23" s="672" t="s">
        <v>1622</v>
      </c>
      <c r="E23" s="673"/>
      <c r="F23" s="673"/>
      <c r="G23" s="673"/>
      <c r="H23" s="673"/>
      <c r="I23" s="673"/>
      <c r="J23" s="673"/>
      <c r="K23" s="673"/>
      <c r="L23" s="673"/>
      <c r="M23" s="673"/>
      <c r="N23" s="673"/>
      <c r="O23" s="673"/>
      <c r="P23" s="673"/>
      <c r="Q23" s="673"/>
      <c r="R23" s="673"/>
      <c r="S23" s="673"/>
      <c r="T23" s="673"/>
      <c r="U23" s="673"/>
      <c r="V23" s="673"/>
      <c r="W23" s="673"/>
      <c r="X23" s="674">
        <v>15.938399122353101</v>
      </c>
      <c r="Y23" s="675"/>
      <c r="Z23" s="676">
        <v>16.014733932088639</v>
      </c>
      <c r="AA23" s="676"/>
      <c r="AB23" s="676" t="s">
        <v>1054</v>
      </c>
      <c r="AC23" s="676"/>
      <c r="AD23" s="676" t="s">
        <v>1054</v>
      </c>
      <c r="AE23" s="676"/>
      <c r="AF23" s="676" t="s">
        <v>1054</v>
      </c>
      <c r="AG23" s="676" t="s">
        <v>1054</v>
      </c>
      <c r="AH23" s="676" t="s">
        <v>1054</v>
      </c>
      <c r="AI23" s="676" t="s">
        <v>1054</v>
      </c>
      <c r="AJ23" s="677" t="s">
        <v>1054</v>
      </c>
      <c r="AK23" s="677" t="s">
        <v>1054</v>
      </c>
      <c r="AL23" s="677" t="s">
        <v>1054</v>
      </c>
      <c r="AM23" s="677" t="s">
        <v>1054</v>
      </c>
      <c r="AN23" s="677" t="s">
        <v>1054</v>
      </c>
      <c r="AO23" s="677" t="s">
        <v>1054</v>
      </c>
      <c r="AP23" s="677" t="s">
        <v>1054</v>
      </c>
      <c r="AQ23" s="671" t="s">
        <v>1054</v>
      </c>
    </row>
    <row r="24" spans="3:44" ht="25.15" customHeight="1">
      <c r="D24" s="672" t="s">
        <v>1623</v>
      </c>
      <c r="E24" s="673"/>
      <c r="F24" s="673"/>
      <c r="G24" s="673"/>
      <c r="H24" s="673"/>
      <c r="I24" s="673"/>
      <c r="J24" s="673"/>
      <c r="K24" s="673"/>
      <c r="L24" s="673"/>
      <c r="M24" s="673"/>
      <c r="N24" s="673"/>
      <c r="O24" s="673"/>
      <c r="P24" s="673"/>
      <c r="Q24" s="673"/>
      <c r="R24" s="673"/>
      <c r="S24" s="673"/>
      <c r="T24" s="673"/>
      <c r="U24" s="673"/>
      <c r="V24" s="673"/>
      <c r="W24" s="673"/>
      <c r="X24" s="674">
        <v>16.772405746372101</v>
      </c>
      <c r="Y24" s="675"/>
      <c r="Z24" s="676">
        <v>16.995855518063795</v>
      </c>
      <c r="AA24" s="676"/>
      <c r="AB24" s="676">
        <v>17.128953333547869</v>
      </c>
      <c r="AC24" s="676"/>
      <c r="AD24" s="676">
        <v>17.390581439308463</v>
      </c>
      <c r="AE24" s="676"/>
      <c r="AF24" s="676">
        <v>14.269559337781565</v>
      </c>
      <c r="AG24" s="678">
        <v>12.755862903492259</v>
      </c>
      <c r="AH24" s="678">
        <v>12.407266875495957</v>
      </c>
      <c r="AI24" s="677">
        <v>12.582692501691328</v>
      </c>
      <c r="AJ24" s="677">
        <v>12.739055710006383</v>
      </c>
      <c r="AK24" s="677">
        <v>13.026363619573091</v>
      </c>
      <c r="AL24" s="677">
        <v>13.276293708843156</v>
      </c>
      <c r="AM24" s="677">
        <v>13.373444148642147</v>
      </c>
      <c r="AN24" s="677">
        <v>13.5</v>
      </c>
      <c r="AO24" s="677">
        <v>13.6</v>
      </c>
      <c r="AP24" s="677">
        <v>13.8</v>
      </c>
      <c r="AQ24" s="679">
        <v>14</v>
      </c>
    </row>
    <row r="25" spans="3:44" ht="25.15" customHeight="1">
      <c r="D25" s="672" t="s">
        <v>1624</v>
      </c>
      <c r="E25" s="673"/>
      <c r="F25" s="673"/>
      <c r="G25" s="673"/>
      <c r="H25" s="673"/>
      <c r="I25" s="673"/>
      <c r="J25" s="673"/>
      <c r="K25" s="673"/>
      <c r="L25" s="673"/>
      <c r="M25" s="673"/>
      <c r="N25" s="673"/>
      <c r="O25" s="673"/>
      <c r="P25" s="673"/>
      <c r="Q25" s="673"/>
      <c r="R25" s="673"/>
      <c r="S25" s="673"/>
      <c r="T25" s="673"/>
      <c r="U25" s="673"/>
      <c r="V25" s="673"/>
      <c r="W25" s="673"/>
      <c r="X25" s="674">
        <v>16.335598536330401</v>
      </c>
      <c r="Y25" s="675"/>
      <c r="Z25" s="676">
        <v>15.965442495237713</v>
      </c>
      <c r="AA25" s="676"/>
      <c r="AB25" s="676">
        <v>16.133467568042697</v>
      </c>
      <c r="AC25" s="676"/>
      <c r="AD25" s="676">
        <v>16.390357610211861</v>
      </c>
      <c r="AE25" s="676"/>
      <c r="AF25" s="676">
        <v>12.868048034811652</v>
      </c>
      <c r="AG25" s="677">
        <v>11.319205974633293</v>
      </c>
      <c r="AH25" s="677">
        <v>10.838493912794791</v>
      </c>
      <c r="AI25" s="677">
        <v>10.861061697339967</v>
      </c>
      <c r="AJ25" s="677">
        <v>11.130772404150244</v>
      </c>
      <c r="AK25" s="677" t="s">
        <v>1054</v>
      </c>
      <c r="AL25" s="677" t="s">
        <v>1054</v>
      </c>
      <c r="AM25" s="677" t="s">
        <v>1054</v>
      </c>
      <c r="AN25" s="677" t="s">
        <v>1054</v>
      </c>
      <c r="AO25" s="677" t="s">
        <v>1054</v>
      </c>
      <c r="AP25" s="677" t="s">
        <v>1054</v>
      </c>
      <c r="AQ25" s="671" t="s">
        <v>1054</v>
      </c>
    </row>
    <row r="26" spans="3:44" ht="25.15" customHeight="1">
      <c r="D26" s="672" t="s">
        <v>1625</v>
      </c>
      <c r="E26" s="673"/>
      <c r="F26" s="673"/>
      <c r="G26" s="673"/>
      <c r="H26" s="673"/>
      <c r="I26" s="673"/>
      <c r="J26" s="673"/>
      <c r="K26" s="673"/>
      <c r="L26" s="673"/>
      <c r="M26" s="673"/>
      <c r="N26" s="673"/>
      <c r="O26" s="673"/>
      <c r="P26" s="673"/>
      <c r="Q26" s="673"/>
      <c r="R26" s="673"/>
      <c r="S26" s="673"/>
      <c r="T26" s="673"/>
      <c r="U26" s="673"/>
      <c r="V26" s="673"/>
      <c r="W26" s="673"/>
      <c r="X26" s="674">
        <v>16.321683801630201</v>
      </c>
      <c r="Y26" s="675"/>
      <c r="Z26" s="676">
        <v>16.283314567608574</v>
      </c>
      <c r="AA26" s="676"/>
      <c r="AB26" s="676">
        <v>16.420029289497204</v>
      </c>
      <c r="AC26" s="676"/>
      <c r="AD26" s="676">
        <v>16.590272995790695</v>
      </c>
      <c r="AE26" s="676"/>
      <c r="AF26" s="676">
        <v>12.526496825759706</v>
      </c>
      <c r="AG26" s="677">
        <v>11.041619311586061</v>
      </c>
      <c r="AH26" s="677">
        <v>10.614033388079172</v>
      </c>
      <c r="AI26" s="677">
        <v>10.683098250462109</v>
      </c>
      <c r="AJ26" s="677">
        <v>10.504478086971288</v>
      </c>
      <c r="AK26" s="677" t="s">
        <v>1054</v>
      </c>
      <c r="AL26" s="677" t="s">
        <v>1054</v>
      </c>
      <c r="AM26" s="677" t="s">
        <v>1054</v>
      </c>
      <c r="AN26" s="677" t="s">
        <v>1054</v>
      </c>
      <c r="AO26" s="677" t="s">
        <v>1054</v>
      </c>
      <c r="AP26" s="677" t="s">
        <v>1054</v>
      </c>
      <c r="AQ26" s="671" t="s">
        <v>1054</v>
      </c>
    </row>
    <row r="27" spans="3:44" ht="25.15" customHeight="1">
      <c r="D27" s="672" t="s">
        <v>1626</v>
      </c>
      <c r="E27" s="673"/>
      <c r="F27" s="673"/>
      <c r="G27" s="673"/>
      <c r="H27" s="673"/>
      <c r="I27" s="673"/>
      <c r="J27" s="673"/>
      <c r="K27" s="673"/>
      <c r="L27" s="673"/>
      <c r="M27" s="673"/>
      <c r="N27" s="673"/>
      <c r="O27" s="673"/>
      <c r="P27" s="673"/>
      <c r="Q27" s="673"/>
      <c r="R27" s="673"/>
      <c r="S27" s="673"/>
      <c r="T27" s="673"/>
      <c r="U27" s="673"/>
      <c r="V27" s="673"/>
      <c r="W27" s="673"/>
      <c r="X27" s="674">
        <v>16.307161806545299</v>
      </c>
      <c r="Y27" s="675"/>
      <c r="Z27" s="676">
        <v>15.303981832564109</v>
      </c>
      <c r="AA27" s="676"/>
      <c r="AB27" s="676">
        <v>15.468791655881889</v>
      </c>
      <c r="AC27" s="676"/>
      <c r="AD27" s="676">
        <v>15.667369784078394</v>
      </c>
      <c r="AE27" s="676"/>
      <c r="AF27" s="676">
        <v>12.565035692092749</v>
      </c>
      <c r="AG27" s="677">
        <v>11.059762440091925</v>
      </c>
      <c r="AH27" s="677">
        <v>10.564121669687001</v>
      </c>
      <c r="AI27" s="677">
        <v>10.573096042153379</v>
      </c>
      <c r="AJ27" s="677">
        <v>10.579405974475433</v>
      </c>
      <c r="AK27" s="677" t="s">
        <v>1054</v>
      </c>
      <c r="AL27" s="677" t="s">
        <v>1054</v>
      </c>
      <c r="AM27" s="677" t="s">
        <v>1054</v>
      </c>
      <c r="AN27" s="677" t="s">
        <v>1054</v>
      </c>
      <c r="AO27" s="677" t="s">
        <v>1054</v>
      </c>
      <c r="AP27" s="677" t="s">
        <v>1054</v>
      </c>
      <c r="AQ27" s="671" t="s">
        <v>1054</v>
      </c>
    </row>
    <row r="28" spans="3:44" ht="25.15" customHeight="1">
      <c r="D28" s="672" t="s">
        <v>1281</v>
      </c>
      <c r="E28" s="673"/>
      <c r="F28" s="673"/>
      <c r="G28" s="673"/>
      <c r="H28" s="673"/>
      <c r="I28" s="673"/>
      <c r="J28" s="673"/>
      <c r="K28" s="673"/>
      <c r="L28" s="673"/>
      <c r="M28" s="673"/>
      <c r="N28" s="673"/>
      <c r="O28" s="673"/>
      <c r="P28" s="673"/>
      <c r="Q28" s="673"/>
      <c r="R28" s="673"/>
      <c r="S28" s="673"/>
      <c r="T28" s="673"/>
      <c r="U28" s="673"/>
      <c r="V28" s="673"/>
      <c r="W28" s="673"/>
      <c r="X28" s="680">
        <v>7.3567708333333304</v>
      </c>
      <c r="Y28" s="681"/>
      <c r="Z28" s="682">
        <v>19.892840570291963</v>
      </c>
      <c r="AA28" s="682"/>
      <c r="AB28" s="682">
        <v>20.170444903876447</v>
      </c>
      <c r="AC28" s="682"/>
      <c r="AD28" s="682">
        <v>20.59086161098147</v>
      </c>
      <c r="AE28" s="683"/>
      <c r="AF28" s="676">
        <v>19.386232507714311</v>
      </c>
      <c r="AG28" s="677">
        <v>17.464461554336165</v>
      </c>
      <c r="AH28" s="677">
        <v>16.642092176263898</v>
      </c>
      <c r="AI28" s="677">
        <v>16.472425493733624</v>
      </c>
      <c r="AJ28" s="677">
        <v>16.571492661149332</v>
      </c>
      <c r="AK28" s="677">
        <v>16.491071631808122</v>
      </c>
      <c r="AL28" s="677">
        <v>16.725688866468179</v>
      </c>
      <c r="AM28" s="677">
        <v>16.7</v>
      </c>
      <c r="AN28" s="677">
        <v>16.7</v>
      </c>
      <c r="AO28" s="677">
        <v>17.100000000000001</v>
      </c>
      <c r="AP28" s="677">
        <v>18.7</v>
      </c>
      <c r="AQ28" s="642">
        <v>18.2</v>
      </c>
    </row>
    <row r="29" spans="3:44" ht="25.15" customHeight="1">
      <c r="D29" s="672" t="s">
        <v>1283</v>
      </c>
      <c r="E29" s="673"/>
      <c r="F29" s="673"/>
      <c r="G29" s="673"/>
      <c r="H29" s="673"/>
      <c r="I29" s="673"/>
      <c r="J29" s="673"/>
      <c r="K29" s="673"/>
      <c r="L29" s="673"/>
      <c r="M29" s="673"/>
      <c r="N29" s="673"/>
      <c r="O29" s="673"/>
      <c r="P29" s="673"/>
      <c r="Q29" s="673"/>
      <c r="R29" s="673"/>
      <c r="S29" s="673"/>
      <c r="T29" s="673"/>
      <c r="U29" s="673"/>
      <c r="V29" s="673"/>
      <c r="W29" s="673"/>
      <c r="X29" s="680">
        <v>7.3576455534229002</v>
      </c>
      <c r="Y29" s="681"/>
      <c r="Z29" s="682">
        <v>21.143544552353539</v>
      </c>
      <c r="AA29" s="682"/>
      <c r="AB29" s="682">
        <v>20.906540740666944</v>
      </c>
      <c r="AC29" s="682"/>
      <c r="AD29" s="682">
        <v>21.207984606180773</v>
      </c>
      <c r="AE29" s="683"/>
      <c r="AF29" s="676">
        <v>19.833741896681346</v>
      </c>
      <c r="AG29" s="677">
        <v>17.641006487562084</v>
      </c>
      <c r="AH29" s="677">
        <v>16.911116501496789</v>
      </c>
      <c r="AI29" s="677">
        <v>16.976264702497957</v>
      </c>
      <c r="AJ29" s="677">
        <v>16.845823950534168</v>
      </c>
      <c r="AK29" s="677">
        <v>16.790239498569111</v>
      </c>
      <c r="AL29" s="677">
        <v>16.726687015349135</v>
      </c>
      <c r="AM29" s="677">
        <v>17.100000000000001</v>
      </c>
      <c r="AN29" s="677">
        <v>17.2</v>
      </c>
      <c r="AO29" s="677">
        <v>17.399999999999999</v>
      </c>
      <c r="AP29" s="677">
        <v>18.600000000000001</v>
      </c>
      <c r="AQ29" s="642">
        <v>18.2</v>
      </c>
    </row>
    <row r="30" spans="3:44" ht="25.15" customHeight="1">
      <c r="D30" s="672" t="s">
        <v>1284</v>
      </c>
      <c r="E30" s="673"/>
      <c r="F30" s="673"/>
      <c r="G30" s="673"/>
      <c r="H30" s="673"/>
      <c r="I30" s="673"/>
      <c r="J30" s="673"/>
      <c r="K30" s="673"/>
      <c r="L30" s="673"/>
      <c r="M30" s="673"/>
      <c r="N30" s="673"/>
      <c r="O30" s="673"/>
      <c r="P30" s="673"/>
      <c r="Q30" s="673"/>
      <c r="R30" s="673"/>
      <c r="S30" s="673"/>
      <c r="T30" s="673"/>
      <c r="U30" s="673"/>
      <c r="V30" s="673"/>
      <c r="W30" s="673"/>
      <c r="X30" s="680">
        <v>7.3923444976076604</v>
      </c>
      <c r="Y30" s="681"/>
      <c r="Z30" s="682">
        <v>19.689089759683679</v>
      </c>
      <c r="AA30" s="682"/>
      <c r="AB30" s="682">
        <v>19.944526425692658</v>
      </c>
      <c r="AC30" s="682"/>
      <c r="AD30" s="682">
        <v>20.320872086704345</v>
      </c>
      <c r="AE30" s="683"/>
      <c r="AF30" s="676">
        <v>18.892062248264569</v>
      </c>
      <c r="AG30" s="677">
        <v>17.205952270927799</v>
      </c>
      <c r="AH30" s="677">
        <v>15.547038946618214</v>
      </c>
      <c r="AI30" s="677">
        <v>16.643425461533152</v>
      </c>
      <c r="AJ30" s="677">
        <v>14.421784049241968</v>
      </c>
      <c r="AK30" s="677">
        <v>15.214522034237103</v>
      </c>
      <c r="AL30" s="677">
        <v>15.5</v>
      </c>
      <c r="AM30" s="677">
        <v>15.9</v>
      </c>
      <c r="AN30" s="677">
        <v>15.8</v>
      </c>
      <c r="AO30" s="677">
        <v>15.8</v>
      </c>
      <c r="AP30" s="677">
        <v>17.8</v>
      </c>
      <c r="AQ30" s="642">
        <v>18.3</v>
      </c>
    </row>
    <row r="31" spans="3:44" ht="25.15" customHeight="1">
      <c r="D31" s="672" t="s">
        <v>1285</v>
      </c>
      <c r="E31" s="673"/>
      <c r="F31" s="673"/>
      <c r="G31" s="673"/>
      <c r="H31" s="673"/>
      <c r="I31" s="673"/>
      <c r="J31" s="673"/>
      <c r="K31" s="673"/>
      <c r="L31" s="673"/>
      <c r="M31" s="673"/>
      <c r="N31" s="673"/>
      <c r="O31" s="673"/>
      <c r="P31" s="673"/>
      <c r="Q31" s="673"/>
      <c r="R31" s="673"/>
      <c r="S31" s="673"/>
      <c r="T31" s="673"/>
      <c r="U31" s="673"/>
      <c r="V31" s="673"/>
      <c r="W31" s="673"/>
      <c r="X31" s="680">
        <v>7.4032624546410304</v>
      </c>
      <c r="Y31" s="681"/>
      <c r="Z31" s="682">
        <v>23.135045166678402</v>
      </c>
      <c r="AA31" s="682"/>
      <c r="AB31" s="682">
        <v>22.600084425820224</v>
      </c>
      <c r="AC31" s="682"/>
      <c r="AD31" s="682">
        <v>22.935247462092807</v>
      </c>
      <c r="AE31" s="683"/>
      <c r="AF31" s="676">
        <v>20.843538914261377</v>
      </c>
      <c r="AG31" s="677">
        <v>19.362854399285169</v>
      </c>
      <c r="AH31" s="677">
        <v>18.392086440990965</v>
      </c>
      <c r="AI31" s="677">
        <v>18.67100513455539</v>
      </c>
      <c r="AJ31" s="677">
        <v>19.041898812546417</v>
      </c>
      <c r="AK31" s="677">
        <v>19</v>
      </c>
      <c r="AL31" s="677">
        <v>19</v>
      </c>
      <c r="AM31" s="677">
        <v>18.8</v>
      </c>
      <c r="AN31" s="677">
        <v>18.399999999999999</v>
      </c>
      <c r="AO31" s="677">
        <v>19.100000000000001</v>
      </c>
      <c r="AP31" s="677">
        <v>18.600000000000001</v>
      </c>
      <c r="AQ31" s="642">
        <v>18.2</v>
      </c>
    </row>
    <row r="32" spans="3:44" ht="25.15" customHeight="1">
      <c r="D32" s="672" t="s">
        <v>1286</v>
      </c>
      <c r="E32" s="673"/>
      <c r="F32" s="673"/>
      <c r="G32" s="673"/>
      <c r="H32" s="673"/>
      <c r="I32" s="673"/>
      <c r="J32" s="673"/>
      <c r="K32" s="673"/>
      <c r="L32" s="673"/>
      <c r="M32" s="673"/>
      <c r="N32" s="673"/>
      <c r="O32" s="673"/>
      <c r="P32" s="673"/>
      <c r="Q32" s="673"/>
      <c r="R32" s="673"/>
      <c r="S32" s="673"/>
      <c r="T32" s="673"/>
      <c r="U32" s="673"/>
      <c r="V32" s="673"/>
      <c r="W32" s="673"/>
      <c r="X32" s="680">
        <v>7.3604060913705602</v>
      </c>
      <c r="Y32" s="681"/>
      <c r="Z32" s="676" t="s">
        <v>1054</v>
      </c>
      <c r="AA32" s="682"/>
      <c r="AB32" s="676" t="s">
        <v>1054</v>
      </c>
      <c r="AC32" s="682"/>
      <c r="AD32" s="676" t="s">
        <v>1054</v>
      </c>
      <c r="AE32" s="683"/>
      <c r="AF32" s="676" t="s">
        <v>1054</v>
      </c>
      <c r="AG32" s="677" t="s">
        <v>1054</v>
      </c>
      <c r="AH32" s="677" t="s">
        <v>1054</v>
      </c>
      <c r="AI32" s="677" t="s">
        <v>1054</v>
      </c>
      <c r="AJ32" s="677" t="s">
        <v>1054</v>
      </c>
      <c r="AK32" s="677" t="s">
        <v>1054</v>
      </c>
      <c r="AL32" s="677" t="s">
        <v>1054</v>
      </c>
      <c r="AM32" s="677" t="s">
        <v>1054</v>
      </c>
      <c r="AN32" s="677" t="s">
        <v>1054</v>
      </c>
      <c r="AO32" s="677" t="s">
        <v>1054</v>
      </c>
      <c r="AP32" s="677" t="s">
        <v>1054</v>
      </c>
      <c r="AQ32" s="671" t="s">
        <v>1054</v>
      </c>
    </row>
    <row r="33" spans="3:44" ht="25.15" customHeight="1">
      <c r="D33" s="672" t="s">
        <v>1287</v>
      </c>
      <c r="E33" s="673"/>
      <c r="F33" s="673"/>
      <c r="G33" s="673"/>
      <c r="H33" s="673"/>
      <c r="I33" s="673"/>
      <c r="J33" s="673"/>
      <c r="K33" s="673"/>
      <c r="L33" s="673"/>
      <c r="M33" s="673"/>
      <c r="N33" s="673"/>
      <c r="O33" s="673"/>
      <c r="P33" s="673"/>
      <c r="Q33" s="673"/>
      <c r="R33" s="673"/>
      <c r="S33" s="673"/>
      <c r="T33" s="673"/>
      <c r="U33" s="673"/>
      <c r="V33" s="673"/>
      <c r="W33" s="673"/>
      <c r="X33" s="680">
        <v>7.3807691703701401</v>
      </c>
      <c r="Y33" s="681"/>
      <c r="Z33" s="676" t="s">
        <v>1054</v>
      </c>
      <c r="AA33" s="682"/>
      <c r="AB33" s="676" t="s">
        <v>1054</v>
      </c>
      <c r="AC33" s="682"/>
      <c r="AD33" s="676" t="s">
        <v>1054</v>
      </c>
      <c r="AE33" s="683"/>
      <c r="AF33" s="676" t="s">
        <v>1054</v>
      </c>
      <c r="AG33" s="677" t="s">
        <v>1054</v>
      </c>
      <c r="AH33" s="677" t="s">
        <v>1054</v>
      </c>
      <c r="AI33" s="677" t="s">
        <v>1054</v>
      </c>
      <c r="AJ33" s="677" t="s">
        <v>1054</v>
      </c>
      <c r="AK33" s="677" t="s">
        <v>1054</v>
      </c>
      <c r="AL33" s="677" t="s">
        <v>1054</v>
      </c>
      <c r="AM33" s="677" t="s">
        <v>1054</v>
      </c>
      <c r="AN33" s="677" t="s">
        <v>1054</v>
      </c>
      <c r="AO33" s="677" t="s">
        <v>1054</v>
      </c>
      <c r="AP33" s="677" t="s">
        <v>1054</v>
      </c>
      <c r="AQ33" s="671" t="s">
        <v>1054</v>
      </c>
    </row>
    <row r="34" spans="3:44" ht="25.15" customHeight="1">
      <c r="D34" s="672" t="s">
        <v>1288</v>
      </c>
      <c r="E34" s="673"/>
      <c r="F34" s="673"/>
      <c r="G34" s="673"/>
      <c r="H34" s="673"/>
      <c r="I34" s="673"/>
      <c r="J34" s="673"/>
      <c r="K34" s="673"/>
      <c r="L34" s="673"/>
      <c r="M34" s="673"/>
      <c r="N34" s="673"/>
      <c r="O34" s="673"/>
      <c r="P34" s="673"/>
      <c r="Q34" s="673"/>
      <c r="R34" s="673"/>
      <c r="S34" s="673"/>
      <c r="T34" s="673"/>
      <c r="U34" s="673"/>
      <c r="V34" s="673"/>
      <c r="W34" s="673"/>
      <c r="X34" s="680">
        <v>7.3666944836119796</v>
      </c>
      <c r="Y34" s="681"/>
      <c r="Z34" s="676" t="s">
        <v>1054</v>
      </c>
      <c r="AA34" s="682"/>
      <c r="AB34" s="676" t="s">
        <v>1054</v>
      </c>
      <c r="AC34" s="682"/>
      <c r="AD34" s="676" t="s">
        <v>1054</v>
      </c>
      <c r="AE34" s="683"/>
      <c r="AF34" s="676" t="s">
        <v>1054</v>
      </c>
      <c r="AG34" s="677" t="s">
        <v>1054</v>
      </c>
      <c r="AH34" s="677" t="s">
        <v>1054</v>
      </c>
      <c r="AI34" s="677" t="s">
        <v>1054</v>
      </c>
      <c r="AJ34" s="677" t="s">
        <v>1054</v>
      </c>
      <c r="AK34" s="677" t="s">
        <v>1054</v>
      </c>
      <c r="AL34" s="677" t="s">
        <v>1054</v>
      </c>
      <c r="AM34" s="677" t="s">
        <v>1054</v>
      </c>
      <c r="AN34" s="677" t="s">
        <v>1054</v>
      </c>
      <c r="AO34" s="677" t="s">
        <v>1054</v>
      </c>
      <c r="AP34" s="677" t="s">
        <v>1054</v>
      </c>
      <c r="AQ34" s="671" t="s">
        <v>1054</v>
      </c>
    </row>
    <row r="35" spans="3:44" ht="25.15" customHeight="1">
      <c r="D35" s="672" t="s">
        <v>1627</v>
      </c>
      <c r="E35" s="673"/>
      <c r="F35" s="673"/>
      <c r="G35" s="673"/>
      <c r="H35" s="673"/>
      <c r="I35" s="673"/>
      <c r="J35" s="673"/>
      <c r="K35" s="673"/>
      <c r="L35" s="673"/>
      <c r="M35" s="673"/>
      <c r="N35" s="673"/>
      <c r="O35" s="673"/>
      <c r="P35" s="673"/>
      <c r="Q35" s="673"/>
      <c r="R35" s="673"/>
      <c r="S35" s="673"/>
      <c r="T35" s="673"/>
      <c r="U35" s="673"/>
      <c r="V35" s="673"/>
      <c r="W35" s="673"/>
      <c r="X35" s="674" t="s">
        <v>1054</v>
      </c>
      <c r="Y35" s="681"/>
      <c r="Z35" s="684">
        <v>20.285341035795071</v>
      </c>
      <c r="AA35" s="684"/>
      <c r="AB35" s="684">
        <v>20.029959859596442</v>
      </c>
      <c r="AC35" s="684"/>
      <c r="AD35" s="684">
        <v>20.228407677708212</v>
      </c>
      <c r="AE35" s="684"/>
      <c r="AF35" s="684">
        <v>18.82516638209669</v>
      </c>
      <c r="AG35" s="684">
        <v>17.010450001195231</v>
      </c>
      <c r="AH35" s="684">
        <v>16.321893374460934</v>
      </c>
      <c r="AI35" s="684">
        <v>11.907805941192281</v>
      </c>
      <c r="AJ35" s="684">
        <v>23.6</v>
      </c>
      <c r="AK35" s="684">
        <v>15.965503219430142</v>
      </c>
      <c r="AL35" s="684">
        <v>16.07</v>
      </c>
      <c r="AM35" s="684">
        <v>16</v>
      </c>
      <c r="AN35" s="684">
        <v>16</v>
      </c>
      <c r="AO35" s="684">
        <v>15.9</v>
      </c>
      <c r="AP35" s="684">
        <v>18.600000000000001</v>
      </c>
      <c r="AQ35" s="642">
        <v>18.2</v>
      </c>
    </row>
    <row r="36" spans="3:44" ht="25.15" customHeight="1">
      <c r="D36" s="672" t="s">
        <v>1628</v>
      </c>
      <c r="E36" s="673"/>
      <c r="F36" s="673"/>
      <c r="G36" s="673"/>
      <c r="H36" s="673"/>
      <c r="I36" s="673"/>
      <c r="J36" s="673"/>
      <c r="K36" s="673"/>
      <c r="L36" s="673"/>
      <c r="M36" s="673"/>
      <c r="N36" s="673"/>
      <c r="O36" s="673"/>
      <c r="P36" s="673"/>
      <c r="Q36" s="673"/>
      <c r="R36" s="673"/>
      <c r="S36" s="673"/>
      <c r="T36" s="673"/>
      <c r="U36" s="673"/>
      <c r="V36" s="673"/>
      <c r="W36" s="673"/>
      <c r="X36" s="674">
        <v>17.325548386924801</v>
      </c>
      <c r="Y36" s="675"/>
      <c r="Z36" s="676">
        <v>16.966105690546936</v>
      </c>
      <c r="AA36" s="676"/>
      <c r="AB36" s="676">
        <v>17.056632388343814</v>
      </c>
      <c r="AC36" s="676"/>
      <c r="AD36" s="676">
        <v>17.286550509989755</v>
      </c>
      <c r="AE36" s="676"/>
      <c r="AF36" s="676">
        <v>13.566330131559628</v>
      </c>
      <c r="AG36" s="677">
        <v>11.970429965150664</v>
      </c>
      <c r="AH36" s="677">
        <v>11.555501369221387</v>
      </c>
      <c r="AI36" s="677">
        <v>11.631429979462947</v>
      </c>
      <c r="AJ36" s="677">
        <v>11.651045101956479</v>
      </c>
      <c r="AK36" s="677" t="s">
        <v>1054</v>
      </c>
      <c r="AL36" s="677" t="s">
        <v>1054</v>
      </c>
      <c r="AM36" s="677" t="s">
        <v>1054</v>
      </c>
      <c r="AN36" s="677" t="s">
        <v>1054</v>
      </c>
      <c r="AO36" s="677" t="s">
        <v>1054</v>
      </c>
      <c r="AP36" s="677" t="s">
        <v>1054</v>
      </c>
      <c r="AQ36" s="677" t="s">
        <v>1054</v>
      </c>
    </row>
    <row r="37" spans="3:44" ht="25.15" customHeight="1">
      <c r="D37" s="672" t="s">
        <v>1289</v>
      </c>
      <c r="E37" s="673"/>
      <c r="F37" s="673"/>
      <c r="G37" s="673"/>
      <c r="H37" s="673"/>
      <c r="I37" s="673"/>
      <c r="J37" s="673"/>
      <c r="K37" s="673"/>
      <c r="L37" s="673"/>
      <c r="M37" s="673"/>
      <c r="N37" s="673"/>
      <c r="O37" s="673"/>
      <c r="P37" s="673"/>
      <c r="Q37" s="673"/>
      <c r="R37" s="673"/>
      <c r="S37" s="673"/>
      <c r="T37" s="673"/>
      <c r="U37" s="673"/>
      <c r="V37" s="673"/>
      <c r="W37" s="673"/>
      <c r="X37" s="674">
        <v>15.841584158415801</v>
      </c>
      <c r="Y37" s="675"/>
      <c r="Z37" s="676" t="s">
        <v>875</v>
      </c>
      <c r="AA37" s="676"/>
      <c r="AB37" s="676" t="s">
        <v>875</v>
      </c>
      <c r="AC37" s="676"/>
      <c r="AD37" s="676" t="s">
        <v>875</v>
      </c>
      <c r="AE37" s="676"/>
      <c r="AF37" s="676" t="s">
        <v>875</v>
      </c>
      <c r="AG37" s="677" t="s">
        <v>875</v>
      </c>
      <c r="AH37" s="677" t="s">
        <v>875</v>
      </c>
      <c r="AI37" s="677" t="s">
        <v>875</v>
      </c>
      <c r="AJ37" s="677" t="s">
        <v>1054</v>
      </c>
      <c r="AK37" s="677" t="s">
        <v>1054</v>
      </c>
      <c r="AL37" s="677" t="s">
        <v>1054</v>
      </c>
      <c r="AM37" s="677" t="s">
        <v>1054</v>
      </c>
      <c r="AN37" s="677" t="s">
        <v>1054</v>
      </c>
      <c r="AO37" s="677" t="s">
        <v>1054</v>
      </c>
      <c r="AP37" s="677" t="s">
        <v>1054</v>
      </c>
      <c r="AQ37" s="677" t="s">
        <v>1054</v>
      </c>
    </row>
    <row r="38" spans="3:44" ht="25.15" customHeight="1">
      <c r="D38" s="672" t="s">
        <v>1629</v>
      </c>
      <c r="E38" s="673"/>
      <c r="F38" s="673"/>
      <c r="G38" s="673"/>
      <c r="H38" s="673"/>
      <c r="I38" s="673"/>
      <c r="J38" s="673"/>
      <c r="K38" s="673"/>
      <c r="L38" s="673"/>
      <c r="M38" s="673"/>
      <c r="N38" s="673"/>
      <c r="O38" s="673"/>
      <c r="P38" s="673"/>
      <c r="Q38" s="673"/>
      <c r="R38" s="673"/>
      <c r="S38" s="673"/>
      <c r="T38" s="673"/>
      <c r="U38" s="673"/>
      <c r="V38" s="673"/>
      <c r="W38" s="673"/>
      <c r="X38" s="674">
        <v>16.4547712991378</v>
      </c>
      <c r="Y38" s="675"/>
      <c r="Z38" s="676">
        <v>15.278651641700092</v>
      </c>
      <c r="AA38" s="676"/>
      <c r="AB38" s="676">
        <v>15.42687520941764</v>
      </c>
      <c r="AC38" s="676"/>
      <c r="AD38" s="676">
        <v>15.599017898741103</v>
      </c>
      <c r="AE38" s="676"/>
      <c r="AF38" s="676">
        <v>12.543768547395667</v>
      </c>
      <c r="AG38" s="677">
        <v>11.041827404733782</v>
      </c>
      <c r="AH38" s="677">
        <v>10.545933941714303</v>
      </c>
      <c r="AI38" s="677">
        <v>10.553399226418813</v>
      </c>
      <c r="AJ38" s="677">
        <v>10.561618644769782</v>
      </c>
      <c r="AK38" s="677" t="s">
        <v>1054</v>
      </c>
      <c r="AL38" s="677" t="s">
        <v>1054</v>
      </c>
      <c r="AM38" s="677" t="s">
        <v>1054</v>
      </c>
      <c r="AN38" s="677" t="s">
        <v>1054</v>
      </c>
      <c r="AO38" s="677" t="s">
        <v>1054</v>
      </c>
      <c r="AP38" s="677" t="s">
        <v>1054</v>
      </c>
      <c r="AQ38" s="677" t="s">
        <v>1054</v>
      </c>
    </row>
    <row r="39" spans="3:44" s="663" customFormat="1" ht="25.15" customHeight="1">
      <c r="D39" s="685" t="s">
        <v>1630</v>
      </c>
      <c r="E39" s="686"/>
      <c r="F39" s="686"/>
      <c r="G39" s="686"/>
      <c r="H39" s="686"/>
      <c r="I39" s="686"/>
      <c r="J39" s="686"/>
      <c r="K39" s="686"/>
      <c r="L39" s="686"/>
      <c r="M39" s="686"/>
      <c r="N39" s="686"/>
      <c r="O39" s="686"/>
      <c r="P39" s="686"/>
      <c r="Q39" s="686"/>
      <c r="R39" s="686"/>
      <c r="S39" s="686"/>
      <c r="T39" s="686"/>
      <c r="U39" s="686"/>
      <c r="V39" s="686"/>
      <c r="W39" s="686"/>
      <c r="X39" s="687">
        <v>15.4639175257732</v>
      </c>
      <c r="Y39" s="688"/>
      <c r="Z39" s="689">
        <v>15.001205203856429</v>
      </c>
      <c r="AA39" s="689"/>
      <c r="AB39" s="689">
        <v>14.999947861718915</v>
      </c>
      <c r="AC39" s="689"/>
      <c r="AD39" s="689">
        <v>15.002140250469145</v>
      </c>
      <c r="AE39" s="689"/>
      <c r="AF39" s="689">
        <v>12.498502152086299</v>
      </c>
      <c r="AG39" s="678">
        <v>11.09911693945446</v>
      </c>
      <c r="AH39" s="678">
        <v>10.500888720048176</v>
      </c>
      <c r="AI39" s="678">
        <v>10.500910919072712</v>
      </c>
      <c r="AJ39" s="678" t="s">
        <v>1054</v>
      </c>
      <c r="AK39" s="678" t="s">
        <v>1054</v>
      </c>
      <c r="AL39" s="678" t="s">
        <v>1054</v>
      </c>
      <c r="AM39" s="678" t="s">
        <v>1054</v>
      </c>
      <c r="AN39" s="678" t="s">
        <v>1054</v>
      </c>
      <c r="AO39" s="678" t="s">
        <v>1054</v>
      </c>
      <c r="AP39" s="678" t="s">
        <v>1054</v>
      </c>
      <c r="AQ39" s="678" t="s">
        <v>1054</v>
      </c>
    </row>
    <row r="40" spans="3:44" s="663" customFormat="1" ht="25.15" customHeight="1">
      <c r="D40" s="685" t="s">
        <v>1290</v>
      </c>
      <c r="E40" s="686"/>
      <c r="F40" s="686"/>
      <c r="G40" s="686"/>
      <c r="H40" s="686"/>
      <c r="I40" s="686"/>
      <c r="J40" s="686"/>
      <c r="K40" s="686"/>
      <c r="L40" s="686"/>
      <c r="M40" s="686"/>
      <c r="N40" s="686"/>
      <c r="O40" s="686"/>
      <c r="P40" s="686"/>
      <c r="Q40" s="686"/>
      <c r="R40" s="686"/>
      <c r="S40" s="686"/>
      <c r="T40" s="686"/>
      <c r="U40" s="686"/>
      <c r="V40" s="686"/>
      <c r="W40" s="686"/>
      <c r="X40" s="687" t="s">
        <v>1282</v>
      </c>
      <c r="Y40" s="688"/>
      <c r="Z40" s="689">
        <v>17.8656783351333</v>
      </c>
      <c r="AA40" s="689"/>
      <c r="AB40" s="689">
        <v>18.320310364465936</v>
      </c>
      <c r="AC40" s="689"/>
      <c r="AD40" s="689">
        <v>18.809467221100185</v>
      </c>
      <c r="AE40" s="689"/>
      <c r="AF40" s="689">
        <v>16.002571228005657</v>
      </c>
      <c r="AG40" s="678">
        <v>14.37448660858966</v>
      </c>
      <c r="AH40" s="678">
        <v>14.043401126086504</v>
      </c>
      <c r="AI40" s="678">
        <v>14.262356839887691</v>
      </c>
      <c r="AJ40" s="678">
        <v>14.479601215384843</v>
      </c>
      <c r="AK40" s="678">
        <v>14.692977847229971</v>
      </c>
      <c r="AL40" s="678">
        <v>14.888017887893268</v>
      </c>
      <c r="AM40" s="678">
        <v>14.980927069806816</v>
      </c>
      <c r="AN40" s="678">
        <v>15.1</v>
      </c>
      <c r="AO40" s="678">
        <v>15.3</v>
      </c>
      <c r="AP40" s="678">
        <v>15.5</v>
      </c>
      <c r="AQ40" s="678">
        <v>15.6</v>
      </c>
    </row>
    <row r="41" spans="3:44" s="663" customFormat="1" ht="25.15" customHeight="1">
      <c r="D41" s="685" t="s">
        <v>1291</v>
      </c>
      <c r="E41" s="686"/>
      <c r="F41" s="686"/>
      <c r="G41" s="686"/>
      <c r="H41" s="686"/>
      <c r="I41" s="686"/>
      <c r="J41" s="686"/>
      <c r="K41" s="686"/>
      <c r="L41" s="686"/>
      <c r="M41" s="686"/>
      <c r="N41" s="686"/>
      <c r="O41" s="686"/>
      <c r="P41" s="686"/>
      <c r="Q41" s="686"/>
      <c r="R41" s="686"/>
      <c r="S41" s="686"/>
      <c r="T41" s="686"/>
      <c r="U41" s="686"/>
      <c r="V41" s="686"/>
      <c r="W41" s="686"/>
      <c r="X41" s="687" t="s">
        <v>1282</v>
      </c>
      <c r="Y41" s="688"/>
      <c r="Z41" s="689">
        <v>12.527472386492791</v>
      </c>
      <c r="AA41" s="689"/>
      <c r="AB41" s="689">
        <v>13.961240393984914</v>
      </c>
      <c r="AC41" s="689"/>
      <c r="AD41" s="689">
        <v>14.10012395562048</v>
      </c>
      <c r="AE41" s="689"/>
      <c r="AF41" s="689">
        <v>11.584896722150249</v>
      </c>
      <c r="AG41" s="678">
        <v>10.255083167124321</v>
      </c>
      <c r="AH41" s="678">
        <v>9.7537216060150609</v>
      </c>
      <c r="AI41" s="678">
        <v>9.6738233953609658</v>
      </c>
      <c r="AJ41" s="678">
        <v>9.7784522088902506</v>
      </c>
      <c r="AK41" s="678">
        <v>9.8782198116880444</v>
      </c>
      <c r="AL41" s="678">
        <v>9.9047673732824979</v>
      </c>
      <c r="AM41" s="678">
        <v>9.8999725494700854</v>
      </c>
      <c r="AN41" s="678">
        <v>10.199999999999999</v>
      </c>
      <c r="AO41" s="678">
        <v>10.199999999999999</v>
      </c>
      <c r="AP41" s="678">
        <v>10.5</v>
      </c>
      <c r="AQ41" s="678">
        <v>10.4</v>
      </c>
    </row>
    <row r="42" spans="3:44" s="663" customFormat="1" ht="25.15" customHeight="1">
      <c r="D42" s="685" t="s">
        <v>1631</v>
      </c>
      <c r="E42" s="686"/>
      <c r="F42" s="686"/>
      <c r="G42" s="686"/>
      <c r="H42" s="686"/>
      <c r="I42" s="686"/>
      <c r="J42" s="686"/>
      <c r="K42" s="686"/>
      <c r="L42" s="686"/>
      <c r="M42" s="686"/>
      <c r="N42" s="686"/>
      <c r="O42" s="686"/>
      <c r="P42" s="686"/>
      <c r="Q42" s="686"/>
      <c r="R42" s="686"/>
      <c r="S42" s="686"/>
      <c r="T42" s="686"/>
      <c r="U42" s="686"/>
      <c r="V42" s="686"/>
      <c r="W42" s="686"/>
      <c r="X42" s="687"/>
      <c r="Y42" s="688"/>
      <c r="Z42" s="689" t="s">
        <v>1054</v>
      </c>
      <c r="AA42" s="689"/>
      <c r="AB42" s="689" t="s">
        <v>1054</v>
      </c>
      <c r="AC42" s="689"/>
      <c r="AD42" s="689" t="s">
        <v>1054</v>
      </c>
      <c r="AE42" s="689"/>
      <c r="AF42" s="689" t="s">
        <v>1054</v>
      </c>
      <c r="AG42" s="678" t="s">
        <v>1054</v>
      </c>
      <c r="AH42" s="678" t="s">
        <v>1054</v>
      </c>
      <c r="AI42" s="678" t="s">
        <v>1054</v>
      </c>
      <c r="AJ42" s="678">
        <v>10.748852585534131</v>
      </c>
      <c r="AK42" s="678">
        <v>10.809546199021112</v>
      </c>
      <c r="AL42" s="678">
        <v>10.757868993096613</v>
      </c>
      <c r="AM42" s="678">
        <v>10.860909007551772</v>
      </c>
      <c r="AN42" s="678">
        <v>10.9</v>
      </c>
      <c r="AO42" s="678">
        <v>10.9</v>
      </c>
      <c r="AP42" s="678">
        <v>11.1</v>
      </c>
      <c r="AQ42" s="678">
        <v>11.3</v>
      </c>
    </row>
    <row r="43" spans="3:44" s="663" customFormat="1" ht="25.15" customHeight="1">
      <c r="D43" s="685" t="s">
        <v>1632</v>
      </c>
      <c r="E43" s="686"/>
      <c r="F43" s="686"/>
      <c r="G43" s="686"/>
      <c r="H43" s="686"/>
      <c r="I43" s="686"/>
      <c r="J43" s="686"/>
      <c r="K43" s="686"/>
      <c r="L43" s="686"/>
      <c r="M43" s="686"/>
      <c r="N43" s="686"/>
      <c r="O43" s="686"/>
      <c r="P43" s="686"/>
      <c r="Q43" s="686"/>
      <c r="R43" s="686"/>
      <c r="S43" s="686"/>
      <c r="T43" s="686"/>
      <c r="U43" s="686"/>
      <c r="V43" s="686"/>
      <c r="W43" s="686"/>
      <c r="X43" s="687"/>
      <c r="Y43" s="688"/>
      <c r="Z43" s="689" t="s">
        <v>1054</v>
      </c>
      <c r="AA43" s="689"/>
      <c r="AB43" s="689" t="s">
        <v>1054</v>
      </c>
      <c r="AC43" s="689"/>
      <c r="AD43" s="689" t="s">
        <v>1054</v>
      </c>
      <c r="AE43" s="689"/>
      <c r="AF43" s="689" t="s">
        <v>1054</v>
      </c>
      <c r="AG43" s="678" t="s">
        <v>1054</v>
      </c>
      <c r="AH43" s="678" t="s">
        <v>1054</v>
      </c>
      <c r="AI43" s="678" t="s">
        <v>1054</v>
      </c>
      <c r="AJ43" s="678">
        <v>11.689428992062197</v>
      </c>
      <c r="AK43" s="678">
        <v>11.755057904900044</v>
      </c>
      <c r="AL43" s="678">
        <v>11.885051691560127</v>
      </c>
      <c r="AM43" s="678">
        <v>12.233224504955102</v>
      </c>
      <c r="AN43" s="678">
        <v>12.3</v>
      </c>
      <c r="AO43" s="678">
        <v>12.4</v>
      </c>
      <c r="AP43" s="678">
        <v>12.6</v>
      </c>
      <c r="AQ43" s="678">
        <v>13.1</v>
      </c>
    </row>
    <row r="44" spans="3:44" s="663" customFormat="1" ht="25.15" customHeight="1">
      <c r="D44" s="685" t="s">
        <v>1633</v>
      </c>
      <c r="E44" s="686"/>
      <c r="F44" s="686"/>
      <c r="G44" s="686"/>
      <c r="H44" s="686"/>
      <c r="I44" s="686"/>
      <c r="J44" s="686"/>
      <c r="K44" s="686"/>
      <c r="L44" s="686"/>
      <c r="M44" s="686"/>
      <c r="N44" s="686"/>
      <c r="O44" s="686"/>
      <c r="P44" s="686"/>
      <c r="Q44" s="686"/>
      <c r="R44" s="686"/>
      <c r="S44" s="686"/>
      <c r="T44" s="686"/>
      <c r="U44" s="686"/>
      <c r="V44" s="686"/>
      <c r="W44" s="686"/>
      <c r="X44" s="687"/>
      <c r="Y44" s="688"/>
      <c r="Z44" s="689" t="s">
        <v>1054</v>
      </c>
      <c r="AA44" s="689"/>
      <c r="AB44" s="689" t="s">
        <v>1054</v>
      </c>
      <c r="AC44" s="689"/>
      <c r="AD44" s="689" t="s">
        <v>1054</v>
      </c>
      <c r="AE44" s="689"/>
      <c r="AF44" s="689" t="s">
        <v>1054</v>
      </c>
      <c r="AG44" s="678" t="s">
        <v>1054</v>
      </c>
      <c r="AH44" s="678" t="s">
        <v>1054</v>
      </c>
      <c r="AI44" s="678" t="s">
        <v>1054</v>
      </c>
      <c r="AJ44" s="678">
        <v>10.746972024836676</v>
      </c>
      <c r="AK44" s="678">
        <v>10.808308548543748</v>
      </c>
      <c r="AL44" s="678">
        <v>10.841767827167933</v>
      </c>
      <c r="AM44" s="678">
        <v>10.893622745404203</v>
      </c>
      <c r="AN44" s="678">
        <v>11</v>
      </c>
      <c r="AO44" s="678">
        <v>11.1</v>
      </c>
      <c r="AP44" s="678">
        <v>11.4</v>
      </c>
      <c r="AQ44" s="678">
        <v>11.9</v>
      </c>
    </row>
    <row r="45" spans="3:44" ht="22.15" customHeight="1">
      <c r="C45" s="659"/>
      <c r="D45" s="660" t="s">
        <v>1634</v>
      </c>
      <c r="E45" s="659"/>
      <c r="F45" s="659"/>
      <c r="G45" s="659"/>
      <c r="H45" s="659"/>
      <c r="I45" s="659"/>
      <c r="J45" s="659"/>
      <c r="K45" s="659"/>
      <c r="L45" s="659"/>
      <c r="M45" s="659"/>
      <c r="N45" s="659"/>
      <c r="O45" s="659"/>
      <c r="P45" s="659"/>
      <c r="Q45" s="659"/>
      <c r="R45" s="659"/>
      <c r="S45" s="659"/>
      <c r="T45" s="659"/>
      <c r="U45" s="659"/>
      <c r="V45" s="659"/>
      <c r="W45" s="659"/>
      <c r="X45" s="690"/>
      <c r="Y45" s="690"/>
      <c r="Z45" s="691" t="s">
        <v>1054</v>
      </c>
      <c r="AA45" s="691"/>
      <c r="AB45" s="691" t="s">
        <v>1054</v>
      </c>
      <c r="AC45" s="691"/>
      <c r="AD45" s="691" t="s">
        <v>1054</v>
      </c>
      <c r="AE45" s="691"/>
      <c r="AF45" s="692" t="s">
        <v>1054</v>
      </c>
      <c r="AG45" s="692" t="s">
        <v>1054</v>
      </c>
      <c r="AH45" s="692" t="s">
        <v>1054</v>
      </c>
      <c r="AI45" s="692">
        <v>11.183343874179872</v>
      </c>
      <c r="AJ45" s="692">
        <v>11.057632440435485</v>
      </c>
      <c r="AK45" s="692">
        <v>11.064195558044851</v>
      </c>
      <c r="AL45" s="691">
        <v>11.101492961285201</v>
      </c>
      <c r="AM45" s="691">
        <v>11.375462982120878</v>
      </c>
      <c r="AN45" s="691">
        <v>11.6</v>
      </c>
      <c r="AO45" s="691">
        <v>11.7</v>
      </c>
      <c r="AP45" s="691">
        <v>11.8</v>
      </c>
      <c r="AQ45" s="691">
        <v>12</v>
      </c>
      <c r="AR45" s="691"/>
    </row>
    <row r="46" spans="3:44" ht="24" customHeight="1">
      <c r="C46" s="663"/>
      <c r="D46" s="670"/>
      <c r="E46" s="663"/>
      <c r="F46" s="663"/>
      <c r="G46" s="663"/>
      <c r="H46" s="663"/>
      <c r="I46" s="663"/>
      <c r="J46" s="663"/>
      <c r="K46" s="663"/>
      <c r="L46" s="663"/>
      <c r="M46" s="663"/>
      <c r="N46" s="663"/>
      <c r="O46" s="663"/>
      <c r="P46" s="663"/>
      <c r="Q46" s="663"/>
      <c r="R46" s="663"/>
      <c r="S46" s="663"/>
      <c r="T46" s="663"/>
      <c r="U46" s="663"/>
      <c r="V46" s="663"/>
      <c r="W46" s="663"/>
      <c r="X46" s="693"/>
      <c r="Y46" s="693"/>
      <c r="Z46" s="693"/>
      <c r="AA46" s="693"/>
      <c r="AB46" s="693"/>
      <c r="AC46" s="693"/>
      <c r="AD46" s="693"/>
      <c r="AE46" s="693"/>
      <c r="AF46" s="687"/>
      <c r="AG46" s="687"/>
      <c r="AH46" s="687"/>
      <c r="AI46" s="687"/>
    </row>
    <row r="47" spans="3:44" ht="408.75" customHeight="1">
      <c r="C47" s="663"/>
      <c r="D47" s="2033" t="s">
        <v>1821</v>
      </c>
      <c r="E47" s="2033"/>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3"/>
      <c r="AK47" s="2033"/>
      <c r="AL47" s="2033"/>
      <c r="AM47" s="2033"/>
      <c r="AN47" s="2033"/>
      <c r="AO47" s="2033"/>
      <c r="AP47" s="1925"/>
      <c r="AQ47" s="1925"/>
      <c r="AR47" s="1925"/>
    </row>
    <row r="48" spans="3:44" ht="18.75" customHeight="1"/>
    <row r="49" spans="2:44" ht="17.25" customHeight="1"/>
    <row r="50" spans="2:44" ht="4.5" customHeight="1"/>
    <row r="51" spans="2:44" ht="14.1" customHeight="1"/>
    <row r="52" spans="2:44" ht="14.1" customHeight="1"/>
    <row r="53" spans="2:44" ht="17.25" customHeight="1"/>
    <row r="54" spans="2:44" ht="17.25" customHeight="1"/>
    <row r="55" spans="2:44" ht="12" customHeight="1"/>
    <row r="56" spans="2:44" ht="17.25" customHeight="1"/>
    <row r="57" spans="2:44" s="696" customFormat="1">
      <c r="C57" s="694"/>
      <c r="D57" s="695"/>
    </row>
    <row r="58" spans="2:44" s="696" customFormat="1">
      <c r="C58" s="694"/>
      <c r="D58" s="695"/>
    </row>
    <row r="59" spans="2:44" s="696" customFormat="1">
      <c r="C59" s="697"/>
      <c r="D59" s="695"/>
    </row>
    <row r="60" spans="2:44" ht="17.25" customHeight="1" outlineLevel="1">
      <c r="C60" s="656" t="s">
        <v>26</v>
      </c>
      <c r="D60" s="657"/>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s="658"/>
    </row>
    <row r="61" spans="2:44" ht="17.25" customHeight="1" outlineLevel="1">
      <c r="C61" s="698" t="s">
        <v>1292</v>
      </c>
      <c r="D61" s="699"/>
      <c r="E61" s="700"/>
      <c r="F61" s="700"/>
      <c r="G61" s="700"/>
      <c r="H61" s="700"/>
      <c r="I61" s="700"/>
      <c r="J61" s="700"/>
      <c r="K61" s="700"/>
      <c r="L61" s="700"/>
      <c r="M61" s="700"/>
      <c r="N61" s="700"/>
      <c r="O61" s="700"/>
      <c r="P61" s="700"/>
      <c r="Q61" s="700"/>
      <c r="R61" s="700"/>
      <c r="S61" s="700"/>
      <c r="T61" s="700"/>
      <c r="U61" s="700"/>
      <c r="V61" s="700"/>
      <c r="W61" s="700"/>
      <c r="X61" s="700"/>
      <c r="Y61" s="700"/>
      <c r="Z61" s="700"/>
      <c r="AA61" s="700"/>
      <c r="AB61" s="700"/>
      <c r="AC61" s="700"/>
      <c r="AD61" s="700"/>
      <c r="AE61" s="700"/>
      <c r="AF61" s="700"/>
    </row>
    <row r="62" spans="2:44" ht="17.25" customHeight="1" outlineLevel="1">
      <c r="C62" s="701"/>
      <c r="D62" s="702"/>
      <c r="E62" s="701"/>
      <c r="F62" s="701"/>
      <c r="G62" s="701"/>
      <c r="H62" s="701"/>
      <c r="I62" s="701"/>
      <c r="J62" s="701"/>
      <c r="K62" s="701"/>
      <c r="L62" s="701"/>
      <c r="M62" s="701"/>
      <c r="N62" s="701"/>
      <c r="O62" s="703"/>
      <c r="P62" s="704"/>
      <c r="Q62" s="704"/>
      <c r="R62" s="704"/>
      <c r="S62" s="704"/>
      <c r="T62" s="704"/>
      <c r="U62" s="704"/>
      <c r="V62" s="704"/>
      <c r="W62" s="704"/>
      <c r="X62" s="705"/>
      <c r="Y62" s="706"/>
      <c r="Z62" s="706"/>
      <c r="AA62" s="706"/>
      <c r="AB62" s="706"/>
      <c r="AC62" s="706"/>
      <c r="AD62" s="706"/>
      <c r="AE62" s="706"/>
      <c r="AF62" s="706"/>
    </row>
    <row r="63" spans="2:44" ht="17.25" customHeight="1" outlineLevel="1">
      <c r="B63" s="643" t="s">
        <v>1277</v>
      </c>
      <c r="F63" s="707"/>
      <c r="G63" s="707"/>
      <c r="H63" s="707"/>
      <c r="I63" s="707"/>
      <c r="J63" s="707"/>
      <c r="K63" s="707"/>
      <c r="L63" s="707"/>
      <c r="M63" s="707"/>
      <c r="N63" s="707"/>
      <c r="O63" s="708"/>
      <c r="P63" s="709"/>
      <c r="Q63" s="710"/>
      <c r="R63" s="709"/>
      <c r="S63" s="709"/>
      <c r="T63" s="709"/>
      <c r="U63" s="709"/>
      <c r="V63" s="709"/>
      <c r="W63" s="709"/>
      <c r="X63" s="690">
        <v>2001</v>
      </c>
      <c r="Y63" s="647"/>
      <c r="Z63" s="668">
        <v>2003</v>
      </c>
      <c r="AA63" s="711"/>
      <c r="AB63" s="668">
        <v>2005</v>
      </c>
      <c r="AC63" s="711"/>
      <c r="AD63" s="668">
        <v>2007</v>
      </c>
      <c r="AE63" s="711"/>
      <c r="AF63" s="668">
        <v>2009</v>
      </c>
      <c r="AG63" s="668">
        <v>2010</v>
      </c>
      <c r="AH63" s="668">
        <v>2011</v>
      </c>
      <c r="AI63" s="668">
        <v>2012</v>
      </c>
      <c r="AJ63" s="668">
        <v>2013</v>
      </c>
      <c r="AK63" s="668">
        <v>2014</v>
      </c>
      <c r="AL63" s="668">
        <v>2015</v>
      </c>
      <c r="AM63" s="668">
        <v>2016</v>
      </c>
      <c r="AN63" s="668">
        <v>2017</v>
      </c>
      <c r="AO63" s="668">
        <v>2018</v>
      </c>
      <c r="AP63" s="668">
        <v>2019</v>
      </c>
      <c r="AQ63" s="668">
        <v>2020</v>
      </c>
      <c r="AR63" s="668">
        <v>2021</v>
      </c>
    </row>
    <row r="64" spans="2:44" outlineLevel="1">
      <c r="B64" s="643" t="s">
        <v>1824</v>
      </c>
      <c r="F64" s="707"/>
      <c r="G64" s="707"/>
      <c r="H64" s="707"/>
      <c r="I64" s="707"/>
      <c r="J64" s="707"/>
      <c r="K64" s="707"/>
      <c r="L64" s="707"/>
      <c r="M64" s="707"/>
      <c r="N64" s="707"/>
      <c r="O64" s="708"/>
      <c r="P64" s="709"/>
      <c r="Q64" s="710"/>
      <c r="R64" s="709"/>
      <c r="S64" s="709"/>
      <c r="T64" s="709"/>
      <c r="U64" s="709"/>
      <c r="V64" s="709"/>
      <c r="W64" s="709"/>
      <c r="Y64" s="693"/>
      <c r="Z64" s="671"/>
      <c r="AA64" s="712"/>
      <c r="AB64" s="671"/>
      <c r="AC64" s="712"/>
      <c r="AD64" s="671"/>
      <c r="AE64" s="712"/>
      <c r="AF64" s="671"/>
      <c r="AG64" s="671"/>
      <c r="AH64" s="671"/>
      <c r="AI64" s="671"/>
      <c r="AJ64" s="671"/>
      <c r="AK64" s="671"/>
      <c r="AL64" s="671"/>
      <c r="AM64" s="671"/>
      <c r="AN64" s="671"/>
      <c r="AO64" s="671"/>
      <c r="AP64" s="671"/>
    </row>
    <row r="65" spans="3:42" outlineLevel="1">
      <c r="C65" s="713" t="s">
        <v>28</v>
      </c>
      <c r="D65" s="643" t="s">
        <v>29</v>
      </c>
      <c r="F65" s="707"/>
      <c r="G65" s="707"/>
      <c r="H65" s="707"/>
      <c r="I65" s="707"/>
      <c r="J65" s="707"/>
      <c r="K65" s="707"/>
      <c r="L65" s="707"/>
      <c r="M65" s="707"/>
      <c r="N65" s="707"/>
      <c r="O65" s="708"/>
      <c r="P65" s="709"/>
      <c r="Q65" s="710"/>
      <c r="R65" s="709"/>
      <c r="S65" s="709"/>
      <c r="T65" s="709"/>
      <c r="U65" s="709"/>
      <c r="V65" s="709"/>
      <c r="W65" s="709"/>
      <c r="X65" s="653">
        <v>72751</v>
      </c>
      <c r="Z65" s="714">
        <v>82797</v>
      </c>
      <c r="AA65" s="671">
        <v>88656</v>
      </c>
      <c r="AB65" s="714">
        <v>94636</v>
      </c>
      <c r="AC65" s="671">
        <v>100218</v>
      </c>
      <c r="AD65" s="714">
        <v>105797</v>
      </c>
      <c r="AE65" s="671">
        <v>109357</v>
      </c>
      <c r="AF65" s="714">
        <v>113015</v>
      </c>
      <c r="AG65" s="714">
        <v>117588</v>
      </c>
      <c r="AH65" s="714">
        <v>124212</v>
      </c>
      <c r="AI65" s="714">
        <v>127889</v>
      </c>
      <c r="AJ65" s="714">
        <v>133880</v>
      </c>
      <c r="AK65" s="714">
        <v>139369</v>
      </c>
      <c r="AL65" s="714">
        <v>146456</v>
      </c>
      <c r="AM65" s="714">
        <v>157416</v>
      </c>
      <c r="AN65" s="714">
        <v>167457</v>
      </c>
      <c r="AO65" s="714">
        <v>177465</v>
      </c>
      <c r="AP65" s="714">
        <v>185883</v>
      </c>
    </row>
    <row r="66" spans="3:42" outlineLevel="1">
      <c r="C66" s="644"/>
      <c r="F66" s="707"/>
      <c r="G66" s="707"/>
      <c r="H66" s="707"/>
      <c r="I66" s="707"/>
      <c r="J66" s="707"/>
      <c r="K66" s="707"/>
      <c r="L66" s="707"/>
      <c r="M66" s="707"/>
      <c r="N66" s="707"/>
      <c r="O66" s="708"/>
      <c r="P66" s="709"/>
      <c r="Q66" s="710"/>
      <c r="R66" s="709"/>
      <c r="S66" s="709"/>
      <c r="T66" s="709"/>
      <c r="U66" s="709"/>
      <c r="V66" s="709"/>
      <c r="W66" s="709"/>
      <c r="X66" s="653"/>
      <c r="Z66" s="714"/>
      <c r="AA66" s="671"/>
      <c r="AB66" s="714"/>
      <c r="AC66" s="671"/>
      <c r="AD66" s="714"/>
      <c r="AE66" s="671"/>
      <c r="AF66" s="714"/>
      <c r="AG66" s="714"/>
      <c r="AH66" s="714"/>
      <c r="AI66" s="714"/>
      <c r="AJ66" s="714"/>
      <c r="AK66" s="714"/>
      <c r="AL66" s="714"/>
      <c r="AM66" s="714"/>
      <c r="AN66" s="714"/>
      <c r="AO66" s="714"/>
      <c r="AP66" s="714"/>
    </row>
    <row r="67" spans="3:42" outlineLevel="1">
      <c r="C67" s="713" t="s">
        <v>30</v>
      </c>
      <c r="D67" s="643" t="s">
        <v>31</v>
      </c>
      <c r="F67" s="707"/>
      <c r="G67" s="707"/>
      <c r="H67" s="707"/>
      <c r="I67" s="707"/>
      <c r="J67" s="707"/>
      <c r="K67" s="707"/>
      <c r="L67" s="707"/>
      <c r="M67" s="707"/>
      <c r="N67" s="707"/>
      <c r="O67" s="708"/>
      <c r="P67" s="709"/>
      <c r="Q67" s="710"/>
      <c r="R67" s="709"/>
      <c r="S67" s="709"/>
      <c r="T67" s="709"/>
      <c r="U67" s="709"/>
      <c r="V67" s="709"/>
      <c r="W67" s="709"/>
      <c r="X67" s="653">
        <v>83836.100000000006</v>
      </c>
      <c r="Z67" s="714">
        <v>94781.28</v>
      </c>
      <c r="AA67" s="671">
        <v>101723.29000000001</v>
      </c>
      <c r="AB67" s="714">
        <v>109359.49</v>
      </c>
      <c r="AC67" s="671">
        <v>116093.41</v>
      </c>
      <c r="AD67" s="714">
        <v>123161.5</v>
      </c>
      <c r="AE67" s="671">
        <v>128349.68</v>
      </c>
      <c r="AF67" s="714">
        <v>132070.49</v>
      </c>
      <c r="AG67" s="714">
        <v>137612.41999999998</v>
      </c>
      <c r="AH67" s="714">
        <v>145326.31</v>
      </c>
      <c r="AI67" s="714">
        <v>148996.84</v>
      </c>
      <c r="AJ67" s="714">
        <v>155812.31</v>
      </c>
      <c r="AK67" s="714">
        <v>162528.26999999999</v>
      </c>
      <c r="AL67" s="714">
        <v>170556.47</v>
      </c>
      <c r="AM67" s="714">
        <v>182505.61</v>
      </c>
      <c r="AN67" s="714">
        <v>194432.44</v>
      </c>
      <c r="AO67" s="714">
        <v>205938.09</v>
      </c>
      <c r="AP67" s="714">
        <v>216675.69</v>
      </c>
    </row>
    <row r="68" spans="3:42" outlineLevel="1">
      <c r="C68" s="644"/>
      <c r="F68" s="707"/>
      <c r="G68" s="707"/>
      <c r="H68" s="707"/>
      <c r="I68" s="707"/>
      <c r="J68" s="707"/>
      <c r="K68" s="707"/>
      <c r="L68" s="707"/>
      <c r="M68" s="707"/>
      <c r="N68" s="707"/>
      <c r="O68" s="708"/>
      <c r="P68" s="709"/>
      <c r="Q68" s="710"/>
      <c r="R68" s="709"/>
      <c r="S68" s="709"/>
      <c r="T68" s="709"/>
      <c r="U68" s="709"/>
      <c r="V68" s="709"/>
      <c r="W68" s="709"/>
      <c r="Z68" s="671"/>
      <c r="AA68" s="671"/>
      <c r="AB68" s="671"/>
      <c r="AC68" s="671"/>
      <c r="AD68" s="671"/>
      <c r="AE68" s="671"/>
      <c r="AF68" s="671"/>
      <c r="AG68" s="671"/>
      <c r="AH68" s="671"/>
      <c r="AI68" s="671"/>
      <c r="AJ68" s="671"/>
      <c r="AK68" s="671"/>
      <c r="AL68" s="671"/>
      <c r="AM68" s="671"/>
      <c r="AN68" s="671"/>
      <c r="AO68" s="671"/>
      <c r="AP68" s="671"/>
    </row>
    <row r="69" spans="3:42" outlineLevel="1">
      <c r="C69" s="713" t="s">
        <v>32</v>
      </c>
      <c r="D69" s="643" t="s">
        <v>33</v>
      </c>
      <c r="F69" s="707"/>
      <c r="G69" s="707"/>
      <c r="H69" s="707"/>
      <c r="I69" s="707"/>
      <c r="J69" s="707"/>
      <c r="K69" s="707"/>
      <c r="L69" s="707"/>
      <c r="M69" s="707"/>
      <c r="N69" s="707"/>
      <c r="O69" s="708"/>
      <c r="P69" s="709"/>
      <c r="Q69" s="710"/>
      <c r="R69" s="709"/>
      <c r="S69" s="709"/>
      <c r="T69" s="709"/>
      <c r="U69" s="709"/>
      <c r="V69" s="709"/>
      <c r="W69" s="709"/>
      <c r="X69" s="653">
        <v>12924</v>
      </c>
      <c r="Z69" s="714">
        <f t="shared" ref="Z69:AP69" si="8">SUM(Z71:Z72)</f>
        <v>15120</v>
      </c>
      <c r="AA69" s="671">
        <f t="shared" si="8"/>
        <v>15689</v>
      </c>
      <c r="AB69" s="714">
        <f t="shared" si="8"/>
        <v>16438</v>
      </c>
      <c r="AC69" s="671">
        <f t="shared" si="8"/>
        <v>16803</v>
      </c>
      <c r="AD69" s="714">
        <f t="shared" si="8"/>
        <v>16673</v>
      </c>
      <c r="AE69" s="671">
        <f t="shared" si="8"/>
        <v>17462</v>
      </c>
      <c r="AF69" s="714">
        <f t="shared" si="8"/>
        <v>18140</v>
      </c>
      <c r="AG69" s="714">
        <f t="shared" si="8"/>
        <v>20925</v>
      </c>
      <c r="AH69" s="714">
        <f t="shared" si="8"/>
        <v>22128</v>
      </c>
      <c r="AI69" s="714">
        <f t="shared" si="8"/>
        <v>22870</v>
      </c>
      <c r="AJ69" s="714">
        <f t="shared" si="8"/>
        <v>23917</v>
      </c>
      <c r="AK69" s="714">
        <f t="shared" si="8"/>
        <v>25356</v>
      </c>
      <c r="AL69" s="714">
        <f t="shared" si="8"/>
        <v>26867</v>
      </c>
      <c r="AM69" s="714">
        <f t="shared" si="8"/>
        <v>28078</v>
      </c>
      <c r="AN69" s="714">
        <f t="shared" si="8"/>
        <v>30165</v>
      </c>
      <c r="AO69" s="714">
        <f t="shared" si="8"/>
        <v>32143</v>
      </c>
      <c r="AP69" s="714">
        <f t="shared" si="8"/>
        <v>32756</v>
      </c>
    </row>
    <row r="70" spans="3:42" outlineLevel="1">
      <c r="C70" s="644"/>
      <c r="F70" s="707"/>
      <c r="G70" s="707"/>
      <c r="H70" s="707"/>
      <c r="I70" s="707"/>
      <c r="J70" s="707"/>
      <c r="K70" s="707"/>
      <c r="L70" s="707"/>
      <c r="M70" s="707"/>
      <c r="N70" s="707"/>
      <c r="O70" s="708"/>
      <c r="P70" s="709"/>
      <c r="Q70" s="710"/>
      <c r="R70" s="709"/>
      <c r="S70" s="709"/>
      <c r="T70" s="709"/>
      <c r="U70" s="709"/>
      <c r="V70" s="709"/>
      <c r="W70" s="709"/>
      <c r="Z70" s="671"/>
      <c r="AA70" s="671"/>
      <c r="AB70" s="671"/>
      <c r="AC70" s="671"/>
      <c r="AD70" s="671"/>
      <c r="AE70" s="671"/>
      <c r="AF70" s="671"/>
      <c r="AG70" s="671"/>
      <c r="AH70" s="671"/>
      <c r="AI70" s="671"/>
      <c r="AJ70" s="671"/>
      <c r="AK70" s="671"/>
      <c r="AL70" s="671"/>
      <c r="AM70" s="671"/>
      <c r="AN70" s="671"/>
      <c r="AO70" s="671"/>
      <c r="AP70" s="671"/>
    </row>
    <row r="71" spans="3:42" outlineLevel="1">
      <c r="C71" s="644"/>
      <c r="D71" s="643" t="s">
        <v>34</v>
      </c>
      <c r="F71" s="707"/>
      <c r="G71" s="707"/>
      <c r="H71" s="707"/>
      <c r="I71" s="707"/>
      <c r="J71" s="707"/>
      <c r="K71" s="707"/>
      <c r="L71" s="707"/>
      <c r="M71" s="707"/>
      <c r="N71" s="707"/>
      <c r="O71" s="708"/>
      <c r="P71" s="709"/>
      <c r="Q71" s="710"/>
      <c r="R71" s="709"/>
      <c r="S71" s="709"/>
      <c r="T71" s="709"/>
      <c r="U71" s="709"/>
      <c r="V71" s="709"/>
      <c r="W71" s="709"/>
      <c r="X71" s="653">
        <v>10645</v>
      </c>
      <c r="Z71" s="714">
        <v>12775</v>
      </c>
      <c r="AA71" s="671">
        <v>13430</v>
      </c>
      <c r="AB71" s="714">
        <v>14133</v>
      </c>
      <c r="AC71" s="671">
        <v>15106</v>
      </c>
      <c r="AD71" s="714">
        <v>15046</v>
      </c>
      <c r="AE71" s="671">
        <v>15824</v>
      </c>
      <c r="AF71" s="714">
        <v>16449</v>
      </c>
      <c r="AG71" s="714">
        <v>19143</v>
      </c>
      <c r="AH71" s="714">
        <v>20314</v>
      </c>
      <c r="AI71" s="714">
        <v>21004</v>
      </c>
      <c r="AJ71" s="714">
        <v>22063</v>
      </c>
      <c r="AK71" s="714">
        <v>23306</v>
      </c>
      <c r="AL71" s="714">
        <v>24587</v>
      </c>
      <c r="AM71" s="714">
        <v>25847</v>
      </c>
      <c r="AN71" s="714">
        <v>27951</v>
      </c>
      <c r="AO71" s="714">
        <v>29521</v>
      </c>
      <c r="AP71" s="714">
        <v>30259</v>
      </c>
    </row>
    <row r="72" spans="3:42" outlineLevel="1">
      <c r="C72" s="644"/>
      <c r="D72" s="643" t="s">
        <v>35</v>
      </c>
      <c r="F72" s="707"/>
      <c r="G72" s="707"/>
      <c r="H72" s="707"/>
      <c r="I72" s="707"/>
      <c r="J72" s="707"/>
      <c r="K72" s="707"/>
      <c r="L72" s="707"/>
      <c r="M72" s="707"/>
      <c r="N72" s="707"/>
      <c r="O72" s="708"/>
      <c r="P72" s="709"/>
      <c r="Q72" s="710"/>
      <c r="R72" s="709"/>
      <c r="S72" s="709"/>
      <c r="T72" s="709"/>
      <c r="U72" s="709"/>
      <c r="V72" s="709"/>
      <c r="W72" s="709"/>
      <c r="X72" s="653">
        <v>2279</v>
      </c>
      <c r="Z72" s="714">
        <v>2345</v>
      </c>
      <c r="AA72" s="671">
        <v>2259</v>
      </c>
      <c r="AB72" s="714">
        <v>2305</v>
      </c>
      <c r="AC72" s="671">
        <v>1697</v>
      </c>
      <c r="AD72" s="714">
        <v>1627</v>
      </c>
      <c r="AE72" s="671">
        <v>1638</v>
      </c>
      <c r="AF72" s="714">
        <v>1691</v>
      </c>
      <c r="AG72" s="714">
        <v>1782</v>
      </c>
      <c r="AH72" s="714">
        <v>1814</v>
      </c>
      <c r="AI72" s="714">
        <v>1866</v>
      </c>
      <c r="AJ72" s="714">
        <v>1854</v>
      </c>
      <c r="AK72" s="714">
        <v>2050</v>
      </c>
      <c r="AL72" s="714">
        <v>2280</v>
      </c>
      <c r="AM72" s="714">
        <v>2231</v>
      </c>
      <c r="AN72" s="714">
        <v>2214</v>
      </c>
      <c r="AO72" s="714">
        <v>2622</v>
      </c>
      <c r="AP72" s="714">
        <v>2497</v>
      </c>
    </row>
    <row r="73" spans="3:42" outlineLevel="1">
      <c r="C73" s="644"/>
      <c r="F73" s="707"/>
      <c r="G73" s="707"/>
      <c r="H73" s="707"/>
      <c r="I73" s="707"/>
      <c r="J73" s="707"/>
      <c r="K73" s="707"/>
      <c r="L73" s="707"/>
      <c r="M73" s="707"/>
      <c r="N73" s="707"/>
      <c r="O73" s="708"/>
      <c r="P73" s="709"/>
      <c r="Q73" s="710"/>
      <c r="R73" s="709"/>
      <c r="S73" s="709"/>
      <c r="T73" s="709"/>
      <c r="U73" s="709"/>
      <c r="V73" s="709"/>
      <c r="W73" s="709"/>
      <c r="X73" s="653"/>
      <c r="Z73" s="714"/>
      <c r="AA73" s="671"/>
      <c r="AB73" s="714"/>
      <c r="AC73" s="671"/>
      <c r="AD73" s="714"/>
      <c r="AE73" s="671"/>
      <c r="AF73" s="714"/>
      <c r="AG73" s="714"/>
      <c r="AH73" s="714"/>
      <c r="AI73" s="714"/>
      <c r="AJ73" s="714"/>
      <c r="AK73" s="714"/>
      <c r="AL73" s="714"/>
      <c r="AM73" s="714"/>
      <c r="AN73" s="714"/>
      <c r="AO73" s="714"/>
      <c r="AP73" s="714"/>
    </row>
    <row r="74" spans="3:42" outlineLevel="1">
      <c r="C74" s="713" t="s">
        <v>36</v>
      </c>
      <c r="D74" s="643" t="s">
        <v>37</v>
      </c>
      <c r="F74" s="707"/>
      <c r="G74" s="707"/>
      <c r="H74" s="707"/>
      <c r="I74" s="707"/>
      <c r="J74" s="707"/>
      <c r="K74" s="707"/>
      <c r="L74" s="707"/>
      <c r="M74" s="707"/>
      <c r="N74" s="707"/>
      <c r="O74" s="708"/>
      <c r="P74" s="709"/>
      <c r="Q74" s="710"/>
      <c r="R74" s="709"/>
      <c r="S74" s="709"/>
      <c r="T74" s="709"/>
      <c r="U74" s="709"/>
      <c r="V74" s="709"/>
      <c r="W74" s="709"/>
      <c r="X74" s="653">
        <v>13831</v>
      </c>
      <c r="Z74" s="714">
        <v>16135.000000000002</v>
      </c>
      <c r="AA74" s="671">
        <v>16952</v>
      </c>
      <c r="AB74" s="714">
        <v>17822</v>
      </c>
      <c r="AC74" s="671">
        <v>18910</v>
      </c>
      <c r="AD74" s="714">
        <v>18832</v>
      </c>
      <c r="AE74" s="671">
        <v>19606</v>
      </c>
      <c r="AF74" s="714">
        <v>20278</v>
      </c>
      <c r="AG74" s="714">
        <v>23107</v>
      </c>
      <c r="AH74" s="714">
        <v>24437</v>
      </c>
      <c r="AI74" s="714">
        <v>25193</v>
      </c>
      <c r="AJ74" s="714">
        <v>26344</v>
      </c>
      <c r="AK74" s="714">
        <v>28011</v>
      </c>
      <c r="AL74" s="714">
        <v>29584</v>
      </c>
      <c r="AM74" s="714">
        <v>30925</v>
      </c>
      <c r="AN74" s="714">
        <v>33220</v>
      </c>
      <c r="AO74" s="714">
        <v>35271</v>
      </c>
      <c r="AP74" s="714">
        <v>36033</v>
      </c>
    </row>
    <row r="75" spans="3:42" outlineLevel="1">
      <c r="C75" s="644"/>
      <c r="F75" s="707"/>
      <c r="G75" s="707"/>
      <c r="H75" s="707"/>
      <c r="I75" s="707"/>
      <c r="J75" s="707"/>
      <c r="K75" s="707"/>
      <c r="L75" s="707"/>
      <c r="M75" s="707"/>
      <c r="N75" s="707"/>
      <c r="O75" s="708"/>
      <c r="P75" s="709"/>
      <c r="Q75" s="710"/>
      <c r="R75" s="709"/>
      <c r="S75" s="709"/>
      <c r="T75" s="709"/>
      <c r="U75" s="709"/>
      <c r="V75" s="709"/>
      <c r="W75" s="709"/>
      <c r="X75" s="653"/>
      <c r="Z75" s="714"/>
      <c r="AA75" s="671"/>
      <c r="AB75" s="714"/>
      <c r="AC75" s="671"/>
      <c r="AD75" s="714"/>
      <c r="AE75" s="671"/>
      <c r="AF75" s="714"/>
      <c r="AG75" s="714"/>
      <c r="AH75" s="714"/>
      <c r="AI75" s="714"/>
      <c r="AJ75" s="714"/>
      <c r="AK75" s="714"/>
      <c r="AL75" s="714"/>
      <c r="AM75" s="714"/>
      <c r="AN75" s="714"/>
      <c r="AO75" s="714"/>
      <c r="AP75" s="714"/>
    </row>
    <row r="76" spans="3:42" outlineLevel="1">
      <c r="C76" s="713" t="s">
        <v>38</v>
      </c>
      <c r="D76" s="643" t="s">
        <v>39</v>
      </c>
      <c r="F76" s="707"/>
      <c r="G76" s="707"/>
      <c r="H76" s="707"/>
      <c r="I76" s="707"/>
      <c r="J76" s="707"/>
      <c r="K76" s="707"/>
      <c r="L76" s="707"/>
      <c r="M76" s="707"/>
      <c r="N76" s="707"/>
      <c r="O76" s="708"/>
      <c r="P76" s="709"/>
      <c r="Q76" s="710"/>
      <c r="R76" s="709"/>
      <c r="S76" s="709"/>
      <c r="T76" s="709"/>
      <c r="U76" s="709"/>
      <c r="V76" s="709"/>
      <c r="W76" s="709"/>
      <c r="X76" s="653">
        <v>14799</v>
      </c>
      <c r="Z76" s="714">
        <v>17259</v>
      </c>
      <c r="AA76" s="671">
        <v>18147</v>
      </c>
      <c r="AB76" s="714">
        <v>19054</v>
      </c>
      <c r="AC76" s="671">
        <v>20226</v>
      </c>
      <c r="AD76" s="714">
        <v>20290</v>
      </c>
      <c r="AE76" s="671">
        <v>21042</v>
      </c>
      <c r="AF76" s="714">
        <v>21781</v>
      </c>
      <c r="AG76" s="714">
        <v>24692</v>
      </c>
      <c r="AH76" s="714">
        <v>26063</v>
      </c>
      <c r="AI76" s="714">
        <v>26856</v>
      </c>
      <c r="AJ76" s="714">
        <v>28184</v>
      </c>
      <c r="AK76" s="714">
        <v>29996</v>
      </c>
      <c r="AL76" s="714">
        <v>31728</v>
      </c>
      <c r="AM76" s="714">
        <v>33203</v>
      </c>
      <c r="AN76" s="714">
        <v>35612</v>
      </c>
      <c r="AO76" s="714">
        <v>37845</v>
      </c>
      <c r="AP76" s="714">
        <v>38618</v>
      </c>
    </row>
    <row r="77" spans="3:42" outlineLevel="1">
      <c r="C77" s="713"/>
      <c r="F77" s="707"/>
      <c r="G77" s="707"/>
      <c r="H77" s="707"/>
      <c r="I77" s="707"/>
      <c r="J77" s="707"/>
      <c r="K77" s="707"/>
      <c r="L77" s="707"/>
      <c r="M77" s="707"/>
      <c r="N77" s="707"/>
      <c r="O77" s="708"/>
      <c r="P77" s="709"/>
      <c r="Q77" s="710"/>
      <c r="R77" s="709"/>
      <c r="S77" s="709"/>
      <c r="T77" s="709"/>
      <c r="U77" s="709"/>
      <c r="V77" s="709"/>
      <c r="W77" s="709"/>
      <c r="X77" s="653"/>
      <c r="Z77" s="714"/>
      <c r="AA77" s="671"/>
      <c r="AB77" s="714"/>
      <c r="AC77" s="671"/>
      <c r="AD77" s="714"/>
      <c r="AE77" s="671"/>
      <c r="AF77" s="714"/>
      <c r="AG77" s="714"/>
      <c r="AH77" s="714"/>
      <c r="AI77" s="714"/>
      <c r="AJ77" s="714"/>
      <c r="AK77" s="714"/>
      <c r="AL77" s="714"/>
      <c r="AM77" s="714"/>
      <c r="AN77" s="714"/>
      <c r="AO77" s="714"/>
      <c r="AP77" s="714"/>
    </row>
    <row r="78" spans="3:42" outlineLevel="1">
      <c r="C78" s="642" t="s">
        <v>40</v>
      </c>
      <c r="F78" s="707"/>
      <c r="G78" s="707"/>
      <c r="H78" s="707"/>
      <c r="I78" s="707"/>
      <c r="J78" s="707"/>
      <c r="K78" s="707"/>
      <c r="L78" s="707"/>
      <c r="M78" s="707"/>
      <c r="N78" s="707"/>
      <c r="O78" s="708"/>
      <c r="P78" s="709"/>
      <c r="Q78" s="710"/>
      <c r="R78" s="709"/>
      <c r="S78" s="709"/>
      <c r="T78" s="709"/>
      <c r="U78" s="709"/>
      <c r="V78" s="709"/>
      <c r="W78" s="709"/>
      <c r="X78" s="653"/>
      <c r="Z78" s="714"/>
      <c r="AA78" s="671"/>
      <c r="AB78" s="714"/>
      <c r="AC78" s="671"/>
      <c r="AD78" s="714"/>
      <c r="AE78" s="671"/>
      <c r="AF78" s="714"/>
      <c r="AG78" s="714"/>
      <c r="AH78" s="714"/>
      <c r="AI78" s="714"/>
      <c r="AJ78" s="714"/>
      <c r="AK78" s="714"/>
      <c r="AL78" s="714"/>
      <c r="AM78" s="714"/>
      <c r="AN78" s="714"/>
      <c r="AO78" s="714"/>
      <c r="AP78" s="714"/>
    </row>
    <row r="79" spans="3:42" outlineLevel="1">
      <c r="C79" s="644"/>
      <c r="F79" s="707"/>
      <c r="G79" s="707"/>
      <c r="H79" s="707"/>
      <c r="I79" s="707"/>
      <c r="J79" s="707"/>
      <c r="K79" s="707"/>
      <c r="L79" s="707"/>
      <c r="M79" s="707"/>
      <c r="N79" s="707"/>
      <c r="O79" s="708"/>
      <c r="P79" s="709"/>
      <c r="Q79" s="710"/>
      <c r="R79" s="709"/>
      <c r="S79" s="709"/>
      <c r="T79" s="709"/>
      <c r="U79" s="709"/>
      <c r="V79" s="709"/>
      <c r="W79" s="709"/>
      <c r="X79" s="653"/>
      <c r="Z79" s="714"/>
      <c r="AA79" s="671"/>
      <c r="AB79" s="714"/>
      <c r="AC79" s="671"/>
      <c r="AD79" s="714"/>
      <c r="AE79" s="671"/>
      <c r="AF79" s="714"/>
      <c r="AG79" s="714"/>
      <c r="AH79" s="714"/>
      <c r="AI79" s="714"/>
      <c r="AJ79" s="714"/>
      <c r="AK79" s="714"/>
      <c r="AL79" s="714"/>
      <c r="AM79" s="714"/>
      <c r="AN79" s="714"/>
      <c r="AO79" s="714"/>
      <c r="AP79" s="714"/>
    </row>
    <row r="80" spans="3:42" outlineLevel="1">
      <c r="C80" s="715" t="s">
        <v>41</v>
      </c>
      <c r="D80" s="657" t="s">
        <v>42</v>
      </c>
      <c r="E80" s="716"/>
      <c r="F80" s="707"/>
      <c r="G80" s="707"/>
      <c r="H80" s="707"/>
      <c r="I80" s="707"/>
      <c r="J80" s="707"/>
      <c r="K80" s="707"/>
      <c r="L80" s="707"/>
      <c r="M80" s="707"/>
      <c r="N80" s="707"/>
      <c r="O80" s="708"/>
      <c r="P80" s="709"/>
      <c r="Q80" s="710"/>
      <c r="R80" s="709"/>
      <c r="S80" s="709"/>
      <c r="T80" s="709"/>
      <c r="U80" s="709"/>
      <c r="V80" s="709"/>
      <c r="W80" s="709"/>
      <c r="X80" s="717">
        <v>0.1541579343504767</v>
      </c>
      <c r="Y80" s="658"/>
      <c r="Z80" s="718">
        <f t="shared" ref="Z80:AP80" si="9">Z69/Z67</f>
        <v>0.15952517205929273</v>
      </c>
      <c r="AA80" s="719">
        <f t="shared" si="9"/>
        <v>0.15423213307394992</v>
      </c>
      <c r="AB80" s="718">
        <f t="shared" si="9"/>
        <v>0.15031160075819666</v>
      </c>
      <c r="AC80" s="719">
        <f t="shared" si="9"/>
        <v>0.14473689764130454</v>
      </c>
      <c r="AD80" s="718">
        <f t="shared" si="9"/>
        <v>0.13537509692558145</v>
      </c>
      <c r="AE80" s="719">
        <f t="shared" si="9"/>
        <v>0.13605020285208347</v>
      </c>
      <c r="AF80" s="718">
        <f t="shared" si="9"/>
        <v>0.13735089496525682</v>
      </c>
      <c r="AG80" s="718">
        <f t="shared" si="9"/>
        <v>0.15205749597311058</v>
      </c>
      <c r="AH80" s="718">
        <f t="shared" si="9"/>
        <v>0.15226423900806399</v>
      </c>
      <c r="AI80" s="718">
        <f t="shared" si="9"/>
        <v>0.15349318817768215</v>
      </c>
      <c r="AJ80" s="718">
        <f t="shared" si="9"/>
        <v>0.15349878324761376</v>
      </c>
      <c r="AK80" s="718">
        <f t="shared" si="9"/>
        <v>0.15600978217512559</v>
      </c>
      <c r="AL80" s="718">
        <f t="shared" si="9"/>
        <v>0.15752553978163361</v>
      </c>
      <c r="AM80" s="718">
        <f t="shared" si="9"/>
        <v>0.15384732556988248</v>
      </c>
      <c r="AN80" s="718">
        <f t="shared" si="9"/>
        <v>0.15514386385317183</v>
      </c>
      <c r="AO80" s="718">
        <f t="shared" si="9"/>
        <v>0.15608088819314581</v>
      </c>
      <c r="AP80" s="718">
        <f t="shared" si="9"/>
        <v>0.15117524259412765</v>
      </c>
    </row>
    <row r="81" spans="3:44" outlineLevel="1">
      <c r="C81" s="644"/>
      <c r="F81" s="707"/>
      <c r="G81" s="707"/>
      <c r="H81" s="707"/>
      <c r="I81" s="707"/>
      <c r="J81" s="707"/>
      <c r="K81" s="707"/>
      <c r="L81" s="707"/>
      <c r="M81" s="707"/>
      <c r="N81" s="707"/>
      <c r="O81" s="708"/>
      <c r="P81" s="709"/>
      <c r="Q81" s="710"/>
      <c r="R81" s="709"/>
      <c r="S81" s="709"/>
      <c r="T81" s="709"/>
      <c r="U81" s="709"/>
      <c r="V81" s="709"/>
      <c r="W81" s="709"/>
      <c r="X81" s="653"/>
      <c r="Z81" s="714"/>
      <c r="AA81" s="671"/>
      <c r="AB81" s="714"/>
      <c r="AC81" s="671"/>
      <c r="AD81" s="714"/>
      <c r="AE81" s="671"/>
      <c r="AF81" s="714"/>
      <c r="AG81" s="714"/>
      <c r="AH81" s="714"/>
      <c r="AI81" s="714"/>
      <c r="AJ81" s="714"/>
      <c r="AK81" s="714"/>
      <c r="AL81" s="714"/>
      <c r="AM81" s="714"/>
      <c r="AN81" s="714"/>
      <c r="AO81" s="714"/>
      <c r="AP81" s="714"/>
    </row>
    <row r="82" spans="3:44" outlineLevel="1">
      <c r="C82" s="713" t="s">
        <v>43</v>
      </c>
      <c r="D82" s="643" t="s">
        <v>44</v>
      </c>
      <c r="F82" s="707"/>
      <c r="G82" s="707"/>
      <c r="H82" s="707"/>
      <c r="I82" s="707"/>
      <c r="J82" s="707"/>
      <c r="K82" s="707"/>
      <c r="L82" s="707"/>
      <c r="M82" s="707"/>
      <c r="N82" s="707"/>
      <c r="O82" s="708"/>
      <c r="P82" s="709"/>
      <c r="Q82" s="710"/>
      <c r="R82" s="709"/>
      <c r="S82" s="709"/>
      <c r="T82" s="709"/>
      <c r="U82" s="709"/>
      <c r="V82" s="709"/>
      <c r="W82" s="709"/>
      <c r="X82" s="720">
        <v>0.17652300142778587</v>
      </c>
      <c r="Z82" s="721">
        <f t="shared" ref="Z82:AP82" si="10">Z76/Z67</f>
        <v>0.18209291961450616</v>
      </c>
      <c r="AA82" s="671">
        <f t="shared" si="10"/>
        <v>0.17839572432232578</v>
      </c>
      <c r="AB82" s="721">
        <f t="shared" si="10"/>
        <v>0.17423270719349551</v>
      </c>
      <c r="AC82" s="671">
        <f t="shared" si="10"/>
        <v>0.17422177537898145</v>
      </c>
      <c r="AD82" s="721">
        <f t="shared" si="10"/>
        <v>0.16474304064175899</v>
      </c>
      <c r="AE82" s="671">
        <f t="shared" si="10"/>
        <v>0.16394275388921889</v>
      </c>
      <c r="AF82" s="721">
        <f t="shared" si="10"/>
        <v>0.16491950624246191</v>
      </c>
      <c r="AG82" s="721">
        <f t="shared" si="10"/>
        <v>0.17943147864124476</v>
      </c>
      <c r="AH82" s="721">
        <f t="shared" si="10"/>
        <v>0.17934123559594956</v>
      </c>
      <c r="AI82" s="721">
        <f t="shared" si="10"/>
        <v>0.18024543339308405</v>
      </c>
      <c r="AJ82" s="721">
        <f t="shared" si="10"/>
        <v>0.18088429598405928</v>
      </c>
      <c r="AK82" s="721">
        <f t="shared" si="10"/>
        <v>0.18455866170236107</v>
      </c>
      <c r="AL82" s="721">
        <f t="shared" si="10"/>
        <v>0.18602636417135041</v>
      </c>
      <c r="AM82" s="721">
        <f t="shared" si="10"/>
        <v>0.18192865413835774</v>
      </c>
      <c r="AN82" s="721">
        <f t="shared" si="10"/>
        <v>0.1831587362684951</v>
      </c>
      <c r="AO82" s="721">
        <f t="shared" si="10"/>
        <v>0.18376882100829428</v>
      </c>
      <c r="AP82" s="721">
        <f t="shared" si="10"/>
        <v>0.17822950050372519</v>
      </c>
    </row>
    <row r="83" spans="3:44" outlineLevel="1">
      <c r="C83" s="644"/>
      <c r="F83" s="707"/>
      <c r="G83" s="707"/>
      <c r="H83" s="707"/>
      <c r="I83" s="707"/>
      <c r="J83" s="707"/>
      <c r="K83" s="707"/>
      <c r="L83" s="707"/>
      <c r="M83" s="707"/>
      <c r="N83" s="707"/>
      <c r="O83" s="708"/>
      <c r="P83" s="709"/>
      <c r="Q83" s="710"/>
      <c r="R83" s="709"/>
      <c r="S83" s="709"/>
      <c r="T83" s="709"/>
      <c r="U83" s="709"/>
      <c r="V83" s="709"/>
      <c r="W83" s="709"/>
      <c r="X83" s="653"/>
      <c r="Z83" s="714"/>
      <c r="AA83" s="671"/>
      <c r="AB83" s="714"/>
      <c r="AC83" s="671"/>
      <c r="AD83" s="714"/>
      <c r="AE83" s="671"/>
      <c r="AF83" s="714"/>
      <c r="AG83" s="714"/>
      <c r="AH83" s="714"/>
      <c r="AI83" s="714"/>
      <c r="AJ83" s="714"/>
      <c r="AK83" s="714"/>
      <c r="AL83" s="714"/>
      <c r="AM83" s="714"/>
      <c r="AN83" s="714"/>
      <c r="AO83" s="714"/>
      <c r="AP83" s="714"/>
    </row>
    <row r="84" spans="3:44" outlineLevel="1">
      <c r="C84" s="713" t="s">
        <v>45</v>
      </c>
      <c r="D84" s="643" t="s">
        <v>46</v>
      </c>
      <c r="F84" s="707"/>
      <c r="G84" s="707"/>
      <c r="H84" s="707"/>
      <c r="I84" s="707"/>
      <c r="J84" s="707"/>
      <c r="K84" s="707"/>
      <c r="L84" s="707"/>
      <c r="M84" s="707"/>
      <c r="N84" s="707"/>
      <c r="O84" s="708"/>
      <c r="P84" s="709"/>
      <c r="Q84" s="710"/>
      <c r="R84" s="709"/>
      <c r="S84" s="709"/>
      <c r="T84" s="709"/>
      <c r="U84" s="709"/>
      <c r="V84" s="709"/>
      <c r="W84" s="709"/>
      <c r="X84" s="720">
        <v>0.20341988426275928</v>
      </c>
      <c r="Z84" s="721">
        <f t="shared" ref="Z84:AP84" si="11">Z76/Z65</f>
        <v>0.20844958150657633</v>
      </c>
      <c r="AA84" s="671">
        <f t="shared" si="11"/>
        <v>0.20469003789929616</v>
      </c>
      <c r="AB84" s="721">
        <f t="shared" si="11"/>
        <v>0.20133987066232722</v>
      </c>
      <c r="AC84" s="671">
        <f t="shared" si="11"/>
        <v>0.20182003232952164</v>
      </c>
      <c r="AD84" s="721">
        <f t="shared" si="11"/>
        <v>0.19178237568173009</v>
      </c>
      <c r="AE84" s="671">
        <f t="shared" si="11"/>
        <v>0.19241566612105307</v>
      </c>
      <c r="AF84" s="721">
        <f t="shared" si="11"/>
        <v>0.19272662920851213</v>
      </c>
      <c r="AG84" s="721">
        <f t="shared" si="11"/>
        <v>0.20998741368166821</v>
      </c>
      <c r="AH84" s="721">
        <f t="shared" si="11"/>
        <v>0.20982674781824623</v>
      </c>
      <c r="AI84" s="721">
        <f t="shared" si="11"/>
        <v>0.20999460469626005</v>
      </c>
      <c r="AJ84" s="721">
        <f t="shared" si="11"/>
        <v>0.21051688078876607</v>
      </c>
      <c r="AK84" s="721">
        <f t="shared" si="11"/>
        <v>0.21522720260603148</v>
      </c>
      <c r="AL84" s="721">
        <f t="shared" si="11"/>
        <v>0.21663844431091933</v>
      </c>
      <c r="AM84" s="721">
        <f t="shared" si="11"/>
        <v>0.21092519184835087</v>
      </c>
      <c r="AN84" s="721">
        <f t="shared" si="11"/>
        <v>0.21266354944851515</v>
      </c>
      <c r="AO84" s="721">
        <f t="shared" si="11"/>
        <v>0.21325331755557433</v>
      </c>
      <c r="AP84" s="721">
        <f t="shared" si="11"/>
        <v>0.20775434009565158</v>
      </c>
    </row>
    <row r="85" spans="3:44" outlineLevel="1">
      <c r="C85" s="659"/>
      <c r="D85" s="660"/>
      <c r="E85" s="659"/>
      <c r="F85" s="701"/>
      <c r="G85" s="701"/>
      <c r="H85" s="701"/>
      <c r="I85" s="701"/>
      <c r="J85" s="701"/>
      <c r="K85" s="701"/>
      <c r="L85" s="701"/>
      <c r="M85" s="701"/>
      <c r="N85" s="701"/>
      <c r="O85" s="703"/>
      <c r="P85" s="704"/>
      <c r="Q85" s="704"/>
      <c r="R85" s="704"/>
      <c r="S85" s="704"/>
      <c r="T85" s="704"/>
      <c r="U85" s="704"/>
      <c r="V85" s="704"/>
      <c r="W85" s="704"/>
      <c r="X85" s="690"/>
      <c r="Y85" s="690"/>
      <c r="Z85" s="722"/>
      <c r="AA85" s="722"/>
      <c r="AB85" s="722"/>
      <c r="AC85" s="722"/>
      <c r="AD85" s="722"/>
      <c r="AE85" s="722"/>
      <c r="AF85" s="722"/>
      <c r="AG85" s="722"/>
      <c r="AH85" s="722"/>
      <c r="AI85" s="722"/>
      <c r="AJ85" s="722"/>
      <c r="AK85" s="722"/>
      <c r="AL85" s="722"/>
      <c r="AM85" s="722"/>
      <c r="AN85" s="722"/>
      <c r="AO85" s="722"/>
      <c r="AP85" s="722"/>
      <c r="AQ85" s="722"/>
      <c r="AR85" s="722"/>
    </row>
    <row r="86" spans="3:44" ht="17.25" customHeight="1" outlineLevel="1">
      <c r="F86" s="707"/>
      <c r="G86" s="707"/>
      <c r="H86" s="707"/>
      <c r="I86" s="707"/>
      <c r="J86" s="707"/>
      <c r="K86" s="707"/>
      <c r="L86" s="707"/>
      <c r="M86" s="707"/>
      <c r="N86" s="707"/>
      <c r="O86" s="708"/>
      <c r="P86" s="709"/>
      <c r="Q86" s="710"/>
      <c r="R86" s="709"/>
      <c r="S86" s="709"/>
      <c r="T86" s="709"/>
      <c r="U86" s="709"/>
      <c r="V86" s="709"/>
      <c r="W86" s="709"/>
    </row>
    <row r="87" spans="3:44" ht="365.25" customHeight="1" outlineLevel="1">
      <c r="C87" s="2034" t="s">
        <v>1638</v>
      </c>
      <c r="D87" s="2034"/>
      <c r="E87" s="2034"/>
      <c r="F87" s="2034"/>
      <c r="G87" s="2034"/>
      <c r="H87" s="2034"/>
      <c r="I87" s="2034"/>
      <c r="J87" s="2034"/>
      <c r="K87" s="2034"/>
      <c r="L87" s="2034"/>
      <c r="M87" s="2034"/>
      <c r="N87" s="2034"/>
      <c r="O87" s="2034"/>
      <c r="P87" s="2034"/>
      <c r="Q87" s="2034"/>
      <c r="R87" s="2034"/>
      <c r="S87" s="2034"/>
      <c r="T87" s="2034"/>
      <c r="U87" s="2034"/>
      <c r="V87" s="2034"/>
      <c r="W87" s="2034"/>
      <c r="X87" s="2034"/>
      <c r="Y87" s="2034"/>
      <c r="Z87" s="2034"/>
      <c r="AA87" s="2034"/>
      <c r="AB87" s="2034"/>
      <c r="AC87" s="2034"/>
      <c r="AD87" s="2034"/>
      <c r="AE87" s="2034"/>
      <c r="AF87" s="2034"/>
      <c r="AG87" s="2034"/>
      <c r="AH87" s="2034"/>
      <c r="AI87" s="2034"/>
      <c r="AJ87" s="2034"/>
      <c r="AK87" s="2034"/>
      <c r="AL87" s="2034"/>
      <c r="AM87" s="2034"/>
      <c r="AN87" s="2034"/>
      <c r="AO87" s="2034"/>
    </row>
    <row r="88" spans="3:44" ht="17.25" customHeight="1"/>
    <row r="89" spans="3:44" ht="17.25" customHeight="1"/>
    <row r="90" spans="3:44" ht="17.25" customHeight="1">
      <c r="C90" s="656" t="s">
        <v>1293</v>
      </c>
      <c r="D90" s="657"/>
      <c r="E90" s="658"/>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c r="AD90" s="658"/>
      <c r="AE90" s="658"/>
      <c r="AF90" s="658"/>
    </row>
    <row r="91" spans="3:44" ht="17.25" customHeight="1">
      <c r="C91" s="723"/>
      <c r="D91" s="702"/>
      <c r="E91" s="701"/>
      <c r="F91" s="701"/>
      <c r="G91" s="701"/>
      <c r="H91" s="701"/>
      <c r="I91" s="701"/>
      <c r="J91" s="701"/>
      <c r="K91" s="701"/>
      <c r="L91" s="701"/>
      <c r="M91" s="701"/>
      <c r="N91" s="701"/>
      <c r="O91" s="703"/>
      <c r="P91" s="704"/>
      <c r="Q91" s="704"/>
      <c r="R91" s="704"/>
      <c r="S91" s="704"/>
      <c r="T91" s="704"/>
      <c r="U91" s="704"/>
      <c r="V91" s="704"/>
      <c r="W91" s="704"/>
      <c r="X91" s="705"/>
      <c r="Y91" s="705"/>
      <c r="Z91" s="705"/>
      <c r="AA91" s="705"/>
      <c r="AB91" s="705"/>
      <c r="AC91" s="705"/>
      <c r="AD91" s="705"/>
      <c r="AE91" s="705"/>
      <c r="AF91" s="705"/>
    </row>
    <row r="92" spans="3:44" ht="17.25" customHeight="1">
      <c r="C92" s="724"/>
      <c r="D92" s="725"/>
      <c r="E92" s="724"/>
      <c r="F92" s="724"/>
      <c r="G92" s="724"/>
      <c r="H92" s="724"/>
      <c r="I92" s="724"/>
      <c r="J92" s="724"/>
      <c r="K92" s="724"/>
      <c r="L92" s="724"/>
      <c r="M92" s="724"/>
      <c r="N92" s="724"/>
      <c r="O92" s="726"/>
      <c r="P92" s="709"/>
      <c r="Q92" s="709"/>
      <c r="R92" s="709"/>
      <c r="S92" s="709"/>
      <c r="T92" s="709"/>
      <c r="U92" s="709"/>
      <c r="V92" s="709"/>
      <c r="W92" s="709"/>
      <c r="X92" s="727">
        <v>2001</v>
      </c>
      <c r="Y92" s="706"/>
      <c r="Z92" s="728">
        <v>2003</v>
      </c>
      <c r="AA92" s="729"/>
      <c r="AB92" s="728">
        <v>2005</v>
      </c>
      <c r="AC92" s="729"/>
      <c r="AD92" s="728">
        <v>2007</v>
      </c>
      <c r="AE92" s="729"/>
      <c r="AF92" s="728">
        <v>2009</v>
      </c>
      <c r="AG92" s="668">
        <v>2010</v>
      </c>
      <c r="AH92" s="668">
        <v>2011</v>
      </c>
      <c r="AI92" s="668">
        <v>2012</v>
      </c>
      <c r="AJ92" s="668">
        <v>2013</v>
      </c>
      <c r="AK92" s="668">
        <v>2014</v>
      </c>
      <c r="AL92" s="668">
        <v>2015</v>
      </c>
      <c r="AM92" s="668">
        <v>2016</v>
      </c>
      <c r="AN92" s="668">
        <v>2017</v>
      </c>
      <c r="AO92" s="668">
        <v>2018</v>
      </c>
      <c r="AP92" s="668">
        <v>2019</v>
      </c>
      <c r="AQ92" s="668">
        <v>2020</v>
      </c>
      <c r="AR92" s="668">
        <v>2021</v>
      </c>
    </row>
    <row r="93" spans="3:44" ht="17.25" customHeight="1">
      <c r="R93" s="730"/>
      <c r="S93" s="730"/>
      <c r="T93" s="730"/>
      <c r="U93" s="730"/>
      <c r="V93" s="730"/>
      <c r="W93" s="730"/>
      <c r="X93" s="652"/>
      <c r="Y93" s="652"/>
      <c r="Z93" s="677"/>
      <c r="AA93" s="677"/>
      <c r="AB93" s="677"/>
      <c r="AC93" s="677"/>
      <c r="AD93" s="677"/>
      <c r="AE93" s="677"/>
      <c r="AF93" s="677"/>
      <c r="AG93" s="671"/>
      <c r="AH93" s="671"/>
      <c r="AI93" s="671"/>
      <c r="AJ93" s="671"/>
      <c r="AK93" s="671"/>
      <c r="AL93" s="671"/>
      <c r="AM93" s="671"/>
      <c r="AN93" s="671"/>
      <c r="AO93" s="671"/>
      <c r="AP93" s="671"/>
      <c r="AQ93" s="671"/>
      <c r="AR93" s="671"/>
    </row>
    <row r="94" spans="3:44" ht="17.25" customHeight="1">
      <c r="C94" s="731" t="s">
        <v>49</v>
      </c>
      <c r="X94" s="732">
        <v>26.6</v>
      </c>
      <c r="Y94" s="675"/>
      <c r="Z94" s="733">
        <v>24</v>
      </c>
      <c r="AA94" s="733">
        <v>0</v>
      </c>
      <c r="AB94" s="733">
        <v>24.4</v>
      </c>
      <c r="AC94" s="733">
        <v>0</v>
      </c>
      <c r="AD94" s="733">
        <v>48.4</v>
      </c>
      <c r="AE94" s="733">
        <v>0</v>
      </c>
      <c r="AF94" s="733">
        <v>46</v>
      </c>
      <c r="AG94" s="733">
        <v>40.799999999999997</v>
      </c>
      <c r="AH94" s="733">
        <v>33.5</v>
      </c>
      <c r="AI94" s="733">
        <v>1.7</v>
      </c>
      <c r="AJ94" s="733">
        <v>0.9</v>
      </c>
      <c r="AK94" s="733">
        <v>4.8</v>
      </c>
      <c r="AL94" s="733">
        <v>3.7</v>
      </c>
      <c r="AM94" s="733">
        <v>4</v>
      </c>
      <c r="AN94" s="733">
        <v>4.4000000000000004</v>
      </c>
      <c r="AO94" s="733">
        <v>4.9000000000000004</v>
      </c>
      <c r="AP94" s="733">
        <v>3.5</v>
      </c>
      <c r="AQ94" s="733">
        <v>3.5</v>
      </c>
      <c r="AR94" s="733"/>
    </row>
    <row r="95" spans="3:44" ht="17.25" customHeight="1">
      <c r="C95" s="731"/>
      <c r="X95" s="732"/>
      <c r="Y95" s="675"/>
      <c r="Z95" s="733"/>
      <c r="AA95" s="734"/>
      <c r="AB95" s="733"/>
      <c r="AC95" s="734"/>
      <c r="AD95" s="733"/>
      <c r="AE95" s="734"/>
      <c r="AF95" s="733"/>
      <c r="AG95" s="735"/>
      <c r="AH95" s="735"/>
      <c r="AI95" s="736"/>
      <c r="AJ95" s="736"/>
      <c r="AK95" s="736"/>
      <c r="AL95" s="736"/>
      <c r="AM95" s="736"/>
      <c r="AN95" s="736"/>
      <c r="AO95" s="736"/>
      <c r="AP95" s="736"/>
      <c r="AQ95" s="736"/>
      <c r="AR95" s="736"/>
    </row>
    <row r="96" spans="3:44" ht="17.25" customHeight="1">
      <c r="C96" s="731"/>
      <c r="D96" s="657" t="s">
        <v>50</v>
      </c>
      <c r="X96" s="732"/>
      <c r="Y96" s="675"/>
      <c r="Z96" s="733"/>
      <c r="AA96" s="734"/>
      <c r="AB96" s="733"/>
      <c r="AC96" s="734"/>
      <c r="AD96" s="733"/>
      <c r="AE96" s="734"/>
      <c r="AF96" s="733"/>
      <c r="AG96" s="735"/>
      <c r="AH96" s="735"/>
      <c r="AI96" s="736"/>
      <c r="AJ96" s="736"/>
      <c r="AK96" s="736"/>
      <c r="AL96" s="736"/>
      <c r="AM96" s="736"/>
      <c r="AN96" s="736"/>
      <c r="AO96" s="736"/>
      <c r="AP96" s="736"/>
      <c r="AQ96" s="736"/>
      <c r="AR96" s="736"/>
    </row>
    <row r="97" spans="3:44" ht="17.25" customHeight="1">
      <c r="C97" s="731"/>
      <c r="D97" s="643" t="s">
        <v>1294</v>
      </c>
      <c r="X97" s="737">
        <v>8.5</v>
      </c>
      <c r="Y97" s="737"/>
      <c r="Z97" s="734">
        <v>8.6</v>
      </c>
      <c r="AA97" s="734"/>
      <c r="AB97" s="734">
        <v>8.6999999999999993</v>
      </c>
      <c r="AC97" s="734"/>
      <c r="AD97" s="734">
        <v>26.5</v>
      </c>
      <c r="AE97" s="734"/>
      <c r="AF97" s="734">
        <v>16</v>
      </c>
      <c r="AG97" s="736">
        <v>14</v>
      </c>
      <c r="AH97" s="736">
        <v>12</v>
      </c>
      <c r="AI97" s="736" t="s">
        <v>1054</v>
      </c>
      <c r="AJ97" s="736" t="s">
        <v>1054</v>
      </c>
      <c r="AK97" s="736" t="s">
        <v>1054</v>
      </c>
      <c r="AL97" s="736" t="s">
        <v>1054</v>
      </c>
      <c r="AM97" s="736" t="s">
        <v>1054</v>
      </c>
      <c r="AN97" s="736" t="s">
        <v>1054</v>
      </c>
      <c r="AO97" s="736" t="s">
        <v>1054</v>
      </c>
      <c r="AP97" s="736" t="s">
        <v>1054</v>
      </c>
      <c r="AQ97" s="736" t="s">
        <v>1054</v>
      </c>
      <c r="AR97" s="736"/>
    </row>
    <row r="98" spans="3:44" ht="17.25" customHeight="1">
      <c r="D98" s="643" t="s">
        <v>1295</v>
      </c>
      <c r="T98" s="642">
        <v>19.076000000000001</v>
      </c>
      <c r="V98" s="642">
        <v>16.5</v>
      </c>
      <c r="W98" s="642">
        <v>16.100000000000001</v>
      </c>
      <c r="X98" s="737">
        <v>18.100000000000001</v>
      </c>
      <c r="Y98" s="737"/>
      <c r="Z98" s="734">
        <v>15.4</v>
      </c>
      <c r="AA98" s="734"/>
      <c r="AB98" s="734">
        <v>15.7</v>
      </c>
      <c r="AC98" s="734"/>
      <c r="AD98" s="734">
        <v>15</v>
      </c>
      <c r="AE98" s="734"/>
      <c r="AF98" s="734">
        <v>13</v>
      </c>
      <c r="AG98" s="736">
        <v>14</v>
      </c>
      <c r="AH98" s="736">
        <v>15</v>
      </c>
      <c r="AI98" s="736" t="s">
        <v>1054</v>
      </c>
      <c r="AJ98" s="736" t="s">
        <v>1054</v>
      </c>
      <c r="AK98" s="736" t="s">
        <v>1054</v>
      </c>
      <c r="AL98" s="736" t="s">
        <v>1054</v>
      </c>
      <c r="AM98" s="736" t="s">
        <v>1054</v>
      </c>
      <c r="AN98" s="736" t="s">
        <v>1054</v>
      </c>
      <c r="AO98" s="736" t="s">
        <v>1054</v>
      </c>
      <c r="AP98" s="736" t="s">
        <v>1054</v>
      </c>
      <c r="AQ98" s="736" t="s">
        <v>1054</v>
      </c>
      <c r="AR98" s="736"/>
    </row>
    <row r="99" spans="3:44" ht="17.25" customHeight="1">
      <c r="X99" s="737"/>
      <c r="Y99" s="737"/>
      <c r="Z99" s="734"/>
      <c r="AA99" s="734"/>
      <c r="AB99" s="734"/>
      <c r="AC99" s="734"/>
      <c r="AD99" s="734"/>
      <c r="AE99" s="734"/>
      <c r="AF99" s="734"/>
      <c r="AG99" s="736"/>
      <c r="AH99" s="736"/>
      <c r="AI99" s="736"/>
      <c r="AJ99" s="736"/>
      <c r="AK99" s="736"/>
      <c r="AL99" s="736"/>
      <c r="AM99" s="736"/>
      <c r="AN99" s="736"/>
      <c r="AO99" s="736"/>
      <c r="AP99" s="736"/>
      <c r="AQ99" s="736"/>
      <c r="AR99" s="736"/>
    </row>
    <row r="100" spans="3:44" ht="17.25" customHeight="1">
      <c r="D100" s="657" t="s">
        <v>532</v>
      </c>
      <c r="X100" s="737"/>
      <c r="Y100" s="737"/>
      <c r="Z100" s="734"/>
      <c r="AA100" s="734"/>
      <c r="AB100" s="734"/>
      <c r="AC100" s="734"/>
      <c r="AD100" s="734"/>
      <c r="AE100" s="734"/>
      <c r="AF100" s="734"/>
      <c r="AG100" s="736"/>
      <c r="AH100" s="736"/>
      <c r="AI100" s="736"/>
      <c r="AJ100" s="736"/>
      <c r="AK100" s="736"/>
      <c r="AL100" s="736"/>
      <c r="AM100" s="736"/>
      <c r="AN100" s="736"/>
      <c r="AO100" s="736"/>
      <c r="AP100" s="736"/>
      <c r="AQ100" s="736"/>
      <c r="AR100" s="736"/>
    </row>
    <row r="101" spans="3:44" ht="17.25" customHeight="1">
      <c r="D101" s="643" t="s">
        <v>1296</v>
      </c>
      <c r="X101" s="738" t="s">
        <v>269</v>
      </c>
      <c r="Y101" s="675"/>
      <c r="Z101" s="734" t="s">
        <v>1282</v>
      </c>
      <c r="AA101" s="734"/>
      <c r="AB101" s="734" t="s">
        <v>1282</v>
      </c>
      <c r="AC101" s="734"/>
      <c r="AD101" s="734">
        <v>6.9</v>
      </c>
      <c r="AE101" s="734"/>
      <c r="AF101" s="734">
        <v>17</v>
      </c>
      <c r="AG101" s="736">
        <v>12</v>
      </c>
      <c r="AH101" s="736">
        <v>6</v>
      </c>
      <c r="AI101" s="736">
        <v>1</v>
      </c>
      <c r="AJ101" s="736" t="s">
        <v>1054</v>
      </c>
      <c r="AK101" s="736" t="s">
        <v>1054</v>
      </c>
      <c r="AL101" s="736" t="s">
        <v>1054</v>
      </c>
      <c r="AM101" s="736" t="s">
        <v>1054</v>
      </c>
      <c r="AN101" s="736" t="s">
        <v>1054</v>
      </c>
      <c r="AO101" s="736" t="s">
        <v>1054</v>
      </c>
      <c r="AP101" s="736" t="s">
        <v>1054</v>
      </c>
      <c r="AQ101" s="736" t="s">
        <v>1054</v>
      </c>
      <c r="AR101" s="736"/>
    </row>
    <row r="102" spans="3:44" ht="17.25" customHeight="1">
      <c r="D102" s="643" t="s">
        <v>1640</v>
      </c>
      <c r="X102" s="738"/>
      <c r="Y102" s="675"/>
      <c r="Z102" s="734" t="s">
        <v>1282</v>
      </c>
      <c r="AA102" s="734"/>
      <c r="AB102" s="734" t="s">
        <v>1282</v>
      </c>
      <c r="AC102" s="734"/>
      <c r="AD102" s="734" t="s">
        <v>1282</v>
      </c>
      <c r="AE102" s="734"/>
      <c r="AF102" s="734" t="s">
        <v>1282</v>
      </c>
      <c r="AG102" s="736">
        <v>0.8</v>
      </c>
      <c r="AH102" s="736">
        <v>0.5</v>
      </c>
      <c r="AI102" s="736">
        <v>0.7</v>
      </c>
      <c r="AJ102" s="736">
        <v>0.9</v>
      </c>
      <c r="AK102" s="736">
        <v>4.8</v>
      </c>
      <c r="AL102" s="736">
        <v>3.7</v>
      </c>
      <c r="AM102" s="736">
        <v>4</v>
      </c>
      <c r="AN102" s="736">
        <v>4.5</v>
      </c>
      <c r="AO102" s="736">
        <v>4.9000000000000004</v>
      </c>
      <c r="AP102" s="736">
        <v>3.5</v>
      </c>
      <c r="AQ102" s="736">
        <v>3.5</v>
      </c>
      <c r="AR102" s="736"/>
    </row>
    <row r="103" spans="3:44" ht="17.25" customHeight="1">
      <c r="X103" s="738"/>
      <c r="Y103" s="675"/>
      <c r="Z103" s="739"/>
      <c r="AA103" s="734"/>
      <c r="AB103" s="739"/>
      <c r="AC103" s="734"/>
      <c r="AD103" s="734"/>
      <c r="AE103" s="734"/>
      <c r="AF103" s="734"/>
      <c r="AG103" s="736"/>
      <c r="AH103" s="736"/>
      <c r="AI103" s="736"/>
      <c r="AJ103" s="736"/>
      <c r="AK103" s="736"/>
      <c r="AL103" s="736"/>
      <c r="AM103" s="736"/>
      <c r="AN103" s="736"/>
      <c r="AO103" s="736"/>
      <c r="AP103" s="736"/>
      <c r="AQ103" s="736"/>
      <c r="AR103" s="736"/>
    </row>
    <row r="104" spans="3:44" ht="17.25" customHeight="1">
      <c r="Z104" s="736"/>
      <c r="AA104" s="736"/>
      <c r="AB104" s="736"/>
      <c r="AC104" s="736"/>
      <c r="AD104" s="736"/>
      <c r="AE104" s="736"/>
      <c r="AF104" s="736"/>
      <c r="AG104" s="736"/>
      <c r="AH104" s="736"/>
      <c r="AI104" s="736"/>
      <c r="AJ104" s="736"/>
      <c r="AK104" s="736"/>
      <c r="AL104" s="736"/>
      <c r="AM104" s="736"/>
      <c r="AN104" s="736"/>
      <c r="AO104" s="736"/>
      <c r="AP104" s="736"/>
      <c r="AQ104" s="736"/>
      <c r="AR104" s="736"/>
    </row>
    <row r="105" spans="3:44" ht="17.25" customHeight="1">
      <c r="C105" s="731" t="s">
        <v>78</v>
      </c>
      <c r="X105" s="658">
        <v>82.8</v>
      </c>
      <c r="Z105" s="740">
        <v>97.5</v>
      </c>
      <c r="AA105" s="736">
        <v>0</v>
      </c>
      <c r="AB105" s="733">
        <v>106</v>
      </c>
      <c r="AC105" s="734">
        <v>0</v>
      </c>
      <c r="AD105" s="733">
        <v>116</v>
      </c>
      <c r="AE105" s="734">
        <v>0</v>
      </c>
      <c r="AF105" s="733">
        <v>198</v>
      </c>
      <c r="AG105" s="733">
        <v>210</v>
      </c>
      <c r="AH105" s="733">
        <v>235</v>
      </c>
      <c r="AI105" s="733">
        <v>225</v>
      </c>
      <c r="AJ105" s="733">
        <v>239</v>
      </c>
      <c r="AK105" s="733">
        <v>247</v>
      </c>
      <c r="AL105" s="733">
        <v>252</v>
      </c>
      <c r="AM105" s="733">
        <v>261</v>
      </c>
      <c r="AN105" s="733">
        <v>274</v>
      </c>
      <c r="AO105" s="733">
        <v>281</v>
      </c>
      <c r="AP105" s="733">
        <v>282</v>
      </c>
      <c r="AQ105" s="733">
        <v>283</v>
      </c>
      <c r="AR105" s="733"/>
    </row>
    <row r="106" spans="3:44" ht="17.25" customHeight="1">
      <c r="D106" s="643" t="s">
        <v>1297</v>
      </c>
      <c r="T106" s="642">
        <v>75.888000000000005</v>
      </c>
      <c r="V106" s="642">
        <v>74.099999999999994</v>
      </c>
      <c r="W106" s="642">
        <v>74.099999999999994</v>
      </c>
      <c r="X106" s="675">
        <v>82.8</v>
      </c>
      <c r="Y106" s="675"/>
      <c r="Z106" s="734">
        <v>97.5</v>
      </c>
      <c r="AA106" s="734"/>
      <c r="AB106" s="734">
        <v>106</v>
      </c>
      <c r="AC106" s="734"/>
      <c r="AD106" s="734">
        <v>116</v>
      </c>
      <c r="AE106" s="734"/>
      <c r="AF106" s="734">
        <v>198</v>
      </c>
      <c r="AG106" s="736">
        <v>210</v>
      </c>
      <c r="AH106" s="736">
        <v>235</v>
      </c>
      <c r="AI106" s="736">
        <v>225</v>
      </c>
      <c r="AJ106" s="736">
        <v>239</v>
      </c>
      <c r="AK106" s="736">
        <v>247</v>
      </c>
      <c r="AL106" s="736">
        <v>252</v>
      </c>
      <c r="AM106" s="736">
        <v>261</v>
      </c>
      <c r="AN106" s="736">
        <v>274</v>
      </c>
      <c r="AO106" s="736">
        <v>281</v>
      </c>
      <c r="AP106" s="736">
        <v>282</v>
      </c>
      <c r="AQ106" s="736">
        <v>283</v>
      </c>
      <c r="AR106" s="736"/>
    </row>
    <row r="107" spans="3:44" ht="17.25" customHeight="1">
      <c r="X107" s="675"/>
      <c r="Y107" s="675"/>
      <c r="Z107" s="734"/>
      <c r="AA107" s="734"/>
      <c r="AB107" s="734"/>
      <c r="AC107" s="734"/>
      <c r="AD107" s="734"/>
      <c r="AE107" s="734"/>
      <c r="AF107" s="734"/>
      <c r="AG107" s="736"/>
      <c r="AH107" s="736"/>
      <c r="AI107" s="736"/>
      <c r="AJ107" s="736"/>
      <c r="AK107" s="736"/>
      <c r="AL107" s="736"/>
      <c r="AM107" s="736"/>
      <c r="AN107" s="736"/>
      <c r="AO107" s="736"/>
      <c r="AP107" s="736"/>
      <c r="AQ107" s="736"/>
      <c r="AR107" s="736"/>
    </row>
    <row r="108" spans="3:44" ht="17.25" customHeight="1">
      <c r="X108" s="675"/>
      <c r="Y108" s="675"/>
      <c r="Z108" s="734"/>
      <c r="AA108" s="734"/>
      <c r="AB108" s="734"/>
      <c r="AC108" s="734"/>
      <c r="AD108" s="734"/>
      <c r="AE108" s="734"/>
      <c r="AF108" s="734"/>
      <c r="AG108" s="736"/>
      <c r="AH108" s="736"/>
      <c r="AI108" s="736"/>
      <c r="AJ108" s="736"/>
      <c r="AK108" s="736"/>
      <c r="AL108" s="736"/>
      <c r="AM108" s="736"/>
      <c r="AN108" s="736"/>
      <c r="AO108" s="736"/>
      <c r="AP108" s="736"/>
      <c r="AQ108" s="736"/>
      <c r="AR108" s="736"/>
    </row>
    <row r="109" spans="3:44" ht="17.25" customHeight="1">
      <c r="C109" s="731" t="s">
        <v>447</v>
      </c>
      <c r="X109" s="658">
        <v>82.8</v>
      </c>
      <c r="Z109" s="740" t="s">
        <v>1054</v>
      </c>
      <c r="AA109" s="736"/>
      <c r="AB109" s="733" t="s">
        <v>1054</v>
      </c>
      <c r="AC109" s="734"/>
      <c r="AD109" s="733">
        <v>857</v>
      </c>
      <c r="AE109" s="734">
        <v>0</v>
      </c>
      <c r="AF109" s="733">
        <v>1025</v>
      </c>
      <c r="AG109" s="733">
        <v>1041</v>
      </c>
      <c r="AH109" s="733">
        <v>689</v>
      </c>
      <c r="AI109" s="733">
        <v>723</v>
      </c>
      <c r="AJ109" s="733">
        <v>804</v>
      </c>
      <c r="AK109" s="733">
        <v>855</v>
      </c>
      <c r="AL109" s="733">
        <v>698</v>
      </c>
      <c r="AM109" s="733">
        <v>743</v>
      </c>
      <c r="AN109" s="733">
        <v>807</v>
      </c>
      <c r="AO109" s="733">
        <v>867</v>
      </c>
      <c r="AP109" s="733">
        <v>885</v>
      </c>
      <c r="AQ109" s="733">
        <v>929</v>
      </c>
      <c r="AR109" s="733"/>
    </row>
    <row r="110" spans="3:44" ht="32.450000000000003" customHeight="1">
      <c r="D110" s="741" t="s">
        <v>1298</v>
      </c>
      <c r="T110" s="642">
        <v>75.888000000000005</v>
      </c>
      <c r="V110" s="642">
        <v>74.099999999999994</v>
      </c>
      <c r="W110" s="642">
        <v>74.099999999999994</v>
      </c>
      <c r="X110" s="675">
        <v>82.8</v>
      </c>
      <c r="Y110" s="675"/>
      <c r="Z110" s="734" t="s">
        <v>1054</v>
      </c>
      <c r="AA110" s="734"/>
      <c r="AB110" s="734" t="s">
        <v>1054</v>
      </c>
      <c r="AC110" s="734"/>
      <c r="AD110" s="734">
        <v>857</v>
      </c>
      <c r="AE110" s="734"/>
      <c r="AF110" s="734">
        <v>1025</v>
      </c>
      <c r="AG110" s="736">
        <v>1041</v>
      </c>
      <c r="AH110" s="736">
        <v>689</v>
      </c>
      <c r="AI110" s="736">
        <v>723</v>
      </c>
      <c r="AJ110" s="736">
        <v>804</v>
      </c>
      <c r="AK110" s="736">
        <v>855</v>
      </c>
      <c r="AL110" s="736">
        <v>698</v>
      </c>
      <c r="AM110" s="736">
        <v>743</v>
      </c>
      <c r="AN110" s="736">
        <v>807</v>
      </c>
      <c r="AO110" s="736">
        <v>867</v>
      </c>
      <c r="AP110" s="736">
        <v>885</v>
      </c>
      <c r="AQ110" s="736">
        <v>929</v>
      </c>
      <c r="AR110" s="736"/>
    </row>
    <row r="111" spans="3:44" ht="17.25" customHeight="1">
      <c r="C111" s="659"/>
      <c r="D111" s="660"/>
      <c r="E111" s="659"/>
      <c r="F111" s="659"/>
      <c r="G111" s="659"/>
      <c r="H111" s="659"/>
      <c r="I111" s="659"/>
      <c r="J111" s="659"/>
      <c r="K111" s="659"/>
      <c r="L111" s="659"/>
      <c r="M111" s="659"/>
      <c r="N111" s="659"/>
      <c r="O111" s="659"/>
      <c r="P111" s="659"/>
      <c r="Q111" s="659"/>
      <c r="R111" s="659"/>
      <c r="S111" s="659"/>
      <c r="T111" s="659"/>
      <c r="U111" s="659"/>
      <c r="V111" s="659"/>
      <c r="W111" s="659"/>
      <c r="X111" s="690"/>
      <c r="Y111" s="690"/>
      <c r="Z111" s="690"/>
      <c r="AA111" s="690"/>
      <c r="AB111" s="690"/>
      <c r="AC111" s="690"/>
      <c r="AD111" s="690"/>
      <c r="AE111" s="690"/>
      <c r="AF111" s="690"/>
      <c r="AG111" s="690"/>
      <c r="AH111" s="690"/>
      <c r="AI111" s="690"/>
      <c r="AJ111" s="690"/>
      <c r="AK111" s="690"/>
      <c r="AL111" s="690"/>
      <c r="AM111" s="690"/>
      <c r="AN111" s="690"/>
      <c r="AO111" s="690"/>
      <c r="AP111" s="690"/>
      <c r="AQ111" s="690"/>
      <c r="AR111" s="690"/>
    </row>
    <row r="112" spans="3:44" ht="17.25" customHeight="1"/>
    <row r="113" spans="3:3" ht="17.25" customHeight="1">
      <c r="C113" s="642" t="s">
        <v>1299</v>
      </c>
    </row>
    <row r="114" spans="3:3" ht="17.25" customHeight="1">
      <c r="C114" s="642" t="s">
        <v>1639</v>
      </c>
    </row>
    <row r="115" spans="3:3" ht="17.25" customHeight="1">
      <c r="C115" s="642" t="s">
        <v>1822</v>
      </c>
    </row>
    <row r="116" spans="3:3" ht="17.25" customHeight="1">
      <c r="C116" s="642" t="s">
        <v>1823</v>
      </c>
    </row>
    <row r="118" spans="3:3" ht="17.25" customHeight="1">
      <c r="C118" s="642" t="s">
        <v>1300</v>
      </c>
    </row>
    <row r="119" spans="3:3" ht="17.25" customHeight="1">
      <c r="C119" s="642" t="s">
        <v>1301</v>
      </c>
    </row>
    <row r="120" spans="3:3" ht="17.25" customHeight="1">
      <c r="C120" s="1843"/>
    </row>
  </sheetData>
  <mergeCells count="3">
    <mergeCell ref="C15:AR15"/>
    <mergeCell ref="D47:AR47"/>
    <mergeCell ref="C87:AO87"/>
  </mergeCells>
  <pageMargins left="0.70866141732283472" right="0.70866141732283472" top="0.74803149606299213" bottom="0.74803149606299213" header="0.31496062992125984" footer="0.31496062992125984"/>
  <pageSetup paperSize="9" scale="30"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T125"/>
  <sheetViews>
    <sheetView topLeftCell="B15" zoomScale="70" zoomScaleNormal="70" workbookViewId="0">
      <selection activeCell="B15" sqref="A1:XFD1048576"/>
    </sheetView>
  </sheetViews>
  <sheetFormatPr defaultColWidth="8.88671875" defaultRowHeight="12.75" outlineLevelRow="1"/>
  <cols>
    <col min="1" max="1" width="0" style="165" hidden="1" customWidth="1"/>
    <col min="2" max="2" width="8.88671875" style="165"/>
    <col min="3" max="3" width="52.109375" style="165" customWidth="1"/>
    <col min="4" max="15" width="2.33203125" style="165" hidden="1" customWidth="1"/>
    <col min="16" max="16" width="4.109375" style="165" hidden="1" customWidth="1"/>
    <col min="17" max="17" width="1.44140625" style="165" hidden="1" customWidth="1"/>
    <col min="18" max="18" width="4.44140625" style="165" hidden="1" customWidth="1"/>
    <col min="19" max="19" width="1.44140625" style="165" hidden="1" customWidth="1"/>
    <col min="20" max="20" width="4.44140625" style="165" hidden="1" customWidth="1"/>
    <col min="21" max="21" width="1.44140625" style="165" hidden="1" customWidth="1"/>
    <col min="22" max="22" width="4.44140625" style="165" hidden="1" customWidth="1"/>
    <col min="23" max="23" width="1.44140625" style="165" hidden="1" customWidth="1"/>
    <col min="24" max="24" width="8" style="75" bestFit="1" customWidth="1"/>
    <col min="25" max="25" width="2" style="75" customWidth="1"/>
    <col min="26" max="26" width="6.77734375" style="75" customWidth="1"/>
    <col min="27" max="27" width="1.6640625" style="75" customWidth="1"/>
    <col min="28" max="28" width="6.77734375" style="75" customWidth="1"/>
    <col min="29" max="29" width="1.21875" style="75" customWidth="1"/>
    <col min="30" max="30" width="7" style="75" customWidth="1"/>
    <col min="31" max="31" width="1.21875" style="165" customWidth="1"/>
    <col min="32" max="39" width="7.33203125" style="547" customWidth="1"/>
    <col min="40" max="43" width="7.33203125" style="165" customWidth="1"/>
    <col min="44" max="16384" width="8.88671875" style="165"/>
  </cols>
  <sheetData>
    <row r="1" spans="1:43" ht="19.5" hidden="1" customHeight="1" outlineLevel="1">
      <c r="B1" s="165" t="s">
        <v>1123</v>
      </c>
    </row>
    <row r="2" spans="1:43" ht="20.25" hidden="1" customHeight="1" outlineLevel="1"/>
    <row r="3" spans="1:43" ht="20.25" hidden="1" customHeight="1" outlineLevel="1"/>
    <row r="4" spans="1:43" ht="21" hidden="1" customHeight="1" outlineLevel="1">
      <c r="B4" s="966" t="s">
        <v>867</v>
      </c>
      <c r="C4" s="966"/>
      <c r="P4" s="165">
        <v>1993</v>
      </c>
      <c r="R4" s="165">
        <v>1995</v>
      </c>
      <c r="T4" s="165">
        <v>1997</v>
      </c>
      <c r="V4" s="165">
        <v>1999</v>
      </c>
      <c r="X4" s="202">
        <v>2001</v>
      </c>
      <c r="Y4" s="202"/>
      <c r="Z4" s="202">
        <v>2003</v>
      </c>
      <c r="AA4" s="202"/>
      <c r="AB4" s="202">
        <v>2005</v>
      </c>
      <c r="AC4" s="202"/>
      <c r="AD4" s="202">
        <v>2007</v>
      </c>
      <c r="AE4" s="896"/>
      <c r="AF4" s="967">
        <v>2009</v>
      </c>
      <c r="AG4" s="967">
        <v>2010</v>
      </c>
      <c r="AH4" s="967">
        <v>2011</v>
      </c>
      <c r="AI4" s="967">
        <v>2012</v>
      </c>
      <c r="AJ4" s="967">
        <v>2013</v>
      </c>
      <c r="AK4" s="967">
        <v>2014</v>
      </c>
      <c r="AL4" s="967">
        <v>2015</v>
      </c>
      <c r="AM4" s="967">
        <v>2016</v>
      </c>
      <c r="AN4" s="967">
        <v>2017</v>
      </c>
      <c r="AO4" s="967">
        <v>2018</v>
      </c>
      <c r="AP4" s="967">
        <v>2019</v>
      </c>
      <c r="AQ4" s="967">
        <v>2020</v>
      </c>
    </row>
    <row r="5" spans="1:43" ht="17.25" hidden="1" customHeight="1" outlineLevel="1">
      <c r="AO5" s="547"/>
      <c r="AQ5" s="547"/>
    </row>
    <row r="6" spans="1:43" ht="14.25" hidden="1" customHeight="1" outlineLevel="1">
      <c r="A6" s="165" t="s">
        <v>2</v>
      </c>
      <c r="B6" s="165" t="s">
        <v>3</v>
      </c>
      <c r="P6" s="168"/>
      <c r="Q6" s="168"/>
      <c r="R6" s="168">
        <v>0</v>
      </c>
      <c r="S6" s="168"/>
      <c r="T6" s="168">
        <v>0</v>
      </c>
      <c r="U6" s="168"/>
      <c r="V6" s="168">
        <v>0</v>
      </c>
      <c r="W6" s="168"/>
      <c r="X6" s="166">
        <v>0</v>
      </c>
      <c r="Y6" s="166"/>
      <c r="Z6" s="166">
        <f>Z94</f>
        <v>2290</v>
      </c>
      <c r="AA6" s="166"/>
      <c r="AB6" s="166">
        <f>AB94</f>
        <v>2575</v>
      </c>
      <c r="AC6" s="166"/>
      <c r="AD6" s="166">
        <f>AD94</f>
        <v>2915</v>
      </c>
      <c r="AE6" s="168"/>
      <c r="AF6" s="950">
        <f t="shared" ref="AF6:AO6" si="0">AF94</f>
        <v>3380</v>
      </c>
      <c r="AG6" s="950">
        <f t="shared" si="0"/>
        <v>3340</v>
      </c>
      <c r="AH6" s="950">
        <f t="shared" si="0"/>
        <v>3485</v>
      </c>
      <c r="AI6" s="950">
        <f t="shared" si="0"/>
        <v>3575</v>
      </c>
      <c r="AJ6" s="950">
        <f t="shared" si="0"/>
        <v>3485</v>
      </c>
      <c r="AK6" s="950">
        <f t="shared" si="0"/>
        <v>3720</v>
      </c>
      <c r="AL6" s="950">
        <f t="shared" si="0"/>
        <v>3910</v>
      </c>
      <c r="AM6" s="950">
        <f t="shared" si="0"/>
        <v>3720</v>
      </c>
      <c r="AN6" s="950">
        <f t="shared" si="0"/>
        <v>3595</v>
      </c>
      <c r="AO6" s="950">
        <f t="shared" si="0"/>
        <v>3385</v>
      </c>
      <c r="AP6" s="950">
        <f>AP94</f>
        <v>3250</v>
      </c>
      <c r="AQ6" s="950">
        <f>AQ94</f>
        <v>3300</v>
      </c>
    </row>
    <row r="7" spans="1:43" ht="15.75" hidden="1" customHeight="1" outlineLevel="1">
      <c r="A7" s="165" t="s">
        <v>4</v>
      </c>
      <c r="B7" s="165" t="s">
        <v>5</v>
      </c>
      <c r="P7" s="168"/>
      <c r="Q7" s="168"/>
      <c r="R7" s="168">
        <v>0</v>
      </c>
      <c r="S7" s="168"/>
      <c r="T7" s="168">
        <v>0</v>
      </c>
      <c r="U7" s="168"/>
      <c r="V7" s="168">
        <v>0</v>
      </c>
      <c r="W7" s="168"/>
      <c r="X7" s="166">
        <v>0</v>
      </c>
      <c r="Y7" s="166"/>
      <c r="Z7" s="166">
        <f>Z103</f>
        <v>0</v>
      </c>
      <c r="AA7" s="166"/>
      <c r="AB7" s="166">
        <f>AB103</f>
        <v>0</v>
      </c>
      <c r="AC7" s="166"/>
      <c r="AD7" s="166">
        <f>AD103</f>
        <v>0</v>
      </c>
      <c r="AE7" s="168"/>
      <c r="AF7" s="950">
        <f t="shared" ref="AF7:AQ7" si="1">AF103</f>
        <v>0</v>
      </c>
      <c r="AG7" s="950">
        <f t="shared" si="1"/>
        <v>0</v>
      </c>
      <c r="AH7" s="950">
        <f t="shared" si="1"/>
        <v>0</v>
      </c>
      <c r="AI7" s="950">
        <f t="shared" si="1"/>
        <v>0</v>
      </c>
      <c r="AJ7" s="950">
        <f t="shared" si="1"/>
        <v>0</v>
      </c>
      <c r="AK7" s="950">
        <f t="shared" si="1"/>
        <v>0</v>
      </c>
      <c r="AL7" s="950">
        <f t="shared" si="1"/>
        <v>0</v>
      </c>
      <c r="AM7" s="950">
        <f t="shared" si="1"/>
        <v>0</v>
      </c>
      <c r="AN7" s="950">
        <f t="shared" si="1"/>
        <v>0</v>
      </c>
      <c r="AO7" s="950">
        <f t="shared" si="1"/>
        <v>0</v>
      </c>
      <c r="AP7" s="950">
        <f t="shared" si="1"/>
        <v>0</v>
      </c>
      <c r="AQ7" s="950">
        <f t="shared" si="1"/>
        <v>0</v>
      </c>
    </row>
    <row r="8" spans="1:43" ht="17.25" hidden="1" customHeight="1" outlineLevel="1">
      <c r="A8" s="165" t="s">
        <v>6</v>
      </c>
      <c r="P8" s="168"/>
      <c r="Q8" s="168"/>
      <c r="R8" s="168"/>
      <c r="S8" s="168"/>
      <c r="T8" s="168"/>
      <c r="U8" s="168"/>
      <c r="V8" s="168"/>
      <c r="W8" s="168"/>
      <c r="X8" s="1844">
        <f>SUM(X6:X7)</f>
        <v>0</v>
      </c>
      <c r="Y8" s="1844">
        <f t="shared" ref="Y8:AQ8" si="2">SUM(Y6:Y7)</f>
        <v>0</v>
      </c>
      <c r="Z8" s="1844">
        <f t="shared" si="2"/>
        <v>2290</v>
      </c>
      <c r="AA8" s="1844">
        <f t="shared" si="2"/>
        <v>0</v>
      </c>
      <c r="AB8" s="1844">
        <f t="shared" si="2"/>
        <v>2575</v>
      </c>
      <c r="AC8" s="1844">
        <f t="shared" si="2"/>
        <v>0</v>
      </c>
      <c r="AD8" s="1844">
        <f t="shared" si="2"/>
        <v>2915</v>
      </c>
      <c r="AE8" s="1844">
        <f t="shared" si="2"/>
        <v>0</v>
      </c>
      <c r="AF8" s="1844">
        <f t="shared" si="2"/>
        <v>3380</v>
      </c>
      <c r="AG8" s="1844">
        <f t="shared" si="2"/>
        <v>3340</v>
      </c>
      <c r="AH8" s="1844">
        <f t="shared" si="2"/>
        <v>3485</v>
      </c>
      <c r="AI8" s="1844">
        <f t="shared" si="2"/>
        <v>3575</v>
      </c>
      <c r="AJ8" s="1844">
        <f t="shared" si="2"/>
        <v>3485</v>
      </c>
      <c r="AK8" s="1844">
        <f t="shared" si="2"/>
        <v>3720</v>
      </c>
      <c r="AL8" s="1844">
        <f t="shared" si="2"/>
        <v>3910</v>
      </c>
      <c r="AM8" s="1844">
        <f t="shared" si="2"/>
        <v>3720</v>
      </c>
      <c r="AN8" s="1844">
        <f t="shared" si="2"/>
        <v>3595</v>
      </c>
      <c r="AO8" s="1844">
        <f t="shared" si="2"/>
        <v>3385</v>
      </c>
      <c r="AP8" s="1844">
        <f t="shared" si="2"/>
        <v>3250</v>
      </c>
      <c r="AQ8" s="1844">
        <f t="shared" si="2"/>
        <v>3300</v>
      </c>
    </row>
    <row r="9" spans="1:43" ht="15.75" hidden="1" customHeight="1" outlineLevel="1">
      <c r="P9" s="168"/>
      <c r="Q9" s="168"/>
      <c r="R9" s="168"/>
      <c r="S9" s="168"/>
      <c r="T9" s="168"/>
      <c r="U9" s="168"/>
      <c r="V9" s="168"/>
      <c r="W9" s="168"/>
      <c r="X9" s="166"/>
      <c r="Y9" s="166"/>
      <c r="Z9" s="166"/>
      <c r="AA9" s="166"/>
      <c r="AB9" s="166"/>
      <c r="AC9" s="166"/>
      <c r="AD9" s="166"/>
      <c r="AE9" s="168"/>
      <c r="AF9" s="950"/>
      <c r="AG9" s="950"/>
      <c r="AH9" s="950"/>
      <c r="AI9" s="950"/>
      <c r="AJ9" s="950"/>
      <c r="AK9" s="950"/>
      <c r="AL9" s="950"/>
      <c r="AM9" s="166"/>
      <c r="AN9" s="166"/>
      <c r="AO9" s="166"/>
      <c r="AP9" s="166"/>
      <c r="AQ9" s="166"/>
    </row>
    <row r="10" spans="1:43" ht="15" hidden="1" customHeight="1" outlineLevel="1">
      <c r="B10" s="165" t="s">
        <v>110</v>
      </c>
      <c r="P10" s="168"/>
      <c r="Q10" s="168"/>
      <c r="R10" s="168"/>
      <c r="S10" s="168"/>
      <c r="T10" s="168"/>
      <c r="U10" s="168"/>
      <c r="V10" s="168"/>
      <c r="W10" s="168"/>
      <c r="X10" s="166">
        <f>X106</f>
        <v>11500</v>
      </c>
      <c r="Y10" s="166"/>
      <c r="Z10" s="166">
        <f>Z106</f>
        <v>11795</v>
      </c>
      <c r="AA10" s="166"/>
      <c r="AB10" s="166">
        <f>AB106</f>
        <v>11795</v>
      </c>
      <c r="AC10" s="166"/>
      <c r="AD10" s="166">
        <f>AD106</f>
        <v>16000</v>
      </c>
      <c r="AE10" s="168"/>
      <c r="AF10" s="950">
        <f t="shared" ref="AF10:AQ10" si="3">AF106</f>
        <v>21040</v>
      </c>
      <c r="AG10" s="950">
        <f t="shared" si="3"/>
        <v>27370</v>
      </c>
      <c r="AH10" s="950">
        <f t="shared" si="3"/>
        <v>14055</v>
      </c>
      <c r="AI10" s="950">
        <f t="shared" si="3"/>
        <v>7100</v>
      </c>
      <c r="AJ10" s="950">
        <f t="shared" si="3"/>
        <v>7400</v>
      </c>
      <c r="AK10" s="950">
        <f t="shared" si="3"/>
        <v>7800</v>
      </c>
      <c r="AL10" s="950">
        <f t="shared" si="3"/>
        <v>8000</v>
      </c>
      <c r="AM10" s="950">
        <f t="shared" si="3"/>
        <v>8000</v>
      </c>
      <c r="AN10" s="950">
        <f t="shared" si="3"/>
        <v>8960</v>
      </c>
      <c r="AO10" s="950">
        <f t="shared" si="3"/>
        <v>9110</v>
      </c>
      <c r="AP10" s="950">
        <f t="shared" si="3"/>
        <v>9560</v>
      </c>
      <c r="AQ10" s="950">
        <f t="shared" si="3"/>
        <v>9030</v>
      </c>
    </row>
    <row r="11" spans="1:43" ht="17.25" hidden="1" customHeight="1" outlineLevel="1">
      <c r="P11" s="168"/>
      <c r="Q11" s="168"/>
      <c r="R11" s="168"/>
      <c r="S11" s="168"/>
      <c r="T11" s="168"/>
      <c r="U11" s="168"/>
      <c r="V11" s="168"/>
      <c r="W11" s="168"/>
      <c r="X11" s="166"/>
      <c r="Y11" s="166"/>
      <c r="Z11" s="166"/>
      <c r="AA11" s="166"/>
      <c r="AB11" s="166"/>
      <c r="AC11" s="166"/>
      <c r="AD11" s="166"/>
      <c r="AE11" s="168"/>
      <c r="AF11" s="950"/>
      <c r="AG11" s="950"/>
      <c r="AH11" s="950"/>
      <c r="AI11" s="950"/>
      <c r="AJ11" s="950"/>
      <c r="AK11" s="950"/>
      <c r="AL11" s="950"/>
      <c r="AM11" s="166"/>
      <c r="AN11" s="166"/>
      <c r="AO11" s="166"/>
      <c r="AP11" s="166"/>
      <c r="AQ11" s="166"/>
    </row>
    <row r="12" spans="1:43" ht="17.25" hidden="1" customHeight="1" outlineLevel="1">
      <c r="B12" s="165" t="s">
        <v>8</v>
      </c>
      <c r="P12" s="168"/>
      <c r="Q12" s="168"/>
      <c r="R12" s="168"/>
      <c r="S12" s="168"/>
      <c r="T12" s="168"/>
      <c r="U12" s="168"/>
      <c r="V12" s="168"/>
      <c r="W12" s="168"/>
      <c r="X12" s="166">
        <v>0</v>
      </c>
      <c r="Y12" s="166"/>
      <c r="Z12" s="166">
        <f>Z97+Z98</f>
        <v>1960</v>
      </c>
      <c r="AA12" s="166"/>
      <c r="AB12" s="166">
        <f>AB97+AB98</f>
        <v>2300</v>
      </c>
      <c r="AC12" s="166"/>
      <c r="AD12" s="166">
        <f>AD97+AD98</f>
        <v>2580</v>
      </c>
      <c r="AE12" s="168"/>
      <c r="AF12" s="950">
        <f t="shared" ref="AF12:AO12" si="4">AF97+AF98</f>
        <v>3025</v>
      </c>
      <c r="AG12" s="950">
        <f t="shared" si="4"/>
        <v>3005</v>
      </c>
      <c r="AH12" s="950">
        <f t="shared" si="4"/>
        <v>3130</v>
      </c>
      <c r="AI12" s="950">
        <f t="shared" si="4"/>
        <v>3430</v>
      </c>
      <c r="AJ12" s="950">
        <f t="shared" si="4"/>
        <v>3390</v>
      </c>
      <c r="AK12" s="950">
        <f t="shared" si="4"/>
        <v>3640</v>
      </c>
      <c r="AL12" s="950">
        <f t="shared" si="4"/>
        <v>3840</v>
      </c>
      <c r="AM12" s="950">
        <f t="shared" si="4"/>
        <v>3655</v>
      </c>
      <c r="AN12" s="950">
        <f t="shared" si="4"/>
        <v>3530</v>
      </c>
      <c r="AO12" s="950">
        <f t="shared" si="4"/>
        <v>3335</v>
      </c>
      <c r="AP12" s="950">
        <f>AP97+AP98</f>
        <v>3200</v>
      </c>
      <c r="AQ12" s="950">
        <f>AQ97+AQ98</f>
        <v>3250</v>
      </c>
    </row>
    <row r="13" spans="1:43" ht="26.25" hidden="1" customHeight="1" outlineLevel="1">
      <c r="C13" s="165" t="s">
        <v>256</v>
      </c>
      <c r="P13" s="168"/>
      <c r="Q13" s="168"/>
      <c r="R13" s="168"/>
      <c r="S13" s="168"/>
      <c r="T13" s="168"/>
      <c r="U13" s="168"/>
      <c r="V13" s="168"/>
      <c r="W13" s="168"/>
      <c r="X13" s="166" t="str">
        <f>X97</f>
        <v>-</v>
      </c>
      <c r="Y13" s="166"/>
      <c r="Z13" s="166">
        <f>Z97</f>
        <v>1410</v>
      </c>
      <c r="AA13" s="166"/>
      <c r="AB13" s="166">
        <f>AB97</f>
        <v>1525</v>
      </c>
      <c r="AC13" s="166"/>
      <c r="AD13" s="166">
        <f>AD97</f>
        <v>1670</v>
      </c>
      <c r="AE13" s="168"/>
      <c r="AF13" s="950">
        <f t="shared" ref="AF13:AQ13" si="5">AF97</f>
        <v>2025</v>
      </c>
      <c r="AG13" s="950">
        <f t="shared" si="5"/>
        <v>1975</v>
      </c>
      <c r="AH13" s="950">
        <f t="shared" si="5"/>
        <v>2010</v>
      </c>
      <c r="AI13" s="950">
        <f t="shared" si="5"/>
        <v>2220</v>
      </c>
      <c r="AJ13" s="950">
        <f t="shared" si="5"/>
        <v>2320</v>
      </c>
      <c r="AK13" s="950">
        <f t="shared" si="5"/>
        <v>2080</v>
      </c>
      <c r="AL13" s="950">
        <f t="shared" si="5"/>
        <v>2250</v>
      </c>
      <c r="AM13" s="950">
        <f t="shared" si="5"/>
        <v>2145</v>
      </c>
      <c r="AN13" s="950">
        <f t="shared" si="5"/>
        <v>2070</v>
      </c>
      <c r="AO13" s="950">
        <f t="shared" si="5"/>
        <v>2015</v>
      </c>
      <c r="AP13" s="950">
        <f t="shared" si="5"/>
        <v>1960</v>
      </c>
      <c r="AQ13" s="950">
        <f t="shared" si="5"/>
        <v>2000</v>
      </c>
    </row>
    <row r="14" spans="1:43" ht="18.75" hidden="1" customHeight="1" outlineLevel="1">
      <c r="C14" s="165" t="s">
        <v>257</v>
      </c>
      <c r="P14" s="168"/>
      <c r="Q14" s="168"/>
      <c r="R14" s="168"/>
      <c r="S14" s="168"/>
      <c r="T14" s="168"/>
      <c r="U14" s="168"/>
      <c r="V14" s="168"/>
      <c r="W14" s="168"/>
      <c r="X14" s="166"/>
      <c r="Y14" s="166"/>
      <c r="Z14" s="166"/>
      <c r="AA14" s="166"/>
      <c r="AB14" s="166"/>
      <c r="AC14" s="166"/>
      <c r="AD14" s="166"/>
      <c r="AE14" s="168"/>
      <c r="AF14" s="950"/>
      <c r="AM14" s="166"/>
      <c r="AN14" s="166"/>
      <c r="AO14" s="166"/>
    </row>
    <row r="15" spans="1:43" ht="27" customHeight="1" collapsed="1">
      <c r="B15" s="1924" t="s">
        <v>697</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O16" s="168"/>
      <c r="P16" s="168"/>
      <c r="Q16" s="168"/>
      <c r="R16" s="168"/>
      <c r="S16" s="168"/>
      <c r="T16" s="168"/>
      <c r="U16" s="168"/>
      <c r="V16" s="168"/>
      <c r="W16" s="168"/>
      <c r="X16" s="169"/>
      <c r="Y16" s="166"/>
      <c r="Z16" s="166"/>
      <c r="AA16" s="166"/>
      <c r="AB16" s="166"/>
      <c r="AC16" s="166"/>
      <c r="AD16" s="166"/>
      <c r="AE16" s="168"/>
      <c r="AF16" s="950"/>
    </row>
    <row r="17" spans="2:46">
      <c r="B17" s="170" t="s">
        <v>1124</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68"/>
      <c r="AF17" s="971"/>
    </row>
    <row r="18" spans="2:46">
      <c r="O18" s="168"/>
      <c r="P18" s="168"/>
      <c r="Q18" s="168"/>
      <c r="R18" s="168"/>
      <c r="S18" s="168"/>
      <c r="T18" s="168"/>
      <c r="U18" s="168"/>
      <c r="V18" s="168"/>
      <c r="W18" s="168"/>
      <c r="X18" s="169"/>
      <c r="Y18" s="166"/>
      <c r="Z18" s="166"/>
      <c r="AA18" s="166"/>
      <c r="AB18" s="166"/>
      <c r="AC18" s="166"/>
      <c r="AD18" s="166"/>
      <c r="AE18" s="168"/>
      <c r="AF18" s="950"/>
    </row>
    <row r="19" spans="2:46">
      <c r="B19" s="170" t="s">
        <v>243</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68"/>
      <c r="AF19" s="971"/>
    </row>
    <row r="20" spans="2:46">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169"/>
      <c r="AE20" s="168"/>
      <c r="AF20" s="975"/>
    </row>
    <row r="21" spans="2:46">
      <c r="O21" s="168"/>
      <c r="P21" s="168"/>
      <c r="Q21" s="168"/>
      <c r="R21" s="168"/>
      <c r="S21" s="168"/>
      <c r="T21" s="168"/>
      <c r="U21" s="168"/>
      <c r="V21" s="168"/>
      <c r="W21" s="168"/>
      <c r="X21" s="257">
        <v>2001</v>
      </c>
      <c r="Y21" s="258"/>
      <c r="Z21" s="257">
        <v>2003</v>
      </c>
      <c r="AA21" s="258"/>
      <c r="AB21" s="257">
        <v>2005</v>
      </c>
      <c r="AC21" s="258"/>
      <c r="AD21" s="259">
        <v>2007</v>
      </c>
      <c r="AE21" s="260"/>
      <c r="AF21" s="978">
        <v>2009</v>
      </c>
      <c r="AG21" s="967">
        <v>2010</v>
      </c>
      <c r="AH21" s="967">
        <v>2011</v>
      </c>
      <c r="AI21" s="967">
        <v>2012</v>
      </c>
      <c r="AJ21" s="967">
        <v>2013</v>
      </c>
      <c r="AK21" s="967">
        <v>2014</v>
      </c>
      <c r="AL21" s="967">
        <v>2015</v>
      </c>
      <c r="AM21" s="967">
        <v>2016</v>
      </c>
      <c r="AN21" s="967">
        <v>2017</v>
      </c>
      <c r="AO21" s="967">
        <v>2018</v>
      </c>
      <c r="AP21" s="967">
        <v>2019</v>
      </c>
      <c r="AQ21" s="967">
        <v>2020</v>
      </c>
    </row>
    <row r="22" spans="2:46" ht="13.5" customHeight="1">
      <c r="B22" s="933"/>
      <c r="C22" s="623"/>
      <c r="O22" s="168"/>
      <c r="P22" s="168"/>
      <c r="Q22" s="168"/>
      <c r="R22" s="168"/>
      <c r="S22" s="168"/>
      <c r="T22" s="168"/>
      <c r="U22" s="168"/>
      <c r="V22" s="168"/>
      <c r="W22" s="168"/>
      <c r="AE22" s="168"/>
      <c r="AO22" s="547"/>
      <c r="AQ22" s="547"/>
    </row>
    <row r="23" spans="2:46">
      <c r="B23" s="75">
        <v>1</v>
      </c>
      <c r="C23" s="165" t="s">
        <v>410</v>
      </c>
      <c r="P23" s="168"/>
      <c r="Q23" s="168"/>
      <c r="R23" s="168"/>
      <c r="S23" s="168"/>
      <c r="T23" s="168"/>
      <c r="U23" s="168"/>
      <c r="V23" s="168"/>
      <c r="W23" s="168"/>
      <c r="X23" s="932">
        <v>18.3</v>
      </c>
      <c r="Y23" s="166"/>
      <c r="Z23" s="1845">
        <v>17.8</v>
      </c>
      <c r="AA23" s="244"/>
      <c r="AB23" s="1845">
        <v>17.600000000000001</v>
      </c>
      <c r="AC23" s="244"/>
      <c r="AD23" s="1845">
        <v>18.3</v>
      </c>
      <c r="AE23" s="168"/>
      <c r="AF23" s="1846">
        <v>18</v>
      </c>
      <c r="AG23" s="1847">
        <v>18.2</v>
      </c>
      <c r="AH23" s="1847">
        <v>15.377100127948582</v>
      </c>
      <c r="AI23" s="1847">
        <v>15.874734169652049</v>
      </c>
      <c r="AJ23" s="1847">
        <v>15.396670777805715</v>
      </c>
      <c r="AK23" s="1847">
        <v>15.704352504532149</v>
      </c>
      <c r="AL23" s="1848">
        <v>15.655496502615879</v>
      </c>
      <c r="AM23" s="1848">
        <v>15.681948018169201</v>
      </c>
      <c r="AN23" s="1848">
        <v>15.191781567819218</v>
      </c>
      <c r="AO23" s="1848">
        <v>15.264629079117864</v>
      </c>
      <c r="AP23" s="1848">
        <v>15.288640068288773</v>
      </c>
      <c r="AQ23" s="1848"/>
      <c r="AS23" s="261"/>
      <c r="AT23" s="261"/>
    </row>
    <row r="24" spans="2:46">
      <c r="B24" s="75" t="s">
        <v>289</v>
      </c>
      <c r="C24" s="165" t="s">
        <v>12</v>
      </c>
      <c r="P24" s="168"/>
      <c r="Q24" s="168"/>
      <c r="R24" s="168"/>
      <c r="S24" s="168"/>
      <c r="T24" s="168"/>
      <c r="U24" s="168"/>
      <c r="V24" s="168"/>
      <c r="W24" s="168"/>
      <c r="X24" s="932">
        <v>16.5</v>
      </c>
      <c r="Y24" s="166"/>
      <c r="Z24" s="1845">
        <v>16</v>
      </c>
      <c r="AA24" s="244"/>
      <c r="AB24" s="1845">
        <v>15.7</v>
      </c>
      <c r="AC24" s="244"/>
      <c r="AD24" s="1845">
        <v>16.600000000000001</v>
      </c>
      <c r="AE24" s="168"/>
      <c r="AF24" s="1846">
        <v>16.2</v>
      </c>
      <c r="AG24" s="1847">
        <v>16.399999999999999</v>
      </c>
      <c r="AH24" s="1847">
        <v>15.292017079968694</v>
      </c>
      <c r="AI24" s="1847">
        <v>15.810330026301406</v>
      </c>
      <c r="AJ24" s="1847">
        <v>15.333286933368861</v>
      </c>
      <c r="AK24" s="1847">
        <v>15.647323748987379</v>
      </c>
      <c r="AL24" s="1849">
        <v>15.609691530815764</v>
      </c>
      <c r="AM24" s="1848">
        <v>15.629985366991475</v>
      </c>
      <c r="AN24" s="1848">
        <v>15.13577565777641</v>
      </c>
      <c r="AO24" s="1848">
        <v>15.20801407927326</v>
      </c>
      <c r="AP24" s="1848">
        <v>15.234468503091891</v>
      </c>
      <c r="AQ24" s="1848"/>
      <c r="AS24" s="261"/>
      <c r="AT24" s="261"/>
    </row>
    <row r="25" spans="2:46">
      <c r="B25" s="75" t="s">
        <v>291</v>
      </c>
      <c r="C25" s="165" t="s">
        <v>506</v>
      </c>
      <c r="P25" s="168"/>
      <c r="Q25" s="168"/>
      <c r="R25" s="168"/>
      <c r="S25" s="168"/>
      <c r="T25" s="168"/>
      <c r="U25" s="168"/>
      <c r="V25" s="168"/>
      <c r="W25" s="168"/>
      <c r="X25" s="932">
        <v>22.4</v>
      </c>
      <c r="Y25" s="166"/>
      <c r="Z25" s="1845">
        <v>22.5</v>
      </c>
      <c r="AA25" s="244"/>
      <c r="AB25" s="1845">
        <v>21.1</v>
      </c>
      <c r="AC25" s="244"/>
      <c r="AD25" s="1845">
        <v>21.1</v>
      </c>
      <c r="AE25" s="168"/>
      <c r="AF25" s="1846">
        <v>20.5</v>
      </c>
      <c r="AG25" s="1847">
        <v>20.5</v>
      </c>
      <c r="AH25" s="1847">
        <v>17.119020645784843</v>
      </c>
      <c r="AI25" s="1847">
        <v>17.126208502549858</v>
      </c>
      <c r="AJ25" s="1847">
        <v>16.192819607443163</v>
      </c>
      <c r="AK25" s="1847">
        <v>16.137786584246506</v>
      </c>
      <c r="AL25" s="1850">
        <v>15.643259011680325</v>
      </c>
      <c r="AM25" s="1848">
        <v>15.868328499781722</v>
      </c>
      <c r="AN25" s="1848">
        <v>15.44957353945437</v>
      </c>
      <c r="AO25" s="1848">
        <v>15.588928288295653</v>
      </c>
      <c r="AP25" s="1848">
        <v>15.566742579349402</v>
      </c>
      <c r="AQ25" s="1848"/>
      <c r="AS25" s="261"/>
      <c r="AT25" s="261"/>
    </row>
    <row r="26" spans="2:46">
      <c r="B26" s="75" t="s">
        <v>411</v>
      </c>
      <c r="C26" s="165" t="s">
        <v>412</v>
      </c>
      <c r="P26" s="168"/>
      <c r="Q26" s="168"/>
      <c r="R26" s="168"/>
      <c r="S26" s="168"/>
      <c r="T26" s="168"/>
      <c r="U26" s="168"/>
      <c r="V26" s="168"/>
      <c r="W26" s="168"/>
      <c r="X26" s="932">
        <v>22.1</v>
      </c>
      <c r="Y26" s="166"/>
      <c r="Z26" s="1845">
        <v>21.3</v>
      </c>
      <c r="AA26" s="244"/>
      <c r="AB26" s="1845">
        <v>21.3</v>
      </c>
      <c r="AC26" s="244"/>
      <c r="AD26" s="1845">
        <v>21.9</v>
      </c>
      <c r="AE26" s="168"/>
      <c r="AF26" s="1846">
        <v>21.9</v>
      </c>
      <c r="AG26" s="1847">
        <v>22</v>
      </c>
      <c r="AH26" s="1847">
        <v>16.074073988274655</v>
      </c>
      <c r="AI26" s="1847">
        <v>16.639975380503952</v>
      </c>
      <c r="AJ26" s="1847">
        <v>16.935539213406773</v>
      </c>
      <c r="AK26" s="1847">
        <v>17.940975361979003</v>
      </c>
      <c r="AL26" s="1848">
        <v>18.595107863748069</v>
      </c>
      <c r="AM26" s="1848">
        <v>18.67245006504983</v>
      </c>
      <c r="AN26" s="1848">
        <v>17.98259665063614</v>
      </c>
      <c r="AO26" s="1848">
        <v>17.749379219338046</v>
      </c>
      <c r="AP26" s="1848">
        <v>17.537768280434967</v>
      </c>
      <c r="AQ26" s="1848"/>
      <c r="AS26" s="261"/>
      <c r="AT26" s="261"/>
    </row>
    <row r="27" spans="2:46">
      <c r="B27" s="75">
        <v>2</v>
      </c>
      <c r="C27" s="165" t="s">
        <v>413</v>
      </c>
      <c r="P27" s="168"/>
      <c r="Q27" s="168"/>
      <c r="R27" s="168"/>
      <c r="S27" s="168"/>
      <c r="T27" s="168"/>
      <c r="U27" s="168"/>
      <c r="V27" s="168"/>
      <c r="W27" s="168"/>
      <c r="X27" s="932">
        <v>19.399999999999999</v>
      </c>
      <c r="Y27" s="166"/>
      <c r="Z27" s="1845">
        <v>18.899999999999999</v>
      </c>
      <c r="AA27" s="244"/>
      <c r="AB27" s="1845">
        <v>18.100000000000001</v>
      </c>
      <c r="AC27" s="244"/>
      <c r="AD27" s="1845">
        <v>18.7</v>
      </c>
      <c r="AE27" s="168"/>
      <c r="AF27" s="1846">
        <v>18.5</v>
      </c>
      <c r="AG27" s="1847">
        <v>19.3</v>
      </c>
      <c r="AH27" s="1847">
        <v>19.741458611973886</v>
      </c>
      <c r="AI27" s="1847">
        <v>18.872607572438437</v>
      </c>
      <c r="AJ27" s="1847">
        <v>18.247414544690528</v>
      </c>
      <c r="AK27" s="1847">
        <v>18.182339493313108</v>
      </c>
      <c r="AL27" s="1848">
        <v>17.974173413015279</v>
      </c>
      <c r="AM27" s="1848">
        <v>17.771134341842771</v>
      </c>
      <c r="AN27" s="1848">
        <v>17.427110812834233</v>
      </c>
      <c r="AO27" s="1848">
        <v>17.432256080877249</v>
      </c>
      <c r="AP27" s="1848">
        <v>17.723346221713115</v>
      </c>
      <c r="AQ27" s="1848"/>
      <c r="AS27" s="261"/>
      <c r="AT27" s="261"/>
    </row>
    <row r="28" spans="2:46">
      <c r="B28" s="75" t="s">
        <v>414</v>
      </c>
      <c r="C28" s="165" t="s">
        <v>12</v>
      </c>
      <c r="P28" s="168"/>
      <c r="Q28" s="168"/>
      <c r="R28" s="168"/>
      <c r="S28" s="168"/>
      <c r="T28" s="168"/>
      <c r="U28" s="168"/>
      <c r="V28" s="168"/>
      <c r="W28" s="168"/>
      <c r="X28" s="932">
        <v>19.399999999999999</v>
      </c>
      <c r="Y28" s="166"/>
      <c r="Z28" s="1845">
        <v>18.899999999999999</v>
      </c>
      <c r="AA28" s="244"/>
      <c r="AB28" s="1845">
        <v>18.100000000000001</v>
      </c>
      <c r="AC28" s="244"/>
      <c r="AD28" s="1845">
        <v>18.7</v>
      </c>
      <c r="AE28" s="168"/>
      <c r="AF28" s="1846">
        <v>18.5</v>
      </c>
      <c r="AG28" s="1847">
        <v>19.3</v>
      </c>
      <c r="AH28" s="1847">
        <v>19.741458611973886</v>
      </c>
      <c r="AI28" s="1847">
        <v>18.872607572438437</v>
      </c>
      <c r="AJ28" s="1847">
        <v>18.247414544690528</v>
      </c>
      <c r="AK28" s="1847">
        <v>18.182339493313108</v>
      </c>
      <c r="AL28" s="1848">
        <v>17.974173413015279</v>
      </c>
      <c r="AM28" s="1848">
        <v>17.771134341842771</v>
      </c>
      <c r="AN28" s="1848">
        <v>17.427110812834233</v>
      </c>
      <c r="AO28" s="1848">
        <v>17.432256080877249</v>
      </c>
      <c r="AP28" s="1848">
        <v>17.723346221713115</v>
      </c>
      <c r="AQ28" s="1848"/>
      <c r="AS28" s="261"/>
      <c r="AT28" s="261"/>
    </row>
    <row r="29" spans="2:46">
      <c r="B29" s="75">
        <v>3</v>
      </c>
      <c r="C29" s="165" t="s">
        <v>14</v>
      </c>
      <c r="P29" s="168"/>
      <c r="Q29" s="168"/>
      <c r="R29" s="168"/>
      <c r="S29" s="168"/>
      <c r="T29" s="168"/>
      <c r="U29" s="168"/>
      <c r="V29" s="168"/>
      <c r="W29" s="168"/>
      <c r="X29" s="932">
        <v>16.3</v>
      </c>
      <c r="Y29" s="166"/>
      <c r="Z29" s="1845">
        <v>15.7</v>
      </c>
      <c r="AA29" s="244"/>
      <c r="AB29" s="1845">
        <v>15.6</v>
      </c>
      <c r="AC29" s="244"/>
      <c r="AD29" s="1845">
        <v>15.4</v>
      </c>
      <c r="AE29" s="168"/>
      <c r="AF29" s="1846">
        <v>15.1</v>
      </c>
      <c r="AG29" s="1847">
        <v>15.2</v>
      </c>
      <c r="AH29" s="1847">
        <v>15.703505027285663</v>
      </c>
      <c r="AI29" s="1847">
        <v>15.535239621639246</v>
      </c>
      <c r="AJ29" s="1847">
        <v>15.476842940352375</v>
      </c>
      <c r="AK29" s="1847">
        <v>15.222259957439638</v>
      </c>
      <c r="AL29" s="1849">
        <v>21.038592319591434</v>
      </c>
      <c r="AM29" s="1848">
        <v>20.738672825570521</v>
      </c>
      <c r="AN29" s="1848">
        <v>20.508048372776027</v>
      </c>
      <c r="AO29" s="1848">
        <v>20.355423355278901</v>
      </c>
      <c r="AP29" s="1848">
        <v>20.239869631936642</v>
      </c>
      <c r="AQ29" s="1848"/>
      <c r="AS29" s="261"/>
      <c r="AT29" s="261"/>
    </row>
    <row r="30" spans="2:46">
      <c r="B30" s="75" t="s">
        <v>415</v>
      </c>
      <c r="C30" s="165" t="s">
        <v>15</v>
      </c>
      <c r="P30" s="168"/>
      <c r="Q30" s="168"/>
      <c r="R30" s="168"/>
      <c r="S30" s="168"/>
      <c r="T30" s="168"/>
      <c r="U30" s="168"/>
      <c r="V30" s="168"/>
      <c r="W30" s="168"/>
      <c r="X30" s="932">
        <v>15.8</v>
      </c>
      <c r="Y30" s="166"/>
      <c r="Z30" s="1845">
        <v>15.3</v>
      </c>
      <c r="AA30" s="244"/>
      <c r="AB30" s="1845">
        <v>15.3</v>
      </c>
      <c r="AC30" s="244"/>
      <c r="AD30" s="1845">
        <v>15</v>
      </c>
      <c r="AE30" s="168"/>
      <c r="AF30" s="1846">
        <v>14.7</v>
      </c>
      <c r="AG30" s="1847">
        <v>14.8</v>
      </c>
      <c r="AH30" s="1847">
        <v>11.455501184812169</v>
      </c>
      <c r="AI30" s="1847">
        <v>11.291772853719914</v>
      </c>
      <c r="AJ30" s="1847">
        <v>11.005943216839782</v>
      </c>
      <c r="AK30" s="1847">
        <v>10.648781694482217</v>
      </c>
      <c r="AL30" s="1848">
        <v>20.036917389810622</v>
      </c>
      <c r="AM30" s="1848">
        <v>19.643262096407462</v>
      </c>
      <c r="AN30" s="1848">
        <v>19.263635207136577</v>
      </c>
      <c r="AO30" s="1848">
        <v>19.101828848871119</v>
      </c>
      <c r="AP30" s="1848">
        <v>18.963230331055328</v>
      </c>
      <c r="AQ30" s="1848"/>
      <c r="AS30" s="261"/>
      <c r="AT30" s="261"/>
    </row>
    <row r="31" spans="2:46">
      <c r="B31" s="75" t="s">
        <v>417</v>
      </c>
      <c r="C31" s="165" t="s">
        <v>418</v>
      </c>
      <c r="P31" s="168"/>
      <c r="Q31" s="168"/>
      <c r="R31" s="168"/>
      <c r="S31" s="168"/>
      <c r="T31" s="168"/>
      <c r="U31" s="168"/>
      <c r="V31" s="168"/>
      <c r="W31" s="168"/>
      <c r="X31" s="932">
        <v>25.4</v>
      </c>
      <c r="Y31" s="166"/>
      <c r="Z31" s="1845">
        <v>25</v>
      </c>
      <c r="AA31" s="244"/>
      <c r="AB31" s="1845">
        <v>26</v>
      </c>
      <c r="AC31" s="244"/>
      <c r="AD31" s="1845">
        <v>26.1</v>
      </c>
      <c r="AE31" s="168"/>
      <c r="AF31" s="1846">
        <v>25.7</v>
      </c>
      <c r="AG31" s="1847">
        <v>26</v>
      </c>
      <c r="AH31" s="1847">
        <v>23.883457903272323</v>
      </c>
      <c r="AI31" s="1847">
        <v>23.97708219055497</v>
      </c>
      <c r="AJ31" s="1847">
        <v>24.100181645743348</v>
      </c>
      <c r="AK31" s="1847">
        <v>23.965987926030451</v>
      </c>
      <c r="AL31" s="1849">
        <v>23.242450299737815</v>
      </c>
      <c r="AM31" s="1848">
        <v>23.266658115247939</v>
      </c>
      <c r="AN31" s="1848">
        <v>23.436268633248343</v>
      </c>
      <c r="AO31" s="1848">
        <v>23.435651267909886</v>
      </c>
      <c r="AP31" s="1848">
        <v>23.398108298848349</v>
      </c>
      <c r="AQ31" s="1848"/>
      <c r="AS31" s="261"/>
      <c r="AT31" s="261"/>
    </row>
    <row r="32" spans="2:46">
      <c r="B32" s="75">
        <v>4</v>
      </c>
      <c r="C32" s="165" t="s">
        <v>419</v>
      </c>
      <c r="P32" s="168"/>
      <c r="Q32" s="168"/>
      <c r="R32" s="168"/>
      <c r="S32" s="168"/>
      <c r="T32" s="168"/>
      <c r="U32" s="168"/>
      <c r="V32" s="168"/>
      <c r="W32" s="168"/>
      <c r="X32" s="932">
        <v>0.2</v>
      </c>
      <c r="Y32" s="166"/>
      <c r="Z32" s="1845">
        <v>0.2</v>
      </c>
      <c r="AA32" s="244"/>
      <c r="AB32" s="1845">
        <v>0.3</v>
      </c>
      <c r="AC32" s="244"/>
      <c r="AD32" s="1845">
        <v>0.3</v>
      </c>
      <c r="AE32" s="168"/>
      <c r="AF32" s="547">
        <v>0.7</v>
      </c>
      <c r="AG32" s="1847">
        <v>0.8</v>
      </c>
      <c r="AH32" s="1847">
        <v>10.696077639436261</v>
      </c>
      <c r="AI32" s="1847">
        <v>10.973067608136864</v>
      </c>
      <c r="AJ32" s="1847">
        <v>10.664716040821739</v>
      </c>
      <c r="AK32" s="1847">
        <v>10.478680489842382</v>
      </c>
      <c r="AL32" s="1848">
        <v>11.487825799205009</v>
      </c>
      <c r="AM32" s="1848">
        <v>11.770952244729457</v>
      </c>
      <c r="AN32" s="1848">
        <v>11.885358325901155</v>
      </c>
      <c r="AO32" s="1848">
        <v>11.961767914453288</v>
      </c>
      <c r="AP32" s="1848">
        <v>11.975683369722018</v>
      </c>
      <c r="AQ32" s="1848"/>
      <c r="AS32" s="261"/>
      <c r="AT32" s="261"/>
    </row>
    <row r="33" spans="2:46">
      <c r="B33" s="75" t="s">
        <v>301</v>
      </c>
      <c r="C33" s="165" t="s">
        <v>508</v>
      </c>
      <c r="P33" s="168"/>
      <c r="Q33" s="168"/>
      <c r="R33" s="168"/>
      <c r="S33" s="168"/>
      <c r="T33" s="168"/>
      <c r="U33" s="168"/>
      <c r="V33" s="168"/>
      <c r="W33" s="168"/>
      <c r="X33" s="932">
        <v>1.6</v>
      </c>
      <c r="Y33" s="166"/>
      <c r="Z33" s="1845">
        <v>0.9</v>
      </c>
      <c r="AA33" s="244"/>
      <c r="AB33" s="1845">
        <v>1.2</v>
      </c>
      <c r="AC33" s="244"/>
      <c r="AD33" s="1845">
        <v>1.7</v>
      </c>
      <c r="AE33" s="168"/>
      <c r="AF33" s="1846">
        <v>1.7</v>
      </c>
      <c r="AG33" s="1847">
        <v>3.4</v>
      </c>
      <c r="AH33" s="1847">
        <v>5.1755775840693818</v>
      </c>
      <c r="AI33" s="1847">
        <v>5.2303949699404724</v>
      </c>
      <c r="AJ33" s="1847">
        <v>2.852517529607546</v>
      </c>
      <c r="AK33" s="1847">
        <v>2.7850629658083896</v>
      </c>
      <c r="AL33" s="1849">
        <v>5.1934178794169963</v>
      </c>
      <c r="AM33" s="1848">
        <v>6.8694967710575661</v>
      </c>
      <c r="AN33" s="1848">
        <v>9.08440344368403</v>
      </c>
      <c r="AO33" s="1848">
        <v>11.073616949046601</v>
      </c>
      <c r="AP33" s="1848">
        <v>12.455674236498362</v>
      </c>
      <c r="AQ33" s="1848"/>
      <c r="AS33" s="261"/>
      <c r="AT33" s="261"/>
    </row>
    <row r="34" spans="2:46">
      <c r="B34" s="75">
        <v>5</v>
      </c>
      <c r="C34" s="165" t="s">
        <v>422</v>
      </c>
      <c r="P34" s="168"/>
      <c r="Q34" s="168"/>
      <c r="R34" s="168"/>
      <c r="S34" s="168"/>
      <c r="T34" s="168"/>
      <c r="U34" s="168"/>
      <c r="V34" s="168"/>
      <c r="W34" s="168"/>
      <c r="X34" s="932">
        <v>17.2</v>
      </c>
      <c r="Y34" s="166"/>
      <c r="Z34" s="1845">
        <v>19.8</v>
      </c>
      <c r="AA34" s="244"/>
      <c r="AB34" s="1845">
        <v>19.899999999999999</v>
      </c>
      <c r="AC34" s="244"/>
      <c r="AD34" s="1845">
        <v>19.399999999999999</v>
      </c>
      <c r="AE34" s="168"/>
      <c r="AF34" s="1846">
        <v>19.7</v>
      </c>
      <c r="AG34" s="1847">
        <v>19.8</v>
      </c>
      <c r="AH34" s="1847">
        <v>18.713147436480931</v>
      </c>
      <c r="AI34" s="1847">
        <v>18.719111035944088</v>
      </c>
      <c r="AJ34" s="1847">
        <v>18.580043715433035</v>
      </c>
      <c r="AK34" s="1847">
        <v>18.294127046390777</v>
      </c>
      <c r="AL34" s="1849">
        <v>18.765802828789624</v>
      </c>
      <c r="AM34" s="1848">
        <v>18.605446346646293</v>
      </c>
      <c r="AN34" s="1848">
        <v>18.406859734788053</v>
      </c>
      <c r="AO34" s="1848">
        <v>18.502016583869526</v>
      </c>
      <c r="AP34" s="1848">
        <v>18.351183613340215</v>
      </c>
      <c r="AQ34" s="1848"/>
      <c r="AS34" s="261"/>
      <c r="AT34" s="261"/>
    </row>
    <row r="35" spans="2:46">
      <c r="B35" s="75" t="s">
        <v>423</v>
      </c>
      <c r="C35" s="165" t="s">
        <v>424</v>
      </c>
      <c r="P35" s="168"/>
      <c r="Q35" s="168"/>
      <c r="R35" s="168"/>
      <c r="S35" s="168"/>
      <c r="T35" s="168"/>
      <c r="U35" s="168"/>
      <c r="V35" s="168"/>
      <c r="W35" s="168"/>
      <c r="X35" s="932">
        <v>17.2</v>
      </c>
      <c r="Y35" s="166"/>
      <c r="Z35" s="1845">
        <v>19.8</v>
      </c>
      <c r="AA35" s="244"/>
      <c r="AB35" s="1845">
        <v>19.899999999999999</v>
      </c>
      <c r="AC35" s="244"/>
      <c r="AD35" s="1845">
        <v>19.399999999999999</v>
      </c>
      <c r="AE35" s="168"/>
      <c r="AF35" s="1846">
        <v>19.7</v>
      </c>
      <c r="AG35" s="1847">
        <v>19.8</v>
      </c>
      <c r="AH35" s="1847">
        <v>18.713147436480931</v>
      </c>
      <c r="AI35" s="1847">
        <v>18.719111035944088</v>
      </c>
      <c r="AJ35" s="1847">
        <v>18.580043715433035</v>
      </c>
      <c r="AK35" s="1847">
        <v>18.294127046390777</v>
      </c>
      <c r="AL35" s="1848">
        <v>18.765802828789624</v>
      </c>
      <c r="AM35" s="1848">
        <v>18.605446346646293</v>
      </c>
      <c r="AN35" s="1848">
        <v>18.406859734788053</v>
      </c>
      <c r="AO35" s="1848">
        <v>18.502016583869526</v>
      </c>
      <c r="AP35" s="1848">
        <v>18.351183613340215</v>
      </c>
      <c r="AQ35" s="1848"/>
      <c r="AS35" s="261"/>
      <c r="AT35" s="261"/>
    </row>
    <row r="36" spans="2:46">
      <c r="B36" s="75">
        <v>6</v>
      </c>
      <c r="C36" s="165" t="s">
        <v>425</v>
      </c>
      <c r="P36" s="168"/>
      <c r="Q36" s="168"/>
      <c r="R36" s="168"/>
      <c r="S36" s="168"/>
      <c r="T36" s="168"/>
      <c r="U36" s="168"/>
      <c r="V36" s="168"/>
      <c r="W36" s="168"/>
      <c r="X36" s="932">
        <v>20.399999999999999</v>
      </c>
      <c r="Y36" s="166"/>
      <c r="Z36" s="1845">
        <v>20.8</v>
      </c>
      <c r="AA36" s="244"/>
      <c r="AB36" s="1845">
        <v>20.100000000000001</v>
      </c>
      <c r="AC36" s="244"/>
      <c r="AD36" s="1845">
        <v>19.899999999999999</v>
      </c>
      <c r="AE36" s="168"/>
      <c r="AF36" s="1846">
        <v>20.399999999999999</v>
      </c>
      <c r="AG36" s="1847">
        <v>20.399999999999999</v>
      </c>
      <c r="AH36" s="1847">
        <v>17.904085552128034</v>
      </c>
      <c r="AI36" s="1847">
        <v>17.477534693241157</v>
      </c>
      <c r="AJ36" s="1847">
        <v>17.497123167775783</v>
      </c>
      <c r="AK36" s="1847">
        <v>17.565540831698737</v>
      </c>
      <c r="AL36" s="1849">
        <v>18.025942094990661</v>
      </c>
      <c r="AM36" s="1848">
        <v>17.953411840739829</v>
      </c>
      <c r="AN36" s="1848">
        <v>17.167670498440401</v>
      </c>
      <c r="AO36" s="1848">
        <v>16.553440246869169</v>
      </c>
      <c r="AP36" s="1848">
        <v>15.802610171059694</v>
      </c>
      <c r="AQ36" s="1848"/>
      <c r="AS36" s="261"/>
      <c r="AT36" s="261"/>
    </row>
    <row r="37" spans="2:46">
      <c r="B37" s="75" t="s">
        <v>426</v>
      </c>
      <c r="C37" s="165" t="s">
        <v>427</v>
      </c>
      <c r="P37" s="168"/>
      <c r="Q37" s="168"/>
      <c r="R37" s="168"/>
      <c r="S37" s="168"/>
      <c r="T37" s="168"/>
      <c r="U37" s="168"/>
      <c r="V37" s="168"/>
      <c r="W37" s="168"/>
      <c r="X37" s="932">
        <v>20.399999999999999</v>
      </c>
      <c r="Y37" s="166"/>
      <c r="Z37" s="1845">
        <v>20.8</v>
      </c>
      <c r="AA37" s="244"/>
      <c r="AB37" s="1845">
        <v>20.100000000000001</v>
      </c>
      <c r="AC37" s="244"/>
      <c r="AD37" s="1845">
        <v>19.899999999999999</v>
      </c>
      <c r="AE37" s="168"/>
      <c r="AF37" s="1846">
        <v>20.399999999999999</v>
      </c>
      <c r="AG37" s="1847">
        <v>20.399999999999999</v>
      </c>
      <c r="AH37" s="1847">
        <v>19.529658532865689</v>
      </c>
      <c r="AI37" s="1847">
        <v>19.224498166236149</v>
      </c>
      <c r="AJ37" s="1847">
        <v>19.087168105517584</v>
      </c>
      <c r="AK37" s="1847">
        <v>18.99495433914576</v>
      </c>
      <c r="AL37" s="1848">
        <v>19.313381538668029</v>
      </c>
      <c r="AM37" s="1848">
        <v>19.50532281527202</v>
      </c>
      <c r="AN37" s="1848">
        <v>19.065630682682212</v>
      </c>
      <c r="AO37" s="1848">
        <v>18.727016341474744</v>
      </c>
      <c r="AP37" s="1848">
        <v>18.179556291559532</v>
      </c>
      <c r="AQ37" s="1848"/>
      <c r="AS37" s="261"/>
      <c r="AT37" s="261"/>
    </row>
    <row r="38" spans="2:46">
      <c r="B38" s="172"/>
      <c r="C38" s="172"/>
      <c r="D38" s="172"/>
      <c r="E38" s="172"/>
      <c r="F38" s="172"/>
      <c r="G38" s="172"/>
      <c r="H38" s="172"/>
      <c r="I38" s="172"/>
      <c r="J38" s="172"/>
      <c r="K38" s="172"/>
      <c r="L38" s="172"/>
      <c r="M38" s="172"/>
      <c r="N38" s="172"/>
      <c r="O38" s="172"/>
      <c r="P38" s="173"/>
      <c r="Q38" s="173"/>
      <c r="R38" s="173"/>
      <c r="S38" s="173"/>
      <c r="T38" s="173"/>
      <c r="U38" s="173"/>
      <c r="V38" s="173"/>
      <c r="W38" s="173"/>
      <c r="X38" s="256"/>
      <c r="Y38" s="256"/>
      <c r="Z38" s="256"/>
      <c r="AA38" s="256"/>
      <c r="AB38" s="256"/>
      <c r="AC38" s="256"/>
      <c r="AD38" s="256"/>
      <c r="AE38" s="173"/>
      <c r="AF38" s="1851"/>
      <c r="AG38" s="1851"/>
      <c r="AH38" s="1851"/>
      <c r="AI38" s="1852"/>
      <c r="AJ38" s="1851"/>
      <c r="AK38" s="1851"/>
      <c r="AL38" s="1851"/>
      <c r="AM38" s="1851"/>
      <c r="AN38" s="1851"/>
      <c r="AO38" s="1851"/>
      <c r="AP38" s="1851"/>
      <c r="AQ38" s="1851"/>
    </row>
    <row r="39" spans="2:46" ht="28.5" customHeight="1">
      <c r="B39" s="2035" t="s">
        <v>1924</v>
      </c>
      <c r="C39" s="2036"/>
      <c r="D39" s="2036"/>
      <c r="E39" s="2036"/>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6"/>
      <c r="AK39" s="2036"/>
      <c r="AL39" s="2036"/>
      <c r="AM39" s="2036"/>
      <c r="AN39" s="2036"/>
      <c r="AO39" s="2036"/>
      <c r="AP39" s="2036"/>
      <c r="AQ39" s="2036"/>
    </row>
    <row r="40" spans="2:46" ht="19.5" customHeight="1">
      <c r="B40" s="1853" t="s">
        <v>1694</v>
      </c>
      <c r="X40" s="165"/>
      <c r="Y40" s="165"/>
      <c r="Z40" s="165"/>
      <c r="AA40" s="165"/>
      <c r="AB40" s="165"/>
      <c r="AC40" s="165"/>
      <c r="AD40" s="165"/>
      <c r="AF40" s="165"/>
      <c r="AG40" s="165"/>
      <c r="AH40" s="165"/>
      <c r="AI40" s="165"/>
      <c r="AJ40" s="165"/>
      <c r="AK40" s="165"/>
      <c r="AL40" s="165"/>
      <c r="AM40" s="165"/>
    </row>
    <row r="41" spans="2:46" ht="19.5" customHeight="1">
      <c r="B41" s="1952" t="s">
        <v>1302</v>
      </c>
      <c r="C41" s="2037"/>
      <c r="D41" s="2037"/>
      <c r="E41" s="2037"/>
      <c r="F41" s="2037"/>
      <c r="G41" s="2037"/>
      <c r="H41" s="2037"/>
      <c r="I41" s="2037"/>
      <c r="J41" s="2037"/>
      <c r="K41" s="2037"/>
      <c r="L41" s="2037"/>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row>
    <row r="42" spans="2:46">
      <c r="B42" s="165" t="s">
        <v>1315</v>
      </c>
      <c r="P42" s="168"/>
      <c r="Q42" s="168"/>
      <c r="R42" s="168"/>
      <c r="S42" s="168"/>
      <c r="T42" s="168"/>
      <c r="U42" s="168"/>
      <c r="V42" s="168"/>
      <c r="W42" s="168"/>
      <c r="X42" s="166"/>
      <c r="Y42" s="166"/>
      <c r="Z42" s="166"/>
      <c r="AA42" s="166"/>
      <c r="AB42" s="166"/>
      <c r="AC42" s="166"/>
      <c r="AD42" s="166"/>
      <c r="AE42" s="168"/>
      <c r="AF42" s="950"/>
      <c r="AK42" s="1854"/>
    </row>
    <row r="43" spans="2:46">
      <c r="P43" s="168"/>
      <c r="Q43" s="168"/>
      <c r="R43" s="168"/>
      <c r="S43" s="168"/>
      <c r="T43" s="168"/>
      <c r="U43" s="168"/>
      <c r="V43" s="168"/>
      <c r="W43" s="168"/>
      <c r="X43" s="166"/>
      <c r="Y43" s="166"/>
      <c r="Z43" s="166"/>
      <c r="AA43" s="166"/>
      <c r="AB43" s="166"/>
      <c r="AC43" s="166"/>
      <c r="AD43" s="166"/>
      <c r="AE43" s="168"/>
      <c r="AF43" s="950"/>
      <c r="AN43" s="547"/>
    </row>
    <row r="44" spans="2:46" hidden="1">
      <c r="P44" s="168"/>
      <c r="Q44" s="168"/>
      <c r="R44" s="168"/>
      <c r="S44" s="168"/>
      <c r="T44" s="168"/>
      <c r="U44" s="168"/>
      <c r="V44" s="168"/>
      <c r="W44" s="168"/>
      <c r="X44" s="166"/>
      <c r="Y44" s="166"/>
      <c r="Z44" s="166"/>
      <c r="AA44" s="166"/>
      <c r="AB44" s="166"/>
      <c r="AC44" s="166"/>
      <c r="AD44" s="166"/>
      <c r="AE44" s="168"/>
      <c r="AF44" s="950"/>
      <c r="AN44" s="547"/>
    </row>
    <row r="45" spans="2:46" hidden="1">
      <c r="P45" s="168"/>
      <c r="Q45" s="168"/>
      <c r="R45" s="168"/>
      <c r="S45" s="168"/>
      <c r="T45" s="168"/>
      <c r="U45" s="168"/>
      <c r="V45" s="168"/>
      <c r="W45" s="168"/>
      <c r="X45" s="166"/>
      <c r="Y45" s="166"/>
      <c r="Z45" s="166"/>
      <c r="AA45" s="166"/>
      <c r="AB45" s="166"/>
      <c r="AC45" s="166"/>
      <c r="AD45" s="166"/>
      <c r="AE45" s="168"/>
      <c r="AF45" s="950"/>
      <c r="AN45" s="547"/>
    </row>
    <row r="46" spans="2:46" hidden="1">
      <c r="P46" s="168"/>
      <c r="Q46" s="168"/>
      <c r="R46" s="168"/>
      <c r="S46" s="168"/>
      <c r="T46" s="168"/>
      <c r="U46" s="168"/>
      <c r="V46" s="168"/>
      <c r="W46" s="168"/>
      <c r="X46" s="166"/>
      <c r="Y46" s="166"/>
      <c r="Z46" s="166"/>
      <c r="AA46" s="166"/>
      <c r="AB46" s="166"/>
      <c r="AC46" s="166"/>
      <c r="AD46" s="166"/>
      <c r="AE46" s="168"/>
      <c r="AF46" s="950"/>
    </row>
    <row r="47" spans="2:46" hidden="1">
      <c r="P47" s="168"/>
      <c r="Q47" s="168"/>
      <c r="R47" s="168"/>
      <c r="S47" s="168"/>
      <c r="T47" s="168"/>
      <c r="U47" s="168"/>
      <c r="V47" s="168"/>
      <c r="W47" s="168"/>
      <c r="X47" s="166"/>
      <c r="Y47" s="166"/>
      <c r="Z47" s="166"/>
      <c r="AA47" s="166"/>
      <c r="AB47" s="166"/>
      <c r="AC47" s="166"/>
      <c r="AD47" s="166"/>
      <c r="AE47" s="168"/>
      <c r="AF47" s="950"/>
    </row>
    <row r="48" spans="2:46" hidden="1">
      <c r="P48" s="168"/>
      <c r="Q48" s="168"/>
      <c r="R48" s="168"/>
      <c r="S48" s="168"/>
      <c r="T48" s="168"/>
      <c r="U48" s="168"/>
      <c r="V48" s="168"/>
      <c r="W48" s="168"/>
      <c r="X48" s="166"/>
      <c r="Y48" s="166"/>
      <c r="Z48" s="166"/>
      <c r="AA48" s="166"/>
      <c r="AB48" s="166"/>
      <c r="AC48" s="166"/>
      <c r="AD48" s="166"/>
      <c r="AE48" s="168"/>
      <c r="AF48" s="950"/>
    </row>
    <row r="49" spans="2:43" hidden="1">
      <c r="P49" s="168"/>
      <c r="Q49" s="168"/>
      <c r="R49" s="168"/>
      <c r="S49" s="168"/>
      <c r="T49" s="168"/>
      <c r="U49" s="168"/>
      <c r="V49" s="168"/>
      <c r="W49" s="168"/>
      <c r="X49" s="166"/>
      <c r="Y49" s="166"/>
      <c r="Z49" s="166"/>
      <c r="AA49" s="166"/>
      <c r="AB49" s="166"/>
      <c r="AC49" s="166"/>
      <c r="AD49" s="166"/>
      <c r="AE49" s="168"/>
      <c r="AF49" s="950"/>
    </row>
    <row r="50" spans="2:43" hidden="1">
      <c r="P50" s="168"/>
      <c r="Q50" s="168"/>
      <c r="R50" s="168"/>
      <c r="S50" s="168"/>
      <c r="T50" s="168"/>
      <c r="U50" s="168"/>
      <c r="V50" s="168"/>
      <c r="W50" s="168"/>
      <c r="X50" s="166"/>
      <c r="Y50" s="166"/>
      <c r="Z50" s="166"/>
      <c r="AA50" s="166"/>
      <c r="AB50" s="166"/>
      <c r="AC50" s="166"/>
      <c r="AD50" s="166"/>
      <c r="AE50" s="168"/>
      <c r="AF50" s="950"/>
    </row>
    <row r="51" spans="2:43" hidden="1">
      <c r="P51" s="168"/>
      <c r="Q51" s="168"/>
      <c r="R51" s="168"/>
      <c r="S51" s="168"/>
      <c r="T51" s="168"/>
      <c r="U51" s="168"/>
      <c r="V51" s="168"/>
      <c r="W51" s="168"/>
      <c r="X51" s="166"/>
      <c r="Y51" s="166"/>
      <c r="Z51" s="166"/>
      <c r="AA51" s="166"/>
      <c r="AB51" s="166"/>
      <c r="AC51" s="166"/>
      <c r="AD51" s="166"/>
      <c r="AE51" s="168"/>
      <c r="AF51" s="950"/>
    </row>
    <row r="52" spans="2:43" hidden="1">
      <c r="P52" s="168"/>
      <c r="Q52" s="168"/>
      <c r="R52" s="168"/>
      <c r="S52" s="168"/>
      <c r="T52" s="168"/>
      <c r="U52" s="168"/>
      <c r="V52" s="168"/>
      <c r="W52" s="168"/>
      <c r="X52" s="166"/>
      <c r="Y52" s="166"/>
      <c r="Z52" s="166"/>
      <c r="AA52" s="166"/>
      <c r="AB52" s="166"/>
      <c r="AC52" s="166"/>
      <c r="AD52" s="166"/>
      <c r="AE52" s="168"/>
      <c r="AF52" s="950"/>
    </row>
    <row r="53" spans="2:43" hidden="1">
      <c r="P53" s="168"/>
      <c r="Q53" s="168"/>
      <c r="R53" s="168"/>
      <c r="S53" s="168"/>
      <c r="T53" s="168"/>
      <c r="U53" s="168"/>
      <c r="V53" s="168"/>
      <c r="W53" s="168"/>
      <c r="X53" s="166"/>
      <c r="Y53" s="166"/>
      <c r="Z53" s="166"/>
      <c r="AA53" s="166"/>
      <c r="AB53" s="166"/>
      <c r="AC53" s="166"/>
      <c r="AD53" s="166"/>
      <c r="AE53" s="168"/>
      <c r="AF53" s="950"/>
    </row>
    <row r="54" spans="2:43" hidden="1">
      <c r="P54" s="168"/>
      <c r="Q54" s="168"/>
      <c r="R54" s="168"/>
      <c r="S54" s="168"/>
      <c r="T54" s="168"/>
      <c r="U54" s="168"/>
      <c r="V54" s="168"/>
      <c r="W54" s="168"/>
      <c r="X54" s="166"/>
      <c r="Y54" s="166"/>
      <c r="Z54" s="166"/>
      <c r="AA54" s="166"/>
      <c r="AB54" s="166"/>
      <c r="AC54" s="166"/>
      <c r="AD54" s="166"/>
      <c r="AE54" s="168"/>
      <c r="AF54" s="950"/>
    </row>
    <row r="55" spans="2:43" hidden="1">
      <c r="P55" s="168"/>
      <c r="Q55" s="168"/>
      <c r="R55" s="168"/>
      <c r="S55" s="168"/>
      <c r="T55" s="168"/>
      <c r="U55" s="168"/>
      <c r="V55" s="168"/>
      <c r="W55" s="168"/>
      <c r="X55" s="166"/>
      <c r="Y55" s="166"/>
      <c r="Z55" s="166"/>
      <c r="AA55" s="166"/>
      <c r="AB55" s="166"/>
      <c r="AC55" s="166"/>
      <c r="AD55" s="166"/>
      <c r="AE55" s="168"/>
      <c r="AF55" s="950"/>
    </row>
    <row r="56" spans="2:43" hidden="1">
      <c r="P56" s="168"/>
      <c r="Q56" s="168"/>
      <c r="R56" s="168"/>
      <c r="S56" s="168"/>
      <c r="T56" s="168"/>
      <c r="U56" s="168"/>
      <c r="V56" s="168"/>
      <c r="W56" s="168"/>
      <c r="X56" s="166"/>
      <c r="Y56" s="166"/>
      <c r="Z56" s="166"/>
      <c r="AA56" s="166"/>
      <c r="AB56" s="166"/>
      <c r="AC56" s="166"/>
      <c r="AD56" s="166"/>
      <c r="AE56" s="168"/>
      <c r="AF56" s="950"/>
    </row>
    <row r="57" spans="2:43" hidden="1">
      <c r="P57" s="168"/>
      <c r="Q57" s="168"/>
      <c r="R57" s="168"/>
      <c r="S57" s="168"/>
      <c r="T57" s="168"/>
      <c r="U57" s="168"/>
      <c r="V57" s="168"/>
      <c r="W57" s="168"/>
      <c r="X57" s="166"/>
      <c r="Y57" s="166"/>
      <c r="Z57" s="166"/>
      <c r="AA57" s="166"/>
      <c r="AB57" s="166"/>
      <c r="AC57" s="166"/>
      <c r="AD57" s="166"/>
      <c r="AE57" s="168"/>
      <c r="AF57" s="950"/>
    </row>
    <row r="58" spans="2:43" hidden="1">
      <c r="P58" s="168"/>
      <c r="Q58" s="168"/>
      <c r="R58" s="168"/>
      <c r="S58" s="168"/>
      <c r="T58" s="168"/>
      <c r="U58" s="168"/>
      <c r="V58" s="168"/>
      <c r="W58" s="168"/>
      <c r="X58" s="166"/>
      <c r="Y58" s="166"/>
      <c r="Z58" s="166"/>
      <c r="AA58" s="166"/>
      <c r="AB58" s="166"/>
      <c r="AC58" s="166"/>
      <c r="AD58" s="166"/>
      <c r="AE58" s="168"/>
      <c r="AF58" s="950"/>
    </row>
    <row r="59" spans="2:43" hidden="1">
      <c r="P59" s="168"/>
      <c r="Q59" s="168"/>
      <c r="R59" s="168"/>
      <c r="S59" s="168"/>
      <c r="T59" s="168"/>
      <c r="U59" s="168"/>
      <c r="V59" s="168"/>
      <c r="W59" s="168"/>
      <c r="X59" s="166"/>
      <c r="Y59" s="166"/>
      <c r="Z59" s="166"/>
      <c r="AA59" s="166"/>
      <c r="AB59" s="166"/>
      <c r="AC59" s="166"/>
      <c r="AD59" s="166"/>
      <c r="AE59" s="168"/>
      <c r="AF59" s="950"/>
    </row>
    <row r="60" spans="2:43"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68"/>
      <c r="AF60" s="971"/>
    </row>
    <row r="61" spans="2:43" outlineLevel="1">
      <c r="B61" s="190" t="s">
        <v>1125</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68"/>
      <c r="AF61" s="245"/>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749"/>
    </row>
    <row r="63" spans="2:43" outlineLevel="1">
      <c r="B63" s="165" t="s">
        <v>1123</v>
      </c>
      <c r="E63" s="167"/>
      <c r="F63" s="167"/>
      <c r="G63" s="167"/>
      <c r="H63" s="167"/>
      <c r="I63" s="167"/>
      <c r="J63" s="167"/>
      <c r="K63" s="167"/>
      <c r="L63" s="167"/>
      <c r="M63" s="167"/>
      <c r="N63" s="167"/>
      <c r="O63" s="197"/>
      <c r="P63" s="198"/>
      <c r="Q63" s="199"/>
      <c r="R63" s="198"/>
      <c r="S63" s="198"/>
      <c r="T63" s="198"/>
      <c r="U63" s="198"/>
      <c r="V63" s="198"/>
      <c r="W63" s="198"/>
      <c r="X63" s="200">
        <v>2001</v>
      </c>
      <c r="Y63" s="967">
        <v>2002</v>
      </c>
      <c r="Z63" s="967">
        <v>2003</v>
      </c>
      <c r="AA63" s="967">
        <v>2004</v>
      </c>
      <c r="AB63" s="967">
        <v>2005</v>
      </c>
      <c r="AC63" s="967">
        <v>2006</v>
      </c>
      <c r="AD63" s="967">
        <v>2007</v>
      </c>
      <c r="AE63" s="967">
        <v>2008</v>
      </c>
      <c r="AF63" s="967">
        <v>2009</v>
      </c>
      <c r="AG63" s="967">
        <v>2010</v>
      </c>
      <c r="AH63" s="967">
        <v>2011</v>
      </c>
      <c r="AI63" s="967">
        <v>2012</v>
      </c>
      <c r="AJ63" s="967">
        <v>2013</v>
      </c>
      <c r="AK63" s="967">
        <v>2014</v>
      </c>
      <c r="AL63" s="967">
        <v>2015</v>
      </c>
      <c r="AM63" s="967">
        <v>2016</v>
      </c>
      <c r="AN63" s="967">
        <v>2017</v>
      </c>
      <c r="AO63" s="967">
        <v>2018</v>
      </c>
      <c r="AP63" s="967">
        <v>2019</v>
      </c>
      <c r="AQ63" s="967">
        <v>2020</v>
      </c>
    </row>
    <row r="64" spans="2:43" outlineLevel="1">
      <c r="B64" s="165" t="s">
        <v>1695</v>
      </c>
      <c r="E64" s="167"/>
      <c r="F64" s="167"/>
      <c r="G64" s="167"/>
      <c r="H64" s="167"/>
      <c r="I64" s="167"/>
      <c r="J64" s="167"/>
      <c r="K64" s="167"/>
      <c r="L64" s="167"/>
      <c r="M64" s="167"/>
      <c r="N64" s="167"/>
      <c r="O64" s="197"/>
      <c r="P64" s="198"/>
      <c r="Q64" s="199"/>
      <c r="R64" s="198"/>
      <c r="S64" s="198"/>
      <c r="T64" s="198"/>
      <c r="U64" s="198"/>
      <c r="V64" s="198"/>
      <c r="W64" s="198"/>
      <c r="Y64" s="203"/>
      <c r="AA64" s="203"/>
      <c r="AC64" s="203"/>
      <c r="AE64" s="168"/>
    </row>
    <row r="65" spans="2:43" s="168" customFormat="1" outlineLevel="1">
      <c r="B65" s="275" t="s">
        <v>28</v>
      </c>
      <c r="C65" s="168" t="s">
        <v>29</v>
      </c>
      <c r="E65" s="197"/>
      <c r="F65" s="197"/>
      <c r="G65" s="197"/>
      <c r="H65" s="197"/>
      <c r="I65" s="197"/>
      <c r="J65" s="197"/>
      <c r="K65" s="197"/>
      <c r="L65" s="197"/>
      <c r="M65" s="197"/>
      <c r="N65" s="197"/>
      <c r="O65" s="197"/>
      <c r="P65" s="210"/>
      <c r="Q65" s="197"/>
      <c r="R65" s="210"/>
      <c r="S65" s="210"/>
      <c r="T65" s="210"/>
      <c r="U65" s="210"/>
      <c r="V65" s="210"/>
      <c r="W65" s="210"/>
      <c r="X65" s="166">
        <v>667567</v>
      </c>
      <c r="Y65" s="166">
        <v>698023</v>
      </c>
      <c r="Z65" s="166">
        <v>740761</v>
      </c>
      <c r="AA65" s="166">
        <v>790385</v>
      </c>
      <c r="AB65" s="166">
        <v>834615</v>
      </c>
      <c r="AC65" s="166">
        <v>891973</v>
      </c>
      <c r="AD65" s="166">
        <v>951288</v>
      </c>
      <c r="AE65" s="168">
        <v>1000817</v>
      </c>
      <c r="AF65" s="950">
        <v>1025953</v>
      </c>
      <c r="AG65" s="950">
        <v>1087129</v>
      </c>
      <c r="AH65" s="166">
        <v>1125184</v>
      </c>
      <c r="AI65" s="166">
        <v>1176605</v>
      </c>
      <c r="AJ65" s="166">
        <v>1234388</v>
      </c>
      <c r="AK65" s="166">
        <v>1288402</v>
      </c>
      <c r="AL65" s="166">
        <v>1354268</v>
      </c>
      <c r="AM65" s="166">
        <v>1411418</v>
      </c>
      <c r="AN65" s="166">
        <v>1471657</v>
      </c>
      <c r="AO65" s="166">
        <v>1526877</v>
      </c>
      <c r="AP65" s="166">
        <v>1579081</v>
      </c>
      <c r="AQ65" s="166">
        <v>1500036</v>
      </c>
    </row>
    <row r="66" spans="2:43" s="168" customFormat="1" ht="5.0999999999999996" customHeight="1" outlineLevel="1">
      <c r="B66" s="166"/>
      <c r="E66" s="197"/>
      <c r="F66" s="197"/>
      <c r="G66" s="197"/>
      <c r="H66" s="197"/>
      <c r="I66" s="197"/>
      <c r="J66" s="197"/>
      <c r="K66" s="197"/>
      <c r="L66" s="197"/>
      <c r="M66" s="197"/>
      <c r="N66" s="197"/>
      <c r="O66" s="197"/>
      <c r="P66" s="210"/>
      <c r="Q66" s="197"/>
      <c r="R66" s="210"/>
      <c r="S66" s="210"/>
      <c r="T66" s="210"/>
      <c r="U66" s="210"/>
      <c r="V66" s="210"/>
      <c r="W66" s="210"/>
      <c r="X66" s="166"/>
      <c r="Y66" s="166"/>
      <c r="Z66" s="166"/>
      <c r="AA66" s="166"/>
      <c r="AB66" s="166"/>
      <c r="AC66" s="166"/>
      <c r="AD66" s="166"/>
      <c r="AF66" s="950"/>
      <c r="AG66" s="950"/>
      <c r="AH66" s="166"/>
      <c r="AI66" s="166"/>
      <c r="AJ66" s="166"/>
      <c r="AK66" s="166"/>
      <c r="AL66" s="166"/>
      <c r="AM66" s="166"/>
      <c r="AN66" s="166"/>
      <c r="AO66" s="166"/>
      <c r="AP66" s="166"/>
      <c r="AQ66" s="166"/>
    </row>
    <row r="67" spans="2:43" s="168" customFormat="1" outlineLevel="1">
      <c r="B67" s="275" t="s">
        <v>30</v>
      </c>
      <c r="C67" s="168" t="s">
        <v>31</v>
      </c>
      <c r="E67" s="197"/>
      <c r="F67" s="197"/>
      <c r="G67" s="197"/>
      <c r="H67" s="197"/>
      <c r="I67" s="197"/>
      <c r="J67" s="197"/>
      <c r="K67" s="197"/>
      <c r="L67" s="197"/>
      <c r="M67" s="197"/>
      <c r="N67" s="197"/>
      <c r="O67" s="197"/>
      <c r="P67" s="210"/>
      <c r="Q67" s="197"/>
      <c r="R67" s="210"/>
      <c r="S67" s="210"/>
      <c r="T67" s="210"/>
      <c r="U67" s="210"/>
      <c r="V67" s="210"/>
      <c r="W67" s="210"/>
      <c r="X67" s="166">
        <v>781626</v>
      </c>
      <c r="Y67" s="166">
        <v>824275</v>
      </c>
      <c r="Z67" s="166">
        <v>873374</v>
      </c>
      <c r="AA67" s="166">
        <v>927263</v>
      </c>
      <c r="AB67" s="166">
        <v>976282</v>
      </c>
      <c r="AC67" s="166">
        <v>1044217</v>
      </c>
      <c r="AD67" s="166">
        <v>1109535</v>
      </c>
      <c r="AE67" s="166">
        <v>1175382</v>
      </c>
      <c r="AF67" s="166">
        <v>1220757</v>
      </c>
      <c r="AG67" s="166">
        <v>1291885</v>
      </c>
      <c r="AH67" s="166">
        <v>1339628</v>
      </c>
      <c r="AI67" s="166">
        <v>1399336</v>
      </c>
      <c r="AJ67" s="166">
        <v>1467617</v>
      </c>
      <c r="AK67" s="166">
        <v>1537803</v>
      </c>
      <c r="AL67" s="166">
        <v>1619740</v>
      </c>
      <c r="AM67" s="166">
        <v>1691665</v>
      </c>
      <c r="AN67" s="166">
        <v>1766722</v>
      </c>
      <c r="AO67" s="166">
        <v>1833231</v>
      </c>
      <c r="AP67" s="166">
        <v>1901569</v>
      </c>
      <c r="AQ67" s="166">
        <v>1848638</v>
      </c>
    </row>
    <row r="68" spans="2:43" s="168" customFormat="1" ht="5.0999999999999996" customHeight="1" outlineLevel="1">
      <c r="B68" s="166"/>
      <c r="E68" s="197"/>
      <c r="F68" s="197"/>
      <c r="G68" s="197"/>
      <c r="H68" s="197"/>
      <c r="I68" s="197"/>
      <c r="J68" s="197"/>
      <c r="K68" s="197"/>
      <c r="L68" s="197"/>
      <c r="M68" s="197"/>
      <c r="N68" s="197"/>
      <c r="O68" s="197"/>
      <c r="P68" s="210"/>
      <c r="Q68" s="197"/>
      <c r="R68" s="210"/>
      <c r="S68" s="210"/>
      <c r="T68" s="210"/>
      <c r="U68" s="210"/>
      <c r="V68" s="210"/>
      <c r="W68" s="210"/>
      <c r="X68" s="166"/>
      <c r="Y68" s="166"/>
      <c r="Z68" s="166"/>
      <c r="AA68" s="166"/>
      <c r="AB68" s="166"/>
      <c r="AC68" s="166"/>
      <c r="AD68" s="166"/>
      <c r="AF68" s="950"/>
      <c r="AG68" s="950"/>
      <c r="AH68" s="166"/>
      <c r="AI68" s="166"/>
      <c r="AJ68" s="166"/>
      <c r="AK68" s="166"/>
      <c r="AL68" s="166"/>
      <c r="AM68" s="166"/>
      <c r="AN68" s="166"/>
      <c r="AO68" s="166"/>
      <c r="AP68" s="166"/>
      <c r="AQ68" s="166"/>
    </row>
    <row r="69" spans="2:43" s="168" customFormat="1" outlineLevel="1">
      <c r="B69" s="275" t="s">
        <v>32</v>
      </c>
      <c r="C69" s="168" t="s">
        <v>33</v>
      </c>
      <c r="E69" s="197"/>
      <c r="F69" s="197"/>
      <c r="G69" s="197"/>
      <c r="H69" s="197"/>
      <c r="I69" s="197"/>
      <c r="J69" s="197"/>
      <c r="K69" s="197"/>
      <c r="L69" s="197"/>
      <c r="M69" s="197"/>
      <c r="N69" s="197"/>
      <c r="O69" s="197"/>
      <c r="P69" s="210"/>
      <c r="Q69" s="197"/>
      <c r="R69" s="210"/>
      <c r="S69" s="210"/>
      <c r="T69" s="210"/>
      <c r="U69" s="210"/>
      <c r="V69" s="210"/>
      <c r="W69" s="210"/>
      <c r="X69" s="166">
        <f>SUM(X71:X72)</f>
        <v>183535</v>
      </c>
      <c r="Y69" s="166">
        <f t="shared" ref="Y69:AQ69" si="6">SUM(Y71:Y72)</f>
        <v>185188</v>
      </c>
      <c r="Z69" s="166">
        <f t="shared" si="6"/>
        <v>187461</v>
      </c>
      <c r="AA69" s="166">
        <f t="shared" si="6"/>
        <v>202051</v>
      </c>
      <c r="AB69" s="166">
        <f t="shared" si="6"/>
        <v>216591</v>
      </c>
      <c r="AC69" s="166">
        <f t="shared" si="6"/>
        <v>240233</v>
      </c>
      <c r="AD69" s="166">
        <f t="shared" si="6"/>
        <v>260471</v>
      </c>
      <c r="AE69" s="168">
        <f t="shared" si="6"/>
        <v>256767</v>
      </c>
      <c r="AF69" s="950">
        <f t="shared" si="6"/>
        <v>258523</v>
      </c>
      <c r="AG69" s="950">
        <f t="shared" si="6"/>
        <v>278130</v>
      </c>
      <c r="AH69" s="166">
        <f t="shared" si="6"/>
        <v>288655</v>
      </c>
      <c r="AI69" s="166">
        <f t="shared" si="6"/>
        <v>301364</v>
      </c>
      <c r="AJ69" s="166">
        <f t="shared" si="6"/>
        <v>314286</v>
      </c>
      <c r="AK69" s="166">
        <f t="shared" si="6"/>
        <v>324730</v>
      </c>
      <c r="AL69" s="166">
        <f t="shared" si="6"/>
        <v>334874</v>
      </c>
      <c r="AM69" s="166">
        <f t="shared" si="6"/>
        <v>349542</v>
      </c>
      <c r="AN69" s="166">
        <f t="shared" si="6"/>
        <v>365786</v>
      </c>
      <c r="AO69" s="166">
        <f t="shared" si="6"/>
        <v>381918</v>
      </c>
      <c r="AP69" s="166">
        <f t="shared" si="6"/>
        <v>387934</v>
      </c>
      <c r="AQ69" s="166">
        <f t="shared" si="6"/>
        <v>394628</v>
      </c>
    </row>
    <row r="70" spans="2:43" s="168" customFormat="1" ht="5.0999999999999996" customHeight="1" outlineLevel="1">
      <c r="B70" s="166"/>
      <c r="E70" s="197"/>
      <c r="F70" s="197"/>
      <c r="G70" s="197"/>
      <c r="H70" s="197"/>
      <c r="I70" s="197"/>
      <c r="J70" s="197"/>
      <c r="K70" s="197"/>
      <c r="L70" s="197"/>
      <c r="M70" s="197"/>
      <c r="N70" s="197"/>
      <c r="O70" s="197"/>
      <c r="P70" s="210"/>
      <c r="Q70" s="197"/>
      <c r="R70" s="210"/>
      <c r="S70" s="210"/>
      <c r="T70" s="210"/>
      <c r="U70" s="210"/>
      <c r="V70" s="210"/>
      <c r="W70" s="210"/>
      <c r="X70" s="166"/>
      <c r="Y70" s="166"/>
      <c r="Z70" s="166"/>
      <c r="AA70" s="166"/>
      <c r="AB70" s="166"/>
      <c r="AC70" s="166"/>
      <c r="AD70" s="166"/>
      <c r="AF70" s="950"/>
      <c r="AG70" s="950"/>
      <c r="AH70" s="166"/>
      <c r="AI70" s="166"/>
      <c r="AJ70" s="166"/>
      <c r="AK70" s="166"/>
      <c r="AL70" s="166"/>
      <c r="AM70" s="166"/>
      <c r="AN70" s="166"/>
      <c r="AO70" s="166"/>
      <c r="AP70" s="166"/>
      <c r="AQ70" s="166"/>
    </row>
    <row r="71" spans="2:43" s="168" customFormat="1" outlineLevel="1">
      <c r="B71" s="166"/>
      <c r="C71" s="168" t="s">
        <v>34</v>
      </c>
      <c r="E71" s="197"/>
      <c r="F71" s="197"/>
      <c r="G71" s="197"/>
      <c r="H71" s="197"/>
      <c r="I71" s="197"/>
      <c r="J71" s="197"/>
      <c r="K71" s="197"/>
      <c r="L71" s="197"/>
      <c r="M71" s="197"/>
      <c r="N71" s="197"/>
      <c r="O71" s="197"/>
      <c r="P71" s="210"/>
      <c r="Q71" s="197"/>
      <c r="R71" s="210"/>
      <c r="S71" s="210"/>
      <c r="T71" s="210"/>
      <c r="U71" s="210"/>
      <c r="V71" s="210"/>
      <c r="W71" s="210"/>
      <c r="X71" s="166">
        <v>129181.99999999999</v>
      </c>
      <c r="Y71" s="166">
        <v>130051.99999999999</v>
      </c>
      <c r="Z71" s="166">
        <v>130794.00000000001</v>
      </c>
      <c r="AA71" s="166">
        <v>141174</v>
      </c>
      <c r="AB71" s="166">
        <v>153820</v>
      </c>
      <c r="AC71" s="166">
        <v>172850</v>
      </c>
      <c r="AD71" s="166">
        <v>189424</v>
      </c>
      <c r="AE71" s="168">
        <v>185341</v>
      </c>
      <c r="AF71" s="950">
        <v>186759</v>
      </c>
      <c r="AG71" s="950">
        <v>201802</v>
      </c>
      <c r="AH71" s="166">
        <v>211689</v>
      </c>
      <c r="AI71" s="166">
        <v>224062</v>
      </c>
      <c r="AJ71" s="166">
        <v>235771</v>
      </c>
      <c r="AK71" s="166">
        <v>244770</v>
      </c>
      <c r="AL71" s="166">
        <v>256029</v>
      </c>
      <c r="AM71" s="166">
        <v>270086</v>
      </c>
      <c r="AN71" s="166">
        <v>284534</v>
      </c>
      <c r="AO71" s="166">
        <v>297918</v>
      </c>
      <c r="AP71" s="166">
        <v>308280</v>
      </c>
      <c r="AQ71" s="166">
        <v>312961</v>
      </c>
    </row>
    <row r="72" spans="2:43" s="168" customFormat="1" outlineLevel="1">
      <c r="B72" s="166"/>
      <c r="C72" s="168" t="s">
        <v>35</v>
      </c>
      <c r="E72" s="197"/>
      <c r="F72" s="197"/>
      <c r="G72" s="197"/>
      <c r="H72" s="197"/>
      <c r="I72" s="197"/>
      <c r="J72" s="197"/>
      <c r="K72" s="197"/>
      <c r="L72" s="197"/>
      <c r="M72" s="197"/>
      <c r="N72" s="197"/>
      <c r="O72" s="197"/>
      <c r="P72" s="210"/>
      <c r="Q72" s="197"/>
      <c r="R72" s="210"/>
      <c r="S72" s="210"/>
      <c r="T72" s="210"/>
      <c r="U72" s="210"/>
      <c r="V72" s="210"/>
      <c r="W72" s="210"/>
      <c r="X72" s="166">
        <v>54353</v>
      </c>
      <c r="Y72" s="166">
        <v>55136</v>
      </c>
      <c r="Z72" s="166">
        <v>56667</v>
      </c>
      <c r="AA72" s="166">
        <v>60877</v>
      </c>
      <c r="AB72" s="166">
        <v>62771</v>
      </c>
      <c r="AC72" s="166">
        <v>67383</v>
      </c>
      <c r="AD72" s="166">
        <v>71047</v>
      </c>
      <c r="AE72" s="168">
        <v>71426</v>
      </c>
      <c r="AF72" s="950">
        <v>71764</v>
      </c>
      <c r="AG72" s="950">
        <v>76328</v>
      </c>
      <c r="AH72" s="166">
        <v>76966</v>
      </c>
      <c r="AI72" s="166">
        <v>77302</v>
      </c>
      <c r="AJ72" s="166">
        <v>78515</v>
      </c>
      <c r="AK72" s="166">
        <v>79960</v>
      </c>
      <c r="AL72" s="166">
        <v>78845</v>
      </c>
      <c r="AM72" s="166">
        <v>79456</v>
      </c>
      <c r="AN72" s="166">
        <v>81252</v>
      </c>
      <c r="AO72" s="166">
        <v>84000</v>
      </c>
      <c r="AP72" s="166">
        <v>79654</v>
      </c>
      <c r="AQ72" s="166">
        <v>81667</v>
      </c>
    </row>
    <row r="73" spans="2:43" s="168" customFormat="1" ht="5.0999999999999996" customHeight="1" outlineLevel="1">
      <c r="B73" s="166"/>
      <c r="E73" s="197"/>
      <c r="F73" s="197"/>
      <c r="G73" s="197"/>
      <c r="H73" s="197"/>
      <c r="I73" s="197"/>
      <c r="J73" s="197"/>
      <c r="K73" s="197"/>
      <c r="L73" s="197"/>
      <c r="M73" s="197"/>
      <c r="N73" s="197"/>
      <c r="O73" s="197"/>
      <c r="P73" s="210"/>
      <c r="Q73" s="197"/>
      <c r="R73" s="210"/>
      <c r="S73" s="210"/>
      <c r="T73" s="210"/>
      <c r="U73" s="210"/>
      <c r="V73" s="210"/>
      <c r="W73" s="210"/>
      <c r="X73" s="166"/>
      <c r="Y73" s="166"/>
      <c r="Z73" s="166"/>
      <c r="AA73" s="166"/>
      <c r="AB73" s="166"/>
      <c r="AC73" s="166"/>
      <c r="AD73" s="166"/>
      <c r="AF73" s="950"/>
      <c r="AG73" s="950"/>
      <c r="AH73" s="166"/>
      <c r="AI73" s="166"/>
      <c r="AJ73" s="166"/>
      <c r="AK73" s="166"/>
      <c r="AL73" s="166"/>
      <c r="AM73" s="166"/>
      <c r="AN73" s="166"/>
      <c r="AO73" s="166"/>
      <c r="AP73" s="166"/>
      <c r="AQ73" s="166"/>
    </row>
    <row r="74" spans="2:43" s="168" customFormat="1" outlineLevel="1">
      <c r="B74" s="275" t="s">
        <v>36</v>
      </c>
      <c r="C74" s="168" t="s">
        <v>37</v>
      </c>
      <c r="E74" s="197"/>
      <c r="F74" s="197"/>
      <c r="G74" s="197"/>
      <c r="H74" s="197"/>
      <c r="I74" s="197"/>
      <c r="J74" s="197"/>
      <c r="K74" s="197"/>
      <c r="L74" s="197"/>
      <c r="M74" s="197"/>
      <c r="N74" s="197"/>
      <c r="O74" s="197"/>
      <c r="P74" s="210"/>
      <c r="Q74" s="197"/>
      <c r="R74" s="210"/>
      <c r="S74" s="210"/>
      <c r="T74" s="210"/>
      <c r="U74" s="210"/>
      <c r="V74" s="210"/>
      <c r="W74" s="210"/>
      <c r="X74" s="166">
        <v>189873</v>
      </c>
      <c r="Y74" s="166">
        <v>190824</v>
      </c>
      <c r="Z74" s="166">
        <v>192508</v>
      </c>
      <c r="AA74" s="166">
        <v>206793</v>
      </c>
      <c r="AB74" s="166">
        <v>220898</v>
      </c>
      <c r="AC74" s="166">
        <v>244965</v>
      </c>
      <c r="AD74" s="166">
        <v>266456</v>
      </c>
      <c r="AE74" s="168">
        <v>262856</v>
      </c>
      <c r="AF74" s="950">
        <v>264731</v>
      </c>
      <c r="AG74" s="950">
        <v>284646</v>
      </c>
      <c r="AH74" s="166">
        <v>295109</v>
      </c>
      <c r="AI74" s="166">
        <v>308135</v>
      </c>
      <c r="AJ74" s="166">
        <v>321557</v>
      </c>
      <c r="AK74" s="166">
        <v>332555</v>
      </c>
      <c r="AL74" s="166">
        <v>342410</v>
      </c>
      <c r="AM74" s="166">
        <v>358842</v>
      </c>
      <c r="AN74" s="166">
        <v>376280</v>
      </c>
      <c r="AO74" s="166">
        <v>392783</v>
      </c>
      <c r="AP74" s="166">
        <v>399022</v>
      </c>
      <c r="AQ74" s="166">
        <v>404144</v>
      </c>
    </row>
    <row r="75" spans="2:43" s="168" customFormat="1" ht="5.0999999999999996" customHeight="1" outlineLevel="1">
      <c r="B75" s="166"/>
      <c r="E75" s="197"/>
      <c r="F75" s="197"/>
      <c r="G75" s="197"/>
      <c r="H75" s="197"/>
      <c r="I75" s="197"/>
      <c r="J75" s="197"/>
      <c r="K75" s="197"/>
      <c r="L75" s="197"/>
      <c r="M75" s="197"/>
      <c r="N75" s="197"/>
      <c r="O75" s="197"/>
      <c r="P75" s="210"/>
      <c r="Q75" s="197"/>
      <c r="R75" s="210"/>
      <c r="S75" s="210"/>
      <c r="T75" s="210"/>
      <c r="U75" s="210"/>
      <c r="V75" s="210"/>
      <c r="W75" s="210"/>
      <c r="X75" s="166"/>
      <c r="Y75" s="166"/>
      <c r="Z75" s="166"/>
      <c r="AA75" s="166"/>
      <c r="AB75" s="166"/>
      <c r="AC75" s="166"/>
      <c r="AD75" s="166"/>
      <c r="AF75" s="950"/>
      <c r="AG75" s="950"/>
      <c r="AH75" s="166"/>
      <c r="AI75" s="166"/>
      <c r="AJ75" s="166"/>
      <c r="AK75" s="166"/>
      <c r="AL75" s="166"/>
      <c r="AM75" s="166"/>
      <c r="AN75" s="166"/>
      <c r="AO75" s="166"/>
      <c r="AP75" s="166"/>
      <c r="AQ75" s="166"/>
    </row>
    <row r="76" spans="2:43" s="168" customFormat="1" outlineLevel="1">
      <c r="B76" s="275" t="s">
        <v>38</v>
      </c>
      <c r="C76" s="168" t="s">
        <v>39</v>
      </c>
      <c r="E76" s="197"/>
      <c r="F76" s="197"/>
      <c r="G76" s="197"/>
      <c r="H76" s="197"/>
      <c r="I76" s="197"/>
      <c r="J76" s="197"/>
      <c r="K76" s="197"/>
      <c r="L76" s="197"/>
      <c r="M76" s="197"/>
      <c r="N76" s="197"/>
      <c r="O76" s="197"/>
      <c r="P76" s="210"/>
      <c r="Q76" s="197"/>
      <c r="R76" s="210"/>
      <c r="S76" s="210"/>
      <c r="T76" s="210"/>
      <c r="U76" s="210"/>
      <c r="V76" s="210"/>
      <c r="W76" s="210"/>
      <c r="X76" s="166">
        <v>201773</v>
      </c>
      <c r="Y76" s="166">
        <v>203185</v>
      </c>
      <c r="Z76" s="166">
        <v>205135</v>
      </c>
      <c r="AA76" s="166">
        <v>220190</v>
      </c>
      <c r="AB76" s="166">
        <v>234743</v>
      </c>
      <c r="AC76" s="166">
        <v>259370.99999999997</v>
      </c>
      <c r="AD76" s="166">
        <v>281744</v>
      </c>
      <c r="AE76" s="168">
        <v>279858</v>
      </c>
      <c r="AF76" s="950">
        <v>279287</v>
      </c>
      <c r="AG76" s="950">
        <v>299544</v>
      </c>
      <c r="AH76" s="166">
        <v>310194</v>
      </c>
      <c r="AI76" s="166">
        <v>323048</v>
      </c>
      <c r="AJ76" s="166">
        <v>337448</v>
      </c>
      <c r="AK76" s="166">
        <v>350279</v>
      </c>
      <c r="AL76" s="166">
        <v>360829</v>
      </c>
      <c r="AM76" s="166">
        <v>377628</v>
      </c>
      <c r="AN76" s="166">
        <v>394603</v>
      </c>
      <c r="AO76" s="166">
        <v>411774</v>
      </c>
      <c r="AP76" s="166">
        <v>418913</v>
      </c>
      <c r="AQ76" s="166">
        <v>424322</v>
      </c>
    </row>
    <row r="77" spans="2:43" outlineLevel="1">
      <c r="B77" s="204"/>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E77" s="168"/>
      <c r="AF77" s="950"/>
      <c r="AG77" s="950"/>
      <c r="AH77" s="166"/>
      <c r="AI77" s="166"/>
      <c r="AJ77" s="166"/>
      <c r="AK77" s="166"/>
      <c r="AL77" s="166"/>
      <c r="AM77" s="166"/>
      <c r="AN77" s="166"/>
      <c r="AO77" s="166"/>
      <c r="AP77" s="166"/>
      <c r="AQ77" s="166"/>
    </row>
    <row r="78" spans="2:43" outlineLevel="1">
      <c r="B78" s="165" t="s">
        <v>40</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E78" s="168"/>
      <c r="AF78" s="950"/>
      <c r="AG78" s="950"/>
      <c r="AH78" s="166"/>
      <c r="AI78" s="166"/>
      <c r="AJ78" s="166"/>
      <c r="AK78" s="166"/>
      <c r="AL78" s="166"/>
      <c r="AM78" s="166"/>
      <c r="AN78" s="166"/>
      <c r="AO78" s="166"/>
      <c r="AP78" s="166"/>
      <c r="AQ78" s="166"/>
    </row>
    <row r="79" spans="2:43" ht="6" customHeight="1" outlineLevel="1">
      <c r="B79" s="75"/>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E79" s="168"/>
      <c r="AF79" s="950"/>
      <c r="AG79" s="950"/>
      <c r="AH79" s="166"/>
      <c r="AI79" s="166"/>
      <c r="AJ79" s="166"/>
      <c r="AK79" s="166"/>
      <c r="AL79" s="166"/>
      <c r="AM79" s="166"/>
      <c r="AN79" s="166"/>
      <c r="AO79" s="166"/>
      <c r="AP79" s="166"/>
      <c r="AQ79" s="166"/>
    </row>
    <row r="80" spans="2:43" s="555" customFormat="1" outlineLevel="1">
      <c r="B80" s="1786" t="s">
        <v>41</v>
      </c>
      <c r="C80" s="556" t="s">
        <v>42</v>
      </c>
      <c r="D80" s="556"/>
      <c r="E80" s="1171"/>
      <c r="F80" s="1171"/>
      <c r="G80" s="1171"/>
      <c r="H80" s="1171"/>
      <c r="I80" s="1171"/>
      <c r="J80" s="1171"/>
      <c r="K80" s="1171"/>
      <c r="L80" s="1171"/>
      <c r="M80" s="1171"/>
      <c r="N80" s="1171"/>
      <c r="O80" s="1171"/>
      <c r="P80" s="1172"/>
      <c r="Q80" s="1171"/>
      <c r="R80" s="1172"/>
      <c r="S80" s="1172"/>
      <c r="T80" s="1172"/>
      <c r="U80" s="1172"/>
      <c r="V80" s="1172"/>
      <c r="W80" s="1172"/>
      <c r="X80" s="207">
        <f>X69/X67</f>
        <v>0.2348117897818138</v>
      </c>
      <c r="Y80" s="207">
        <f t="shared" ref="Y80:AQ80" si="7">Y69/Y67</f>
        <v>0.22466773831548936</v>
      </c>
      <c r="Z80" s="207">
        <f t="shared" si="7"/>
        <v>0.21464000531272973</v>
      </c>
      <c r="AA80" s="207">
        <f t="shared" si="7"/>
        <v>0.21790042307306556</v>
      </c>
      <c r="AB80" s="207">
        <f t="shared" si="7"/>
        <v>0.22185290725425647</v>
      </c>
      <c r="AC80" s="207">
        <f t="shared" si="7"/>
        <v>0.23006041847623626</v>
      </c>
      <c r="AD80" s="207">
        <f t="shared" si="7"/>
        <v>0.23475690266643234</v>
      </c>
      <c r="AE80" s="555">
        <f t="shared" si="7"/>
        <v>0.21845408556537363</v>
      </c>
      <c r="AF80" s="1753">
        <f t="shared" si="7"/>
        <v>0.21177269513916366</v>
      </c>
      <c r="AG80" s="1753">
        <f t="shared" si="7"/>
        <v>0.21529006064781309</v>
      </c>
      <c r="AH80" s="207">
        <f t="shared" si="7"/>
        <v>0.21547399725894054</v>
      </c>
      <c r="AI80" s="207">
        <f t="shared" si="7"/>
        <v>0.21536214318791197</v>
      </c>
      <c r="AJ80" s="207">
        <f t="shared" si="7"/>
        <v>0.2141471514707175</v>
      </c>
      <c r="AK80" s="207">
        <f t="shared" si="7"/>
        <v>0.21116488913079243</v>
      </c>
      <c r="AL80" s="207">
        <f t="shared" si="7"/>
        <v>0.20674552705989852</v>
      </c>
      <c r="AM80" s="207">
        <f t="shared" si="7"/>
        <v>0.20662601638031169</v>
      </c>
      <c r="AN80" s="207">
        <f t="shared" si="7"/>
        <v>0.20704219452749215</v>
      </c>
      <c r="AO80" s="207">
        <f t="shared" si="7"/>
        <v>0.20833053772274199</v>
      </c>
      <c r="AP80" s="207">
        <f t="shared" si="7"/>
        <v>0.20400732237431299</v>
      </c>
      <c r="AQ80" s="207">
        <f t="shared" si="7"/>
        <v>0.21346959220788495</v>
      </c>
    </row>
    <row r="81" spans="2:43" s="555" customFormat="1" ht="5.0999999999999996" customHeight="1" outlineLevel="1">
      <c r="B81" s="208"/>
      <c r="E81" s="1171"/>
      <c r="F81" s="1171"/>
      <c r="G81" s="1171"/>
      <c r="H81" s="1171"/>
      <c r="I81" s="1171"/>
      <c r="J81" s="1171"/>
      <c r="K81" s="1171"/>
      <c r="L81" s="1171"/>
      <c r="M81" s="1171"/>
      <c r="N81" s="1171"/>
      <c r="O81" s="1171"/>
      <c r="P81" s="1172"/>
      <c r="Q81" s="1171"/>
      <c r="R81" s="1172"/>
      <c r="S81" s="1172"/>
      <c r="T81" s="1172"/>
      <c r="U81" s="1172"/>
      <c r="V81" s="1172"/>
      <c r="W81" s="1172"/>
      <c r="X81" s="208"/>
      <c r="Y81" s="208"/>
      <c r="Z81" s="208"/>
      <c r="AA81" s="208"/>
      <c r="AB81" s="208"/>
      <c r="AC81" s="208"/>
      <c r="AD81" s="208"/>
      <c r="AF81" s="1756"/>
      <c r="AG81" s="1756"/>
      <c r="AH81" s="208"/>
      <c r="AI81" s="208"/>
      <c r="AJ81" s="208"/>
      <c r="AK81" s="208"/>
      <c r="AL81" s="208"/>
      <c r="AM81" s="208"/>
      <c r="AN81" s="208"/>
      <c r="AO81" s="208"/>
      <c r="AP81" s="208"/>
      <c r="AQ81" s="208"/>
    </row>
    <row r="82" spans="2:43" s="555" customFormat="1" outlineLevel="1">
      <c r="B82" s="1787" t="s">
        <v>43</v>
      </c>
      <c r="C82" s="555" t="s">
        <v>44</v>
      </c>
      <c r="E82" s="1171"/>
      <c r="F82" s="1171"/>
      <c r="G82" s="1171"/>
      <c r="H82" s="1171"/>
      <c r="I82" s="1171"/>
      <c r="J82" s="1171"/>
      <c r="K82" s="1171"/>
      <c r="L82" s="1171"/>
      <c r="M82" s="1171"/>
      <c r="N82" s="1171"/>
      <c r="O82" s="1171"/>
      <c r="P82" s="1172"/>
      <c r="Q82" s="1171"/>
      <c r="R82" s="1172"/>
      <c r="S82" s="1172"/>
      <c r="T82" s="1172"/>
      <c r="U82" s="1172"/>
      <c r="V82" s="1172"/>
      <c r="W82" s="1172"/>
      <c r="X82" s="208">
        <f>X76/X67</f>
        <v>0.25814519987820261</v>
      </c>
      <c r="Y82" s="208">
        <f t="shared" ref="Y82:AQ82" si="8">Y76/Y67</f>
        <v>0.24650147098965758</v>
      </c>
      <c r="Z82" s="208">
        <f t="shared" si="8"/>
        <v>0.23487646758433386</v>
      </c>
      <c r="AA82" s="208">
        <f t="shared" si="8"/>
        <v>0.23746229494760387</v>
      </c>
      <c r="AB82" s="208">
        <f t="shared" si="8"/>
        <v>0.24044589575552966</v>
      </c>
      <c r="AC82" s="208">
        <f t="shared" si="8"/>
        <v>0.24838802662664941</v>
      </c>
      <c r="AD82" s="208">
        <f t="shared" si="8"/>
        <v>0.25392979942047794</v>
      </c>
      <c r="AE82" s="555">
        <f t="shared" si="8"/>
        <v>0.23809961357243858</v>
      </c>
      <c r="AF82" s="1756">
        <f t="shared" si="8"/>
        <v>0.22878181325194122</v>
      </c>
      <c r="AG82" s="1756">
        <f t="shared" si="8"/>
        <v>0.23186583945165398</v>
      </c>
      <c r="AH82" s="208">
        <f t="shared" si="8"/>
        <v>0.23155234139626821</v>
      </c>
      <c r="AI82" s="208">
        <f t="shared" si="8"/>
        <v>0.23085806411040666</v>
      </c>
      <c r="AJ82" s="208">
        <f t="shared" si="8"/>
        <v>0.22992919814910839</v>
      </c>
      <c r="AK82" s="208">
        <f t="shared" si="8"/>
        <v>0.227778850737058</v>
      </c>
      <c r="AL82" s="208">
        <f t="shared" si="8"/>
        <v>0.22276970377961894</v>
      </c>
      <c r="AM82" s="208">
        <f t="shared" si="8"/>
        <v>0.22322859431388603</v>
      </c>
      <c r="AN82" s="208">
        <f t="shared" si="8"/>
        <v>0.2233531930886693</v>
      </c>
      <c r="AO82" s="208">
        <f t="shared" si="8"/>
        <v>0.22461653768673998</v>
      </c>
      <c r="AP82" s="208">
        <f t="shared" si="8"/>
        <v>0.2202986060458495</v>
      </c>
      <c r="AQ82" s="208">
        <f t="shared" si="8"/>
        <v>0.22953222859207698</v>
      </c>
    </row>
    <row r="83" spans="2:43" s="555" customFormat="1" ht="5.0999999999999996" customHeight="1" outlineLevel="1">
      <c r="B83" s="208"/>
      <c r="E83" s="1171"/>
      <c r="F83" s="1171"/>
      <c r="G83" s="1171"/>
      <c r="H83" s="1171"/>
      <c r="I83" s="1171"/>
      <c r="J83" s="1171"/>
      <c r="K83" s="1171"/>
      <c r="L83" s="1171"/>
      <c r="M83" s="1171"/>
      <c r="N83" s="1171"/>
      <c r="O83" s="1171"/>
      <c r="P83" s="1172"/>
      <c r="Q83" s="1171"/>
      <c r="R83" s="1172"/>
      <c r="S83" s="1172"/>
      <c r="T83" s="1172"/>
      <c r="U83" s="1172"/>
      <c r="V83" s="1172"/>
      <c r="W83" s="1172"/>
      <c r="X83" s="208"/>
      <c r="Y83" s="208"/>
      <c r="Z83" s="208"/>
      <c r="AA83" s="208"/>
      <c r="AB83" s="208"/>
      <c r="AC83" s="208"/>
      <c r="AD83" s="208"/>
      <c r="AF83" s="1756"/>
      <c r="AG83" s="1756"/>
      <c r="AH83" s="208"/>
      <c r="AI83" s="208"/>
      <c r="AJ83" s="208"/>
      <c r="AK83" s="208"/>
      <c r="AL83" s="208"/>
      <c r="AM83" s="208"/>
      <c r="AN83" s="208"/>
      <c r="AO83" s="208"/>
      <c r="AP83" s="208"/>
      <c r="AQ83" s="208"/>
    </row>
    <row r="84" spans="2:43" s="555" customFormat="1" outlineLevel="1">
      <c r="B84" s="1787" t="s">
        <v>45</v>
      </c>
      <c r="C84" s="555" t="s">
        <v>46</v>
      </c>
      <c r="E84" s="1171"/>
      <c r="F84" s="1171"/>
      <c r="G84" s="1171"/>
      <c r="H84" s="1171"/>
      <c r="I84" s="1171"/>
      <c r="J84" s="1171"/>
      <c r="K84" s="1171"/>
      <c r="L84" s="1171"/>
      <c r="M84" s="1171"/>
      <c r="N84" s="1171"/>
      <c r="O84" s="1171"/>
      <c r="P84" s="1172"/>
      <c r="Q84" s="1171"/>
      <c r="R84" s="1172"/>
      <c r="S84" s="1172"/>
      <c r="T84" s="1172"/>
      <c r="U84" s="1172"/>
      <c r="V84" s="1172"/>
      <c r="W84" s="1172"/>
      <c r="X84" s="208">
        <f>X76/X65</f>
        <v>0.30225130960637658</v>
      </c>
      <c r="Y84" s="208">
        <f t="shared" ref="Y84:AQ84" si="9">Y76/Y65</f>
        <v>0.29108639686657889</v>
      </c>
      <c r="Z84" s="208">
        <f t="shared" si="9"/>
        <v>0.2769246761101084</v>
      </c>
      <c r="AA84" s="208">
        <f t="shared" si="9"/>
        <v>0.27858575251301582</v>
      </c>
      <c r="AB84" s="208">
        <f t="shared" si="9"/>
        <v>0.28125902362166988</v>
      </c>
      <c r="AC84" s="208">
        <f t="shared" si="9"/>
        <v>0.29078346541879629</v>
      </c>
      <c r="AD84" s="208">
        <f t="shared" si="9"/>
        <v>0.29617108593822272</v>
      </c>
      <c r="AE84" s="555">
        <f t="shared" si="9"/>
        <v>0.27962954266364382</v>
      </c>
      <c r="AF84" s="1756">
        <f t="shared" si="9"/>
        <v>0.27222202186649874</v>
      </c>
      <c r="AG84" s="1756">
        <f t="shared" si="9"/>
        <v>0.27553675782726794</v>
      </c>
      <c r="AH84" s="1636">
        <f t="shared" si="9"/>
        <v>0.27568291052841137</v>
      </c>
      <c r="AI84" s="1636">
        <f t="shared" si="9"/>
        <v>0.27455943158494139</v>
      </c>
      <c r="AJ84" s="1636">
        <f t="shared" si="9"/>
        <v>0.27337271587215689</v>
      </c>
      <c r="AK84" s="1636">
        <f t="shared" si="9"/>
        <v>0.27187089122804836</v>
      </c>
      <c r="AL84" s="1636">
        <f t="shared" si="9"/>
        <v>0.26643840067106361</v>
      </c>
      <c r="AM84" s="1636">
        <f t="shared" si="9"/>
        <v>0.26755220636267923</v>
      </c>
      <c r="AN84" s="1636">
        <f t="shared" si="9"/>
        <v>0.2681351700837899</v>
      </c>
      <c r="AO84" s="1636">
        <f t="shared" si="9"/>
        <v>0.26968380557176513</v>
      </c>
      <c r="AP84" s="1636">
        <f t="shared" si="9"/>
        <v>0.26528911436462094</v>
      </c>
      <c r="AQ84" s="1636">
        <f t="shared" si="9"/>
        <v>0.28287454434426906</v>
      </c>
    </row>
    <row r="85" spans="2:43" ht="5.0999999999999996"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1003"/>
      <c r="AG85" s="1003"/>
      <c r="AH85" s="1003"/>
      <c r="AI85" s="1003"/>
      <c r="AJ85" s="1003"/>
      <c r="AK85" s="1003"/>
      <c r="AL85" s="1003"/>
      <c r="AM85" s="1003"/>
      <c r="AN85" s="1003"/>
      <c r="AO85" s="1003"/>
      <c r="AP85" s="1003"/>
      <c r="AQ85" s="1003"/>
    </row>
    <row r="86" spans="2:43" ht="6" customHeight="1" outlineLevel="1">
      <c r="E86" s="167"/>
      <c r="F86" s="167"/>
      <c r="G86" s="167"/>
      <c r="H86" s="167"/>
      <c r="I86" s="167"/>
      <c r="J86" s="167"/>
      <c r="K86" s="167"/>
      <c r="L86" s="167"/>
      <c r="M86" s="167"/>
      <c r="N86" s="167"/>
      <c r="O86" s="197"/>
      <c r="P86" s="198"/>
      <c r="Q86" s="199"/>
      <c r="R86" s="198"/>
      <c r="S86" s="198"/>
      <c r="T86" s="198"/>
      <c r="U86" s="198"/>
      <c r="V86" s="198"/>
      <c r="W86" s="198"/>
      <c r="AE86" s="168"/>
      <c r="AP86" s="1855"/>
    </row>
    <row r="87" spans="2:43" ht="30" customHeight="1" outlineLevel="1">
      <c r="B87" s="834" t="s">
        <v>47</v>
      </c>
      <c r="C87" s="1856"/>
      <c r="D87" s="1856"/>
      <c r="E87" s="1856"/>
      <c r="F87" s="1856"/>
      <c r="G87" s="1856"/>
      <c r="H87" s="1856"/>
      <c r="I87" s="1856"/>
      <c r="J87" s="1856"/>
      <c r="K87" s="1856"/>
      <c r="L87" s="1856"/>
      <c r="M87" s="1856"/>
      <c r="N87" s="1856"/>
      <c r="O87" s="1856"/>
      <c r="P87" s="1856"/>
      <c r="Q87" s="1856"/>
      <c r="R87" s="1856"/>
      <c r="S87" s="1856"/>
      <c r="T87" s="1856"/>
      <c r="U87" s="1856"/>
      <c r="V87" s="1856"/>
      <c r="W87" s="1856"/>
      <c r="X87" s="1856"/>
      <c r="Y87" s="1856"/>
      <c r="Z87" s="1856"/>
      <c r="AA87" s="1856"/>
      <c r="AB87" s="1856"/>
      <c r="AC87" s="1856"/>
      <c r="AD87" s="1856"/>
      <c r="AE87" s="168"/>
      <c r="AF87" s="950"/>
    </row>
    <row r="88" spans="2:43">
      <c r="P88" s="168"/>
      <c r="Q88" s="168"/>
      <c r="R88" s="168"/>
      <c r="S88" s="168"/>
      <c r="T88" s="168"/>
      <c r="U88" s="168"/>
      <c r="V88" s="168"/>
      <c r="W88" s="168"/>
      <c r="X88" s="166"/>
      <c r="Y88" s="166"/>
      <c r="Z88" s="166"/>
      <c r="AA88" s="166"/>
      <c r="AB88" s="166"/>
      <c r="AC88" s="166"/>
      <c r="AD88" s="166"/>
      <c r="AE88" s="168"/>
      <c r="AF88" s="950"/>
    </row>
    <row r="89" spans="2:43">
      <c r="B89" s="165" t="s">
        <v>1126</v>
      </c>
      <c r="P89" s="168"/>
      <c r="Q89" s="168"/>
      <c r="R89" s="168"/>
      <c r="S89" s="168"/>
      <c r="T89" s="168"/>
      <c r="U89" s="168"/>
      <c r="V89" s="168"/>
      <c r="W89" s="168"/>
      <c r="X89" s="166"/>
      <c r="Y89" s="166"/>
      <c r="Z89" s="166"/>
      <c r="AA89" s="166"/>
      <c r="AB89" s="166"/>
      <c r="AC89" s="166"/>
      <c r="AD89" s="166"/>
      <c r="AE89" s="168"/>
      <c r="AF89" s="950"/>
    </row>
    <row r="90" spans="2:43">
      <c r="B90" s="170" t="s">
        <v>1127</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68"/>
      <c r="AF90" s="971"/>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6"/>
      <c r="AE91" s="168"/>
      <c r="AF91" s="749"/>
    </row>
    <row r="92" spans="2:43">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260"/>
      <c r="AF92" s="752">
        <v>2009</v>
      </c>
      <c r="AG92" s="967">
        <v>2010</v>
      </c>
      <c r="AH92" s="967">
        <v>2011</v>
      </c>
      <c r="AI92" s="967">
        <v>2012</v>
      </c>
      <c r="AJ92" s="967">
        <v>2013</v>
      </c>
      <c r="AK92" s="967">
        <v>2014</v>
      </c>
      <c r="AL92" s="967">
        <v>2015</v>
      </c>
      <c r="AM92" s="967">
        <v>2016</v>
      </c>
      <c r="AN92" s="967">
        <v>2017</v>
      </c>
      <c r="AO92" s="967">
        <v>2018</v>
      </c>
      <c r="AP92" s="967">
        <v>2019</v>
      </c>
      <c r="AQ92" s="967">
        <v>2020</v>
      </c>
    </row>
    <row r="93" spans="2:43">
      <c r="P93" s="168"/>
      <c r="Q93" s="168"/>
      <c r="R93" s="168"/>
      <c r="S93" s="168"/>
      <c r="T93" s="168"/>
      <c r="U93" s="168"/>
      <c r="V93" s="168"/>
      <c r="W93" s="168"/>
      <c r="X93" s="166"/>
      <c r="Y93" s="166"/>
      <c r="Z93" s="166"/>
      <c r="AA93" s="166"/>
      <c r="AB93" s="166"/>
      <c r="AC93" s="166"/>
      <c r="AD93" s="166"/>
      <c r="AE93" s="168"/>
      <c r="AF93" s="950"/>
    </row>
    <row r="94" spans="2:43" s="206" customFormat="1">
      <c r="B94" s="206" t="s">
        <v>49</v>
      </c>
      <c r="P94" s="948"/>
      <c r="Q94" s="948"/>
      <c r="R94" s="948"/>
      <c r="S94" s="948"/>
      <c r="T94" s="948"/>
      <c r="U94" s="948"/>
      <c r="V94" s="948"/>
      <c r="W94" s="948"/>
      <c r="X94" s="273">
        <v>0</v>
      </c>
      <c r="Y94" s="273"/>
      <c r="Z94" s="273">
        <v>2290</v>
      </c>
      <c r="AA94" s="273"/>
      <c r="AB94" s="273">
        <v>2575</v>
      </c>
      <c r="AC94" s="273"/>
      <c r="AD94" s="273">
        <v>2915</v>
      </c>
      <c r="AE94" s="948"/>
      <c r="AF94" s="1857">
        <v>3380</v>
      </c>
      <c r="AG94" s="1857">
        <v>3340</v>
      </c>
      <c r="AH94" s="1857">
        <v>3485</v>
      </c>
      <c r="AI94" s="1857">
        <v>3575</v>
      </c>
      <c r="AJ94" s="1857">
        <v>3485</v>
      </c>
      <c r="AK94" s="1857">
        <v>3720</v>
      </c>
      <c r="AL94" s="1857">
        <v>3910</v>
      </c>
      <c r="AM94" s="1857">
        <v>3720</v>
      </c>
      <c r="AN94" s="1857">
        <v>3595</v>
      </c>
      <c r="AO94" s="1857">
        <v>3385</v>
      </c>
      <c r="AP94" s="1857">
        <f>AP97+AP98+AP100</f>
        <v>3250</v>
      </c>
      <c r="AQ94" s="1857">
        <f>AQ97+AQ98+AQ100</f>
        <v>3300</v>
      </c>
    </row>
    <row r="95" spans="2:43">
      <c r="P95" s="168"/>
      <c r="Q95" s="168"/>
      <c r="R95" s="168"/>
      <c r="S95" s="168"/>
      <c r="T95" s="168"/>
      <c r="U95" s="168"/>
      <c r="V95" s="168"/>
      <c r="W95" s="168"/>
      <c r="X95" s="166"/>
      <c r="Y95" s="166"/>
      <c r="Z95" s="166"/>
      <c r="AA95" s="166"/>
      <c r="AB95" s="166"/>
      <c r="AC95" s="166"/>
      <c r="AD95" s="166"/>
      <c r="AE95" s="168"/>
      <c r="AF95" s="950"/>
    </row>
    <row r="96" spans="2:43">
      <c r="C96" s="206" t="s">
        <v>50</v>
      </c>
      <c r="P96" s="168"/>
      <c r="Q96" s="168"/>
      <c r="R96" s="168"/>
      <c r="S96" s="168"/>
      <c r="T96" s="168"/>
      <c r="U96" s="168"/>
      <c r="V96" s="168"/>
      <c r="W96" s="168"/>
      <c r="X96" s="166"/>
      <c r="Y96" s="166"/>
      <c r="Z96" s="166"/>
      <c r="AA96" s="166"/>
      <c r="AB96" s="166"/>
      <c r="AC96" s="166"/>
      <c r="AD96" s="166"/>
      <c r="AE96" s="168"/>
      <c r="AF96" s="950"/>
    </row>
    <row r="97" spans="2:43">
      <c r="C97" s="165" t="s">
        <v>1128</v>
      </c>
      <c r="P97" s="168"/>
      <c r="Q97" s="168"/>
      <c r="R97" s="168"/>
      <c r="S97" s="168"/>
      <c r="T97" s="168"/>
      <c r="U97" s="168"/>
      <c r="V97" s="168"/>
      <c r="W97" s="168"/>
      <c r="X97" s="166" t="s">
        <v>269</v>
      </c>
      <c r="Y97" s="166"/>
      <c r="Z97" s="166">
        <v>1410</v>
      </c>
      <c r="AA97" s="166"/>
      <c r="AB97" s="166">
        <v>1525</v>
      </c>
      <c r="AC97" s="166"/>
      <c r="AD97" s="166">
        <v>1670</v>
      </c>
      <c r="AE97" s="168"/>
      <c r="AF97" s="1858">
        <v>2025</v>
      </c>
      <c r="AG97" s="1858">
        <v>1975</v>
      </c>
      <c r="AH97" s="1858">
        <v>2010</v>
      </c>
      <c r="AI97" s="1858">
        <v>2220</v>
      </c>
      <c r="AJ97" s="1858">
        <v>2320</v>
      </c>
      <c r="AK97" s="547">
        <v>2080</v>
      </c>
      <c r="AL97" s="547">
        <v>2250</v>
      </c>
      <c r="AM97" s="547">
        <v>2145</v>
      </c>
      <c r="AN97" s="165">
        <v>2070</v>
      </c>
      <c r="AO97" s="165">
        <v>2015</v>
      </c>
      <c r="AP97" s="165">
        <v>1960</v>
      </c>
      <c r="AQ97" s="165">
        <v>2000</v>
      </c>
    </row>
    <row r="98" spans="2:43">
      <c r="C98" s="165" t="s">
        <v>1129</v>
      </c>
      <c r="P98" s="168"/>
      <c r="Q98" s="168"/>
      <c r="R98" s="168"/>
      <c r="S98" s="168"/>
      <c r="T98" s="168"/>
      <c r="U98" s="168"/>
      <c r="V98" s="168"/>
      <c r="W98" s="168"/>
      <c r="X98" s="166" t="s">
        <v>269</v>
      </c>
      <c r="Y98" s="166"/>
      <c r="Z98" s="166">
        <v>550</v>
      </c>
      <c r="AA98" s="166"/>
      <c r="AB98" s="166">
        <v>775</v>
      </c>
      <c r="AC98" s="166"/>
      <c r="AD98" s="166">
        <v>910</v>
      </c>
      <c r="AE98" s="168"/>
      <c r="AF98" s="1858">
        <v>1000</v>
      </c>
      <c r="AG98" s="1858">
        <v>1030</v>
      </c>
      <c r="AH98" s="1858">
        <v>1120</v>
      </c>
      <c r="AI98" s="1858">
        <v>1210</v>
      </c>
      <c r="AJ98" s="1858">
        <v>1070</v>
      </c>
      <c r="AK98" s="547">
        <v>1560</v>
      </c>
      <c r="AL98" s="547">
        <v>1590</v>
      </c>
      <c r="AM98" s="547">
        <v>1510</v>
      </c>
      <c r="AN98" s="165">
        <v>1460</v>
      </c>
      <c r="AO98" s="165">
        <v>1320</v>
      </c>
      <c r="AP98" s="165">
        <v>1240</v>
      </c>
      <c r="AQ98" s="165">
        <v>1250</v>
      </c>
    </row>
    <row r="99" spans="2:43">
      <c r="C99" s="206" t="s">
        <v>532</v>
      </c>
      <c r="P99" s="168"/>
      <c r="Q99" s="168"/>
      <c r="R99" s="168"/>
      <c r="S99" s="168"/>
      <c r="T99" s="168"/>
      <c r="U99" s="168"/>
      <c r="V99" s="168"/>
      <c r="W99" s="168"/>
      <c r="X99" s="166"/>
      <c r="Y99" s="166"/>
      <c r="Z99" s="166"/>
      <c r="AA99" s="166"/>
      <c r="AB99" s="166"/>
      <c r="AC99" s="166"/>
      <c r="AD99" s="166"/>
      <c r="AE99" s="168"/>
      <c r="AF99" s="1858"/>
      <c r="AG99" s="1858"/>
      <c r="AH99" s="1858"/>
      <c r="AI99" s="1858"/>
      <c r="AJ99" s="1858"/>
      <c r="AL99" s="1859"/>
    </row>
    <row r="100" spans="2:43">
      <c r="C100" s="165" t="s">
        <v>1130</v>
      </c>
      <c r="P100" s="168"/>
      <c r="Q100" s="168"/>
      <c r="R100" s="168"/>
      <c r="S100" s="168"/>
      <c r="T100" s="168"/>
      <c r="U100" s="168"/>
      <c r="V100" s="168"/>
      <c r="W100" s="168"/>
      <c r="X100" s="166" t="s">
        <v>269</v>
      </c>
      <c r="Y100" s="166"/>
      <c r="Z100" s="166">
        <v>330</v>
      </c>
      <c r="AA100" s="166"/>
      <c r="AB100" s="166">
        <v>275</v>
      </c>
      <c r="AC100" s="166"/>
      <c r="AD100" s="166">
        <v>335</v>
      </c>
      <c r="AE100" s="168"/>
      <c r="AF100" s="1858">
        <v>355</v>
      </c>
      <c r="AG100" s="1858">
        <v>335</v>
      </c>
      <c r="AH100" s="1858">
        <v>355</v>
      </c>
      <c r="AI100" s="1858">
        <v>145</v>
      </c>
      <c r="AJ100" s="1858">
        <v>95</v>
      </c>
      <c r="AK100" s="547">
        <v>80</v>
      </c>
      <c r="AL100" s="1859">
        <v>70</v>
      </c>
      <c r="AM100" s="547">
        <v>65</v>
      </c>
      <c r="AN100" s="165">
        <v>65</v>
      </c>
      <c r="AO100" s="165">
        <v>50</v>
      </c>
      <c r="AP100" s="165">
        <v>50</v>
      </c>
      <c r="AQ100" s="165">
        <v>50</v>
      </c>
    </row>
    <row r="101" spans="2:43">
      <c r="X101" s="165"/>
      <c r="Y101" s="165"/>
      <c r="Z101" s="165"/>
      <c r="AA101" s="165"/>
      <c r="AB101" s="165"/>
      <c r="AC101" s="165"/>
      <c r="AD101" s="165"/>
      <c r="AG101" s="1858"/>
      <c r="AH101" s="1858"/>
      <c r="AI101" s="1858"/>
      <c r="AJ101" s="1858"/>
    </row>
    <row r="102" spans="2:43">
      <c r="P102" s="168"/>
      <c r="Q102" s="168"/>
      <c r="R102" s="168"/>
      <c r="S102" s="168"/>
      <c r="T102" s="168"/>
      <c r="U102" s="168"/>
      <c r="V102" s="168"/>
      <c r="W102" s="168"/>
      <c r="X102" s="166"/>
      <c r="Y102" s="166"/>
      <c r="Z102" s="166"/>
      <c r="AA102" s="166"/>
      <c r="AB102" s="166"/>
      <c r="AC102" s="166"/>
      <c r="AD102" s="166"/>
      <c r="AE102" s="168"/>
      <c r="AF102" s="950"/>
      <c r="AG102" s="1858"/>
      <c r="AH102" s="1858"/>
      <c r="AI102" s="1858"/>
      <c r="AJ102" s="1858"/>
      <c r="AL102" s="1859"/>
    </row>
    <row r="103" spans="2:43" s="206" customFormat="1">
      <c r="B103" s="206" t="s">
        <v>78</v>
      </c>
      <c r="P103" s="948"/>
      <c r="Q103" s="948"/>
      <c r="R103" s="948"/>
      <c r="S103" s="948"/>
      <c r="T103" s="948"/>
      <c r="U103" s="948"/>
      <c r="V103" s="948"/>
      <c r="W103" s="948"/>
      <c r="X103" s="273">
        <v>0</v>
      </c>
      <c r="Y103" s="273"/>
      <c r="Z103" s="273">
        <v>0</v>
      </c>
      <c r="AA103" s="273"/>
      <c r="AB103" s="273">
        <v>0</v>
      </c>
      <c r="AC103" s="273"/>
      <c r="AD103" s="273">
        <v>0</v>
      </c>
      <c r="AE103" s="948"/>
      <c r="AF103" s="1746">
        <v>0</v>
      </c>
      <c r="AG103" s="1746">
        <v>0</v>
      </c>
      <c r="AH103" s="1746">
        <v>0</v>
      </c>
      <c r="AI103" s="1746">
        <v>0</v>
      </c>
      <c r="AJ103" s="1746">
        <v>0</v>
      </c>
      <c r="AK103" s="1746">
        <v>0</v>
      </c>
      <c r="AL103" s="1746">
        <v>0</v>
      </c>
      <c r="AM103" s="1746">
        <v>0</v>
      </c>
      <c r="AN103" s="1746">
        <v>0</v>
      </c>
      <c r="AO103" s="1746">
        <v>0</v>
      </c>
      <c r="AP103" s="1746">
        <v>0</v>
      </c>
      <c r="AQ103" s="1746">
        <v>0</v>
      </c>
    </row>
    <row r="104" spans="2:43">
      <c r="P104" s="168"/>
      <c r="Q104" s="168"/>
      <c r="R104" s="168"/>
      <c r="S104" s="168"/>
      <c r="T104" s="168"/>
      <c r="U104" s="168"/>
      <c r="V104" s="168"/>
      <c r="W104" s="168"/>
      <c r="X104" s="166"/>
      <c r="Y104" s="166"/>
      <c r="Z104" s="166"/>
      <c r="AA104" s="166"/>
      <c r="AB104" s="166"/>
      <c r="AC104" s="166"/>
      <c r="AD104" s="166"/>
      <c r="AE104" s="168"/>
      <c r="AF104" s="950"/>
      <c r="AG104" s="1858"/>
      <c r="AH104" s="1858"/>
      <c r="AI104" s="1858"/>
      <c r="AJ104" s="1858"/>
      <c r="AL104" s="1472"/>
    </row>
    <row r="105" spans="2:43" ht="13.5">
      <c r="B105" s="220" t="s">
        <v>240</v>
      </c>
      <c r="P105" s="168"/>
      <c r="Q105" s="168"/>
      <c r="R105" s="168"/>
      <c r="S105" s="168"/>
      <c r="T105" s="168"/>
      <c r="U105" s="168"/>
      <c r="V105" s="168"/>
      <c r="W105" s="168"/>
      <c r="X105" s="166"/>
      <c r="Y105" s="166"/>
      <c r="Z105" s="166"/>
      <c r="AA105" s="166"/>
      <c r="AB105" s="166"/>
      <c r="AC105" s="166"/>
      <c r="AD105" s="166"/>
      <c r="AE105" s="168"/>
      <c r="AF105" s="950"/>
      <c r="AG105" s="1858"/>
      <c r="AH105" s="1858"/>
      <c r="AI105" s="1858"/>
      <c r="AJ105" s="1858"/>
    </row>
    <row r="106" spans="2:43" s="206" customFormat="1">
      <c r="B106" s="206" t="s">
        <v>91</v>
      </c>
      <c r="P106" s="948"/>
      <c r="Q106" s="948"/>
      <c r="R106" s="948"/>
      <c r="S106" s="948"/>
      <c r="T106" s="948"/>
      <c r="U106" s="948"/>
      <c r="V106" s="948"/>
      <c r="W106" s="948"/>
      <c r="X106" s="273">
        <v>11500</v>
      </c>
      <c r="Y106" s="273"/>
      <c r="Z106" s="273">
        <v>11795</v>
      </c>
      <c r="AA106" s="273"/>
      <c r="AB106" s="273">
        <v>11795</v>
      </c>
      <c r="AC106" s="273"/>
      <c r="AD106" s="273">
        <v>16000</v>
      </c>
      <c r="AE106" s="948"/>
      <c r="AF106" s="1857">
        <v>21040</v>
      </c>
      <c r="AG106" s="1857">
        <v>27370</v>
      </c>
      <c r="AH106" s="1857">
        <v>14055</v>
      </c>
      <c r="AI106" s="1857">
        <v>7100</v>
      </c>
      <c r="AJ106" s="1857">
        <v>7400</v>
      </c>
      <c r="AK106" s="1857">
        <v>7800</v>
      </c>
      <c r="AL106" s="1857">
        <v>8000</v>
      </c>
      <c r="AM106" s="1857">
        <v>8000</v>
      </c>
      <c r="AN106" s="1857">
        <v>8960</v>
      </c>
      <c r="AO106" s="1857">
        <v>9110</v>
      </c>
      <c r="AP106" s="1857">
        <v>9560</v>
      </c>
      <c r="AQ106" s="1857">
        <v>9030</v>
      </c>
    </row>
    <row r="107" spans="2:43">
      <c r="P107" s="168"/>
      <c r="Q107" s="168"/>
      <c r="R107" s="168"/>
      <c r="S107" s="168"/>
      <c r="T107" s="168"/>
      <c r="U107" s="168"/>
      <c r="V107" s="168"/>
      <c r="W107" s="168"/>
      <c r="X107" s="166"/>
      <c r="Y107" s="166"/>
      <c r="Z107" s="166"/>
      <c r="AA107" s="166"/>
      <c r="AB107" s="166"/>
      <c r="AC107" s="166"/>
      <c r="AD107" s="166"/>
      <c r="AE107" s="168"/>
      <c r="AF107" s="950"/>
      <c r="AG107" s="1858"/>
      <c r="AH107" s="1858"/>
      <c r="AI107" s="1858"/>
      <c r="AJ107" s="1858"/>
    </row>
    <row r="108" spans="2:43">
      <c r="C108" s="165" t="s">
        <v>1131</v>
      </c>
      <c r="P108" s="168"/>
      <c r="Q108" s="168"/>
      <c r="R108" s="168"/>
      <c r="S108" s="168"/>
      <c r="T108" s="168"/>
      <c r="U108" s="168"/>
      <c r="V108" s="168"/>
      <c r="W108" s="168"/>
      <c r="X108" s="166">
        <v>11500</v>
      </c>
      <c r="Y108" s="166"/>
      <c r="Z108" s="166">
        <v>11500</v>
      </c>
      <c r="AA108" s="166"/>
      <c r="AB108" s="166">
        <v>11500</v>
      </c>
      <c r="AC108" s="166"/>
      <c r="AD108" s="166">
        <v>16000</v>
      </c>
      <c r="AE108" s="168"/>
      <c r="AF108" s="1858">
        <v>21000</v>
      </c>
      <c r="AG108" s="1858">
        <v>27300</v>
      </c>
      <c r="AH108" s="1858">
        <v>14000</v>
      </c>
      <c r="AI108" s="1858">
        <v>7100</v>
      </c>
      <c r="AJ108" s="1858">
        <v>7400</v>
      </c>
      <c r="AK108" s="1858">
        <v>7800</v>
      </c>
      <c r="AL108" s="1858">
        <v>8000</v>
      </c>
      <c r="AM108" s="1858">
        <v>8000</v>
      </c>
      <c r="AN108" s="1858">
        <v>8700</v>
      </c>
      <c r="AO108" s="1858">
        <v>8800</v>
      </c>
      <c r="AP108" s="1858">
        <v>9200</v>
      </c>
      <c r="AQ108" s="1858">
        <v>8600</v>
      </c>
    </row>
    <row r="109" spans="2:43">
      <c r="C109" s="165" t="s">
        <v>1132</v>
      </c>
      <c r="P109" s="168"/>
      <c r="Q109" s="168"/>
      <c r="R109" s="168"/>
      <c r="S109" s="168"/>
      <c r="T109" s="168"/>
      <c r="U109" s="168"/>
      <c r="V109" s="168"/>
      <c r="W109" s="168"/>
      <c r="X109" s="166" t="s">
        <v>269</v>
      </c>
      <c r="Y109" s="166"/>
      <c r="Z109" s="166">
        <v>295</v>
      </c>
      <c r="AA109" s="166"/>
      <c r="AB109" s="166">
        <v>295</v>
      </c>
      <c r="AC109" s="166"/>
      <c r="AD109" s="166">
        <v>0</v>
      </c>
      <c r="AE109" s="168"/>
      <c r="AF109" s="1858">
        <v>40</v>
      </c>
      <c r="AG109" s="1858">
        <v>70</v>
      </c>
      <c r="AH109" s="1858">
        <v>55</v>
      </c>
      <c r="AI109" s="1858">
        <v>0</v>
      </c>
      <c r="AJ109" s="1858">
        <v>0</v>
      </c>
      <c r="AK109" s="547">
        <v>0</v>
      </c>
      <c r="AL109" s="547">
        <v>0</v>
      </c>
      <c r="AM109" s="547">
        <v>0</v>
      </c>
      <c r="AN109" s="165">
        <v>260</v>
      </c>
      <c r="AO109" s="165">
        <v>310</v>
      </c>
      <c r="AP109" s="165">
        <v>360</v>
      </c>
      <c r="AQ109" s="165">
        <v>430</v>
      </c>
    </row>
    <row r="110" spans="2:43">
      <c r="B110" s="172"/>
      <c r="C110" s="172"/>
      <c r="D110" s="172"/>
      <c r="E110" s="172"/>
      <c r="F110" s="172"/>
      <c r="G110" s="172"/>
      <c r="H110" s="172"/>
      <c r="I110" s="172"/>
      <c r="J110" s="172"/>
      <c r="K110" s="172"/>
      <c r="L110" s="172"/>
      <c r="M110" s="172"/>
      <c r="N110" s="172"/>
      <c r="O110" s="172"/>
      <c r="P110" s="173"/>
      <c r="Q110" s="173"/>
      <c r="R110" s="173"/>
      <c r="S110" s="173"/>
      <c r="T110" s="173"/>
      <c r="U110" s="173"/>
      <c r="V110" s="173"/>
      <c r="W110" s="173"/>
      <c r="X110" s="256"/>
      <c r="Y110" s="256"/>
      <c r="Z110" s="256"/>
      <c r="AA110" s="256"/>
      <c r="AB110" s="256"/>
      <c r="AC110" s="256"/>
      <c r="AD110" s="256"/>
      <c r="AE110" s="173"/>
      <c r="AF110" s="1851"/>
      <c r="AG110" s="1851"/>
      <c r="AH110" s="1851"/>
      <c r="AI110" s="1851"/>
      <c r="AJ110" s="1851"/>
      <c r="AK110" s="1851"/>
      <c r="AL110" s="1851"/>
      <c r="AM110" s="1851"/>
      <c r="AN110" s="1851"/>
      <c r="AO110" s="1851"/>
      <c r="AP110" s="1851"/>
      <c r="AQ110" s="1851"/>
    </row>
    <row r="111" spans="2:43">
      <c r="P111" s="168"/>
      <c r="Q111" s="168"/>
      <c r="R111" s="168"/>
      <c r="S111" s="168"/>
      <c r="T111" s="168"/>
      <c r="U111" s="168"/>
      <c r="V111" s="168"/>
      <c r="W111" s="168"/>
      <c r="X111" s="166"/>
      <c r="Y111" s="166"/>
      <c r="Z111" s="166"/>
      <c r="AA111" s="166"/>
      <c r="AB111" s="166"/>
      <c r="AC111" s="166"/>
      <c r="AD111" s="166"/>
      <c r="AE111" s="168"/>
      <c r="AF111" s="950"/>
    </row>
    <row r="112" spans="2:43">
      <c r="B112" s="1135" t="s">
        <v>1133</v>
      </c>
      <c r="C112" s="1135"/>
      <c r="D112" s="1135"/>
      <c r="E112" s="1135"/>
      <c r="F112" s="1135"/>
      <c r="P112" s="168"/>
      <c r="Q112" s="168"/>
      <c r="R112" s="168"/>
      <c r="S112" s="168"/>
      <c r="T112" s="168"/>
      <c r="U112" s="168"/>
      <c r="V112" s="168"/>
      <c r="W112" s="168"/>
      <c r="X112" s="166"/>
      <c r="Y112" s="166"/>
      <c r="Z112" s="166"/>
      <c r="AA112" s="166"/>
      <c r="AB112" s="166"/>
      <c r="AC112" s="166"/>
      <c r="AD112" s="166"/>
      <c r="AE112" s="168"/>
      <c r="AF112" s="950"/>
    </row>
    <row r="113" spans="1:39">
      <c r="B113" s="165" t="s">
        <v>1134</v>
      </c>
      <c r="P113" s="168"/>
      <c r="Q113" s="168"/>
      <c r="R113" s="168"/>
      <c r="S113" s="168"/>
      <c r="T113" s="168"/>
      <c r="U113" s="168"/>
      <c r="V113" s="168"/>
      <c r="W113" s="168"/>
      <c r="X113" s="166"/>
      <c r="Y113" s="166"/>
      <c r="Z113" s="166"/>
      <c r="AA113" s="166"/>
      <c r="AB113" s="166"/>
      <c r="AC113" s="166"/>
      <c r="AD113" s="166"/>
      <c r="AE113" s="168"/>
      <c r="AF113" s="950"/>
    </row>
    <row r="115" spans="1:39">
      <c r="P115" s="168"/>
      <c r="Q115" s="168"/>
      <c r="R115" s="168"/>
      <c r="S115" s="168"/>
      <c r="T115" s="168"/>
      <c r="U115" s="168"/>
      <c r="V115" s="168"/>
      <c r="W115" s="168"/>
      <c r="X115" s="166"/>
      <c r="Y115" s="166"/>
      <c r="Z115" s="166"/>
      <c r="AA115" s="166"/>
      <c r="AB115" s="166"/>
      <c r="AC115" s="166"/>
      <c r="AD115" s="166"/>
      <c r="AE115" s="168"/>
      <c r="AF115" s="950"/>
    </row>
    <row r="116" spans="1:39">
      <c r="P116" s="168"/>
      <c r="Q116" s="168"/>
      <c r="R116" s="168"/>
      <c r="S116" s="168"/>
      <c r="T116" s="168"/>
      <c r="U116" s="168"/>
      <c r="V116" s="168"/>
      <c r="W116" s="168"/>
      <c r="X116" s="166"/>
      <c r="Y116" s="166"/>
      <c r="Z116" s="166"/>
      <c r="AA116" s="166"/>
      <c r="AB116" s="166"/>
      <c r="AC116" s="166"/>
      <c r="AD116" s="166"/>
      <c r="AE116" s="168"/>
      <c r="AF116" s="950"/>
    </row>
    <row r="117" spans="1:39">
      <c r="P117" s="168"/>
      <c r="Q117" s="168"/>
      <c r="R117" s="168"/>
      <c r="S117" s="168"/>
      <c r="T117" s="168"/>
      <c r="U117" s="168"/>
      <c r="V117" s="168"/>
      <c r="W117" s="168"/>
      <c r="X117" s="166"/>
      <c r="Y117" s="166"/>
      <c r="Z117" s="166"/>
      <c r="AA117" s="166"/>
      <c r="AB117" s="166"/>
      <c r="AC117" s="166"/>
      <c r="AD117" s="166"/>
      <c r="AE117" s="168"/>
      <c r="AF117" s="950"/>
    </row>
    <row r="118" spans="1:39">
      <c r="P118" s="168"/>
      <c r="Q118" s="168"/>
      <c r="R118" s="168"/>
      <c r="S118" s="168"/>
      <c r="T118" s="168"/>
      <c r="U118" s="168"/>
      <c r="V118" s="168"/>
      <c r="W118" s="168"/>
      <c r="X118" s="166"/>
      <c r="Y118" s="166"/>
      <c r="Z118" s="166"/>
      <c r="AA118" s="166"/>
      <c r="AB118" s="166"/>
      <c r="AC118" s="166"/>
      <c r="AD118" s="166"/>
      <c r="AE118" s="168"/>
      <c r="AF118" s="950"/>
    </row>
    <row r="119" spans="1:39">
      <c r="P119" s="168"/>
      <c r="Q119" s="168"/>
      <c r="R119" s="168"/>
      <c r="S119" s="168"/>
      <c r="T119" s="168"/>
      <c r="U119" s="168"/>
      <c r="V119" s="168"/>
      <c r="W119" s="168"/>
      <c r="X119" s="166"/>
      <c r="Y119" s="166"/>
      <c r="Z119" s="166"/>
      <c r="AA119" s="166"/>
      <c r="AB119" s="166"/>
      <c r="AC119" s="166"/>
      <c r="AD119" s="166"/>
      <c r="AE119" s="168"/>
      <c r="AF119" s="950"/>
      <c r="AG119" s="165"/>
      <c r="AH119" s="165"/>
      <c r="AI119" s="165"/>
      <c r="AJ119" s="165"/>
      <c r="AK119" s="165"/>
      <c r="AL119" s="165"/>
      <c r="AM119" s="165"/>
    </row>
    <row r="120" spans="1:39">
      <c r="A120" s="165" t="s">
        <v>1135</v>
      </c>
      <c r="B120" s="834"/>
      <c r="C120" s="834"/>
      <c r="D120" s="834"/>
      <c r="E120" s="834"/>
      <c r="F120" s="834"/>
      <c r="G120" s="834"/>
      <c r="H120" s="834"/>
      <c r="I120" s="834"/>
      <c r="J120" s="834"/>
      <c r="K120" s="834"/>
      <c r="L120" s="834"/>
      <c r="M120" s="834"/>
      <c r="N120" s="834"/>
      <c r="O120" s="834"/>
      <c r="P120" s="834"/>
      <c r="Q120" s="834"/>
      <c r="R120" s="834"/>
      <c r="S120" s="834"/>
      <c r="T120" s="834"/>
      <c r="U120" s="834"/>
      <c r="V120" s="834"/>
      <c r="W120" s="834"/>
      <c r="X120" s="834"/>
      <c r="Y120" s="166"/>
      <c r="Z120" s="166"/>
      <c r="AA120" s="166"/>
      <c r="AB120" s="166"/>
      <c r="AC120" s="166"/>
      <c r="AD120" s="166"/>
      <c r="AE120" s="168"/>
      <c r="AF120" s="950"/>
      <c r="AG120" s="165"/>
      <c r="AH120" s="165"/>
      <c r="AI120" s="165"/>
      <c r="AJ120" s="165"/>
      <c r="AK120" s="165"/>
      <c r="AL120" s="165"/>
      <c r="AM120" s="165"/>
    </row>
    <row r="121" spans="1:39">
      <c r="P121" s="168"/>
      <c r="Q121" s="168"/>
      <c r="R121" s="168"/>
      <c r="S121" s="168"/>
      <c r="T121" s="168"/>
      <c r="U121" s="168"/>
      <c r="V121" s="168"/>
      <c r="W121" s="168"/>
      <c r="X121" s="166"/>
      <c r="Y121" s="166"/>
      <c r="Z121" s="166"/>
      <c r="AA121" s="166"/>
      <c r="AB121" s="166"/>
      <c r="AC121" s="166"/>
      <c r="AD121" s="166"/>
      <c r="AE121" s="168"/>
      <c r="AF121" s="950"/>
      <c r="AG121" s="165"/>
      <c r="AH121" s="165"/>
      <c r="AI121" s="165"/>
      <c r="AJ121" s="165"/>
      <c r="AK121" s="165"/>
      <c r="AL121" s="165"/>
      <c r="AM121" s="165"/>
    </row>
    <row r="122" spans="1:39">
      <c r="P122" s="168"/>
      <c r="Q122" s="168"/>
      <c r="R122" s="168"/>
      <c r="S122" s="168"/>
      <c r="T122" s="168"/>
      <c r="U122" s="168"/>
      <c r="V122" s="168"/>
      <c r="W122" s="168"/>
      <c r="X122" s="166"/>
      <c r="Y122" s="166"/>
      <c r="Z122" s="166"/>
      <c r="AA122" s="166"/>
      <c r="AB122" s="166"/>
      <c r="AC122" s="166"/>
      <c r="AD122" s="166"/>
      <c r="AE122" s="168"/>
      <c r="AF122" s="950"/>
      <c r="AG122" s="165"/>
      <c r="AH122" s="165"/>
      <c r="AI122" s="165"/>
      <c r="AJ122" s="165"/>
      <c r="AK122" s="165"/>
      <c r="AL122" s="165"/>
      <c r="AM122" s="165"/>
    </row>
    <row r="123" spans="1:39">
      <c r="P123" s="168"/>
      <c r="Q123" s="168"/>
      <c r="R123" s="168"/>
      <c r="S123" s="168"/>
      <c r="T123" s="168"/>
      <c r="U123" s="168"/>
      <c r="V123" s="168"/>
      <c r="W123" s="168"/>
      <c r="X123" s="166"/>
      <c r="Y123" s="166"/>
      <c r="Z123" s="166"/>
      <c r="AA123" s="166"/>
      <c r="AB123" s="166"/>
      <c r="AC123" s="166"/>
      <c r="AD123" s="166"/>
      <c r="AE123" s="168"/>
      <c r="AF123" s="950"/>
      <c r="AG123" s="165"/>
      <c r="AH123" s="165"/>
      <c r="AI123" s="165"/>
      <c r="AJ123" s="165"/>
      <c r="AK123" s="165"/>
      <c r="AL123" s="165"/>
      <c r="AM123" s="165"/>
    </row>
    <row r="124" spans="1:39">
      <c r="P124" s="168"/>
      <c r="Q124" s="168"/>
      <c r="R124" s="168"/>
      <c r="S124" s="168"/>
      <c r="T124" s="168"/>
      <c r="U124" s="168"/>
      <c r="V124" s="168"/>
      <c r="W124" s="168"/>
      <c r="X124" s="166"/>
      <c r="Y124" s="166"/>
      <c r="Z124" s="166"/>
      <c r="AA124" s="166"/>
      <c r="AB124" s="166"/>
      <c r="AC124" s="166"/>
      <c r="AD124" s="166"/>
      <c r="AE124" s="168"/>
      <c r="AF124" s="950"/>
      <c r="AG124" s="165"/>
      <c r="AH124" s="165"/>
      <c r="AI124" s="165"/>
      <c r="AJ124" s="165"/>
      <c r="AK124" s="165"/>
      <c r="AL124" s="165"/>
      <c r="AM124" s="165"/>
    </row>
    <row r="125" spans="1:39">
      <c r="P125" s="168"/>
      <c r="Q125" s="168"/>
      <c r="R125" s="168"/>
      <c r="S125" s="168"/>
      <c r="T125" s="168"/>
      <c r="U125" s="168"/>
      <c r="V125" s="168"/>
      <c r="W125" s="168"/>
      <c r="X125" s="166"/>
      <c r="Y125" s="166"/>
      <c r="Z125" s="166"/>
      <c r="AA125" s="166"/>
      <c r="AB125" s="166"/>
      <c r="AC125" s="166"/>
      <c r="AD125" s="166"/>
      <c r="AE125" s="168"/>
      <c r="AF125" s="950"/>
      <c r="AG125" s="165"/>
      <c r="AH125" s="165"/>
      <c r="AI125" s="165"/>
      <c r="AJ125" s="165"/>
      <c r="AK125" s="165"/>
      <c r="AL125" s="165"/>
      <c r="AM125" s="165"/>
    </row>
  </sheetData>
  <mergeCells count="3">
    <mergeCell ref="B15:AQ15"/>
    <mergeCell ref="B39:AQ39"/>
    <mergeCell ref="B41:AM41"/>
  </mergeCells>
  <pageMargins left="0.70866141732283472" right="0.70866141732283472" top="0.74803149606299213" bottom="0.74803149606299213" header="0.31496062992125984" footer="0.31496062992125984"/>
  <pageSetup paperSize="9" scale="4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Q126"/>
  <sheetViews>
    <sheetView topLeftCell="B15" workbookViewId="0">
      <selection activeCell="B15" sqref="A1:XFD1048576"/>
    </sheetView>
  </sheetViews>
  <sheetFormatPr defaultColWidth="8.88671875" defaultRowHeight="12.75" outlineLevelRow="1"/>
  <cols>
    <col min="1" max="1" width="0" style="165" hidden="1" customWidth="1"/>
    <col min="2" max="2" width="4.88671875" style="165" customWidth="1"/>
    <col min="3" max="3" width="66.6640625" style="165" customWidth="1"/>
    <col min="4" max="15" width="2.33203125" style="165" hidden="1" customWidth="1"/>
    <col min="16" max="16" width="4.109375" style="165" hidden="1" customWidth="1"/>
    <col min="17" max="17" width="1.44140625" style="165" hidden="1" customWidth="1"/>
    <col min="18" max="18" width="4.44140625" style="165" hidden="1" customWidth="1"/>
    <col min="19" max="19" width="1.44140625" style="165" hidden="1" customWidth="1"/>
    <col min="20" max="20" width="4.44140625" style="165" hidden="1" customWidth="1"/>
    <col min="21" max="21" width="1.44140625" style="165" hidden="1" customWidth="1"/>
    <col min="22" max="22" width="4.44140625" style="165" hidden="1" customWidth="1"/>
    <col min="23" max="23" width="1.44140625" style="165" hidden="1" customWidth="1"/>
    <col min="24" max="24" width="5.5546875" style="75" hidden="1" customWidth="1"/>
    <col min="25" max="25" width="3.77734375" style="75" hidden="1" customWidth="1"/>
    <col min="26" max="26" width="6.33203125" style="75" bestFit="1" customWidth="1"/>
    <col min="27" max="27" width="2.5546875" style="75" hidden="1" customWidth="1"/>
    <col min="28" max="28" width="6.21875" style="75" bestFit="1" customWidth="1"/>
    <col min="29" max="29" width="2.33203125" style="75" hidden="1" customWidth="1"/>
    <col min="30" max="30" width="6.33203125" style="75" bestFit="1" customWidth="1"/>
    <col min="31" max="31" width="2.44140625" style="75" hidden="1" customWidth="1"/>
    <col min="32" max="36" width="6.5546875" style="75" customWidth="1"/>
    <col min="37" max="43" width="6.5546875" style="165" customWidth="1"/>
    <col min="44" max="16384" width="8.88671875" style="165"/>
  </cols>
  <sheetData>
    <row r="1" spans="1:43" hidden="1" outlineLevel="1">
      <c r="B1" s="165" t="s">
        <v>1198</v>
      </c>
    </row>
    <row r="2" spans="1:43" hidden="1" outlineLevel="1"/>
    <row r="3" spans="1:43" hidden="1" outlineLevel="1"/>
    <row r="4" spans="1:43" hidden="1" outlineLevel="1">
      <c r="B4" s="966" t="s">
        <v>1199</v>
      </c>
      <c r="C4" s="966"/>
      <c r="P4" s="165">
        <v>1993</v>
      </c>
      <c r="R4" s="165">
        <v>1995</v>
      </c>
      <c r="T4" s="165">
        <v>1997</v>
      </c>
      <c r="V4" s="165">
        <v>1999</v>
      </c>
      <c r="X4" s="75">
        <v>2001</v>
      </c>
      <c r="Z4" s="202">
        <v>2003</v>
      </c>
      <c r="AA4" s="202"/>
      <c r="AB4" s="202">
        <v>2005</v>
      </c>
      <c r="AC4" s="202"/>
      <c r="AD4" s="202">
        <v>2007</v>
      </c>
      <c r="AE4" s="202"/>
      <c r="AF4" s="202">
        <v>2009</v>
      </c>
      <c r="AG4" s="202">
        <v>2010</v>
      </c>
      <c r="AH4" s="202">
        <v>2011</v>
      </c>
      <c r="AI4" s="202">
        <v>2012</v>
      </c>
      <c r="AJ4" s="202">
        <v>2013</v>
      </c>
      <c r="AK4" s="202">
        <v>2014</v>
      </c>
      <c r="AL4" s="202">
        <v>2015</v>
      </c>
      <c r="AM4" s="202">
        <v>2016</v>
      </c>
      <c r="AN4" s="202">
        <v>2017</v>
      </c>
      <c r="AO4" s="202">
        <v>2018</v>
      </c>
      <c r="AP4" s="202">
        <v>2019</v>
      </c>
      <c r="AQ4" s="202">
        <v>2020</v>
      </c>
    </row>
    <row r="5" spans="1:43" hidden="1" outlineLevel="1">
      <c r="AK5" s="75"/>
      <c r="AL5" s="75"/>
      <c r="AM5" s="75"/>
      <c r="AN5" s="75"/>
      <c r="AO5" s="75"/>
      <c r="AP5" s="75"/>
      <c r="AQ5" s="75"/>
    </row>
    <row r="6" spans="1:43" hidden="1" outlineLevel="1">
      <c r="A6" s="165" t="s">
        <v>2</v>
      </c>
      <c r="B6" s="165" t="s">
        <v>3</v>
      </c>
      <c r="P6" s="168"/>
      <c r="Q6" s="168"/>
      <c r="R6" s="168"/>
      <c r="S6" s="168"/>
      <c r="T6" s="168"/>
      <c r="U6" s="168"/>
      <c r="V6" s="168"/>
      <c r="W6" s="168"/>
      <c r="X6" s="166"/>
      <c r="Y6" s="166"/>
      <c r="Z6" s="244">
        <f>Z94</f>
        <v>1086.2999999999997</v>
      </c>
      <c r="AA6" s="166"/>
      <c r="AB6" s="244">
        <f>AB94</f>
        <v>1639</v>
      </c>
      <c r="AC6" s="166"/>
      <c r="AD6" s="244">
        <f>AD94</f>
        <v>1812</v>
      </c>
      <c r="AE6" s="166"/>
      <c r="AF6" s="244">
        <f t="shared" ref="AF6:AL6" si="0">AF94</f>
        <v>2023</v>
      </c>
      <c r="AG6" s="244">
        <f t="shared" si="0"/>
        <v>2023</v>
      </c>
      <c r="AH6" s="244">
        <f t="shared" si="0"/>
        <v>2013</v>
      </c>
      <c r="AI6" s="244">
        <f t="shared" si="0"/>
        <v>1262</v>
      </c>
      <c r="AJ6" s="244">
        <f t="shared" si="0"/>
        <v>1348</v>
      </c>
      <c r="AK6" s="244">
        <f t="shared" si="0"/>
        <v>1407</v>
      </c>
      <c r="AL6" s="244">
        <f t="shared" si="0"/>
        <v>1938</v>
      </c>
      <c r="AM6" s="244">
        <f>AM94</f>
        <v>2393</v>
      </c>
      <c r="AN6" s="244">
        <f>AN94</f>
        <v>2522</v>
      </c>
      <c r="AO6" s="244">
        <f>AO94</f>
        <v>2632</v>
      </c>
      <c r="AP6" s="244">
        <f t="shared" ref="AP6:AQ6" si="1">AP94</f>
        <v>2779</v>
      </c>
      <c r="AQ6" s="244">
        <f t="shared" si="1"/>
        <v>2766</v>
      </c>
    </row>
    <row r="7" spans="1:43" hidden="1" outlineLevel="1">
      <c r="A7" s="165" t="s">
        <v>4</v>
      </c>
      <c r="B7" s="165" t="s">
        <v>5</v>
      </c>
      <c r="P7" s="168"/>
      <c r="Q7" s="168"/>
      <c r="R7" s="168"/>
      <c r="S7" s="168"/>
      <c r="T7" s="168"/>
      <c r="U7" s="168"/>
      <c r="V7" s="168"/>
      <c r="W7" s="168"/>
      <c r="X7" s="166"/>
      <c r="Y7" s="166"/>
      <c r="Z7" s="244">
        <f>Z110</f>
        <v>88</v>
      </c>
      <c r="AA7" s="166"/>
      <c r="AB7" s="244">
        <f>AB110</f>
        <v>111</v>
      </c>
      <c r="AC7" s="166"/>
      <c r="AD7" s="244">
        <f>AD110</f>
        <v>121</v>
      </c>
      <c r="AE7" s="166"/>
      <c r="AF7" s="244">
        <f t="shared" ref="AF7:AL7" si="2">AF110</f>
        <v>126</v>
      </c>
      <c r="AG7" s="244">
        <f t="shared" si="2"/>
        <v>129</v>
      </c>
      <c r="AH7" s="244">
        <f t="shared" si="2"/>
        <v>28</v>
      </c>
      <c r="AI7" s="244">
        <f t="shared" si="2"/>
        <v>21</v>
      </c>
      <c r="AJ7" s="244">
        <f t="shared" si="2"/>
        <v>23</v>
      </c>
      <c r="AK7" s="244">
        <f t="shared" si="2"/>
        <v>23</v>
      </c>
      <c r="AL7" s="244">
        <f t="shared" si="2"/>
        <v>9</v>
      </c>
      <c r="AM7" s="244">
        <f>AM110</f>
        <v>9</v>
      </c>
      <c r="AN7" s="244">
        <f>AN110</f>
        <v>14</v>
      </c>
      <c r="AO7" s="244">
        <f>AO110</f>
        <v>14</v>
      </c>
      <c r="AP7" s="244">
        <f t="shared" ref="AP7:AQ7" si="3">AP110</f>
        <v>15</v>
      </c>
      <c r="AQ7" s="244">
        <f t="shared" si="3"/>
        <v>16</v>
      </c>
    </row>
    <row r="8" spans="1:43" hidden="1" outlineLevel="1">
      <c r="A8" s="165" t="s">
        <v>6</v>
      </c>
      <c r="P8" s="168"/>
      <c r="Q8" s="168"/>
      <c r="R8" s="168"/>
      <c r="S8" s="168"/>
      <c r="T8" s="168"/>
      <c r="U8" s="168"/>
      <c r="V8" s="168"/>
      <c r="W8" s="168"/>
      <c r="X8" s="166"/>
      <c r="Y8" s="166"/>
      <c r="Z8" s="985">
        <f>SUM(Z6:Z7)</f>
        <v>1174.2999999999997</v>
      </c>
      <c r="AA8" s="985">
        <f t="shared" ref="AA8:AQ8" si="4">SUM(AA6:AA7)</f>
        <v>0</v>
      </c>
      <c r="AB8" s="985">
        <f t="shared" si="4"/>
        <v>1750</v>
      </c>
      <c r="AC8" s="985">
        <f t="shared" si="4"/>
        <v>0</v>
      </c>
      <c r="AD8" s="985">
        <f t="shared" si="4"/>
        <v>1933</v>
      </c>
      <c r="AE8" s="985">
        <f t="shared" si="4"/>
        <v>0</v>
      </c>
      <c r="AF8" s="985">
        <f t="shared" si="4"/>
        <v>2149</v>
      </c>
      <c r="AG8" s="985">
        <f t="shared" si="4"/>
        <v>2152</v>
      </c>
      <c r="AH8" s="985">
        <f t="shared" si="4"/>
        <v>2041</v>
      </c>
      <c r="AI8" s="985">
        <f t="shared" si="4"/>
        <v>1283</v>
      </c>
      <c r="AJ8" s="985">
        <f t="shared" si="4"/>
        <v>1371</v>
      </c>
      <c r="AK8" s="985">
        <f t="shared" si="4"/>
        <v>1430</v>
      </c>
      <c r="AL8" s="985">
        <f t="shared" si="4"/>
        <v>1947</v>
      </c>
      <c r="AM8" s="985">
        <f t="shared" si="4"/>
        <v>2402</v>
      </c>
      <c r="AN8" s="985">
        <f t="shared" si="4"/>
        <v>2536</v>
      </c>
      <c r="AO8" s="985">
        <f t="shared" si="4"/>
        <v>2646</v>
      </c>
      <c r="AP8" s="985">
        <f t="shared" si="4"/>
        <v>2794</v>
      </c>
      <c r="AQ8" s="985">
        <f t="shared" si="4"/>
        <v>2782</v>
      </c>
    </row>
    <row r="9" spans="1:43" hidden="1" outlineLevel="1">
      <c r="P9" s="168"/>
      <c r="Q9" s="168"/>
      <c r="R9" s="168"/>
      <c r="S9" s="168"/>
      <c r="T9" s="168"/>
      <c r="U9" s="168"/>
      <c r="V9" s="168"/>
      <c r="W9" s="168"/>
      <c r="X9" s="166"/>
      <c r="Y9" s="166"/>
      <c r="Z9" s="244"/>
      <c r="AA9" s="166"/>
      <c r="AB9" s="244"/>
      <c r="AC9" s="166"/>
      <c r="AD9" s="244"/>
      <c r="AE9" s="166"/>
      <c r="AF9" s="244"/>
      <c r="AG9" s="244"/>
      <c r="AH9" s="244"/>
      <c r="AI9" s="244"/>
      <c r="AJ9" s="244"/>
      <c r="AK9" s="244"/>
      <c r="AL9" s="244"/>
      <c r="AM9" s="244"/>
      <c r="AN9" s="244"/>
      <c r="AO9" s="244"/>
      <c r="AP9" s="244"/>
      <c r="AQ9" s="244"/>
    </row>
    <row r="10" spans="1:43" hidden="1" outlineLevel="1">
      <c r="B10" s="165" t="s">
        <v>110</v>
      </c>
      <c r="P10" s="168"/>
      <c r="Q10" s="168"/>
      <c r="R10" s="168"/>
      <c r="S10" s="168"/>
      <c r="T10" s="168"/>
      <c r="U10" s="168"/>
      <c r="V10" s="168"/>
      <c r="W10" s="168"/>
      <c r="X10" s="166"/>
      <c r="Y10" s="166"/>
      <c r="Z10" s="244" t="str">
        <f>Z118</f>
        <v>n.a.</v>
      </c>
      <c r="AA10" s="166"/>
      <c r="AB10" s="244" t="str">
        <f>AB118</f>
        <v>n.a.</v>
      </c>
      <c r="AC10" s="166"/>
      <c r="AD10" s="244">
        <f>AD118</f>
        <v>93</v>
      </c>
      <c r="AE10" s="166"/>
      <c r="AF10" s="244">
        <f t="shared" ref="AF10:AL10" si="5">AF118</f>
        <v>106</v>
      </c>
      <c r="AG10" s="244">
        <f t="shared" si="5"/>
        <v>103</v>
      </c>
      <c r="AH10" s="244">
        <f t="shared" si="5"/>
        <v>26</v>
      </c>
      <c r="AI10" s="244">
        <f t="shared" si="5"/>
        <v>26</v>
      </c>
      <c r="AJ10" s="244">
        <f t="shared" si="5"/>
        <v>29</v>
      </c>
      <c r="AK10" s="244">
        <f t="shared" si="5"/>
        <v>28</v>
      </c>
      <c r="AL10" s="244">
        <f t="shared" si="5"/>
        <v>46</v>
      </c>
      <c r="AM10" s="244">
        <f>AM118</f>
        <v>46</v>
      </c>
      <c r="AN10" s="244">
        <f>AN118</f>
        <v>52</v>
      </c>
      <c r="AO10" s="244">
        <f>AO118</f>
        <v>58</v>
      </c>
      <c r="AP10" s="244">
        <f t="shared" ref="AP10:AQ10" si="6">AP118</f>
        <v>65</v>
      </c>
      <c r="AQ10" s="244">
        <f t="shared" si="6"/>
        <v>71</v>
      </c>
    </row>
    <row r="11" spans="1:43" hidden="1" outlineLevel="1">
      <c r="P11" s="168"/>
      <c r="Q11" s="168"/>
      <c r="R11" s="168"/>
      <c r="S11" s="168"/>
      <c r="T11" s="168"/>
      <c r="U11" s="168"/>
      <c r="V11" s="168"/>
      <c r="W11" s="168"/>
      <c r="X11" s="166"/>
      <c r="Y11" s="166"/>
      <c r="Z11" s="244"/>
      <c r="AA11" s="166"/>
      <c r="AB11" s="244"/>
      <c r="AC11" s="166"/>
      <c r="AD11" s="244"/>
      <c r="AE11" s="166"/>
      <c r="AF11" s="244"/>
      <c r="AG11" s="244"/>
      <c r="AH11" s="244"/>
      <c r="AI11" s="244"/>
      <c r="AJ11" s="244"/>
      <c r="AK11" s="244"/>
      <c r="AL11" s="244"/>
      <c r="AM11" s="244"/>
      <c r="AN11" s="244"/>
      <c r="AO11" s="244"/>
      <c r="AP11" s="244"/>
      <c r="AQ11" s="244"/>
    </row>
    <row r="12" spans="1:43" hidden="1" outlineLevel="1">
      <c r="B12" s="165" t="s">
        <v>8</v>
      </c>
      <c r="P12" s="168"/>
      <c r="Q12" s="168"/>
      <c r="R12" s="168"/>
      <c r="S12" s="168"/>
      <c r="T12" s="168"/>
      <c r="U12" s="168"/>
      <c r="V12" s="168"/>
      <c r="W12" s="168"/>
      <c r="X12" s="166"/>
      <c r="Y12" s="166"/>
      <c r="Z12" s="244">
        <f>Z99</f>
        <v>253.2</v>
      </c>
      <c r="AA12" s="166"/>
      <c r="AB12" s="244">
        <f>AB99</f>
        <v>265</v>
      </c>
      <c r="AC12" s="166"/>
      <c r="AD12" s="244">
        <f>AD99</f>
        <v>279</v>
      </c>
      <c r="AE12" s="166"/>
      <c r="AF12" s="244">
        <f t="shared" ref="AF12:AL12" si="7">AF99</f>
        <v>340</v>
      </c>
      <c r="AG12" s="244">
        <f t="shared" si="7"/>
        <v>343</v>
      </c>
      <c r="AH12" s="244">
        <f t="shared" si="7"/>
        <v>344</v>
      </c>
      <c r="AI12" s="244">
        <f t="shared" si="7"/>
        <v>331</v>
      </c>
      <c r="AJ12" s="244">
        <f t="shared" si="7"/>
        <v>389</v>
      </c>
      <c r="AK12" s="244">
        <f t="shared" si="7"/>
        <v>385</v>
      </c>
      <c r="AL12" s="244">
        <f t="shared" si="7"/>
        <v>556</v>
      </c>
      <c r="AM12" s="244">
        <f>AM99</f>
        <v>950</v>
      </c>
      <c r="AN12" s="244">
        <f>AN99</f>
        <v>978</v>
      </c>
      <c r="AO12" s="244">
        <f>AO99</f>
        <v>999</v>
      </c>
      <c r="AP12" s="244">
        <f t="shared" ref="AP12:AQ12" si="8">AP99</f>
        <v>1018</v>
      </c>
      <c r="AQ12" s="244">
        <f t="shared" si="8"/>
        <v>1035</v>
      </c>
    </row>
    <row r="13" spans="1:43" hidden="1" outlineLevel="1">
      <c r="P13" s="168"/>
      <c r="Q13" s="168"/>
      <c r="R13" s="168"/>
      <c r="S13" s="168"/>
      <c r="T13" s="168"/>
      <c r="U13" s="168"/>
      <c r="V13" s="168"/>
      <c r="W13" s="168"/>
      <c r="X13" s="166"/>
      <c r="Y13" s="166"/>
      <c r="Z13" s="244"/>
      <c r="AA13" s="166"/>
      <c r="AB13" s="166"/>
      <c r="AC13" s="166"/>
      <c r="AD13" s="244"/>
      <c r="AE13" s="166"/>
      <c r="AF13" s="244"/>
      <c r="AG13" s="166"/>
      <c r="AH13" s="166"/>
    </row>
    <row r="14" spans="1:43" hidden="1" outlineLevel="1">
      <c r="P14" s="168"/>
      <c r="Q14" s="168"/>
      <c r="R14" s="168"/>
      <c r="S14" s="168"/>
      <c r="T14" s="168"/>
      <c r="U14" s="168"/>
      <c r="V14" s="168"/>
      <c r="W14" s="168"/>
      <c r="X14" s="166"/>
      <c r="Y14" s="166"/>
      <c r="Z14" s="244"/>
      <c r="AA14" s="166"/>
      <c r="AB14" s="166"/>
      <c r="AC14" s="166"/>
      <c r="AD14" s="244"/>
      <c r="AE14" s="166"/>
      <c r="AF14" s="244"/>
      <c r="AG14" s="166"/>
      <c r="AH14" s="166"/>
    </row>
    <row r="15" spans="1:43" ht="27" customHeight="1" collapsed="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O16" s="168"/>
      <c r="P16" s="168"/>
      <c r="Q16" s="168"/>
      <c r="R16" s="168"/>
      <c r="S16" s="168"/>
      <c r="T16" s="168"/>
      <c r="U16" s="168"/>
      <c r="V16" s="168"/>
      <c r="W16" s="168"/>
      <c r="X16" s="169"/>
      <c r="Y16" s="166"/>
      <c r="Z16" s="166"/>
      <c r="AA16" s="166"/>
      <c r="AB16" s="166"/>
      <c r="AC16" s="166"/>
      <c r="AD16" s="166"/>
      <c r="AE16" s="166"/>
      <c r="AF16" s="166"/>
      <c r="AG16" s="166"/>
      <c r="AH16" s="166"/>
    </row>
    <row r="17" spans="2:43">
      <c r="B17" s="170" t="s">
        <v>1200</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66"/>
      <c r="AH17" s="166"/>
    </row>
    <row r="18" spans="2:43">
      <c r="O18" s="168"/>
      <c r="P18" s="168"/>
      <c r="Q18" s="168"/>
      <c r="R18" s="168"/>
      <c r="S18" s="168"/>
      <c r="T18" s="168"/>
      <c r="U18" s="168"/>
      <c r="V18" s="168"/>
      <c r="W18" s="168"/>
      <c r="X18" s="169"/>
      <c r="Y18" s="166"/>
      <c r="Z18" s="166"/>
      <c r="AA18" s="166"/>
      <c r="AB18" s="166"/>
      <c r="AC18" s="166"/>
      <c r="AD18" s="166"/>
      <c r="AE18" s="166"/>
      <c r="AF18" s="166"/>
      <c r="AG18" s="166"/>
      <c r="AH18" s="166"/>
    </row>
    <row r="19" spans="2:43">
      <c r="B19" s="170" t="s">
        <v>259</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66"/>
      <c r="AH19" s="166"/>
    </row>
    <row r="20" spans="2:43">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c r="AG20" s="166"/>
      <c r="AH20" s="166"/>
    </row>
    <row r="21" spans="2:43">
      <c r="O21" s="168"/>
      <c r="P21" s="168"/>
      <c r="Q21" s="168"/>
      <c r="R21" s="168"/>
      <c r="S21" s="168"/>
      <c r="T21" s="168"/>
      <c r="U21" s="168"/>
      <c r="V21" s="168"/>
      <c r="W21" s="168"/>
      <c r="X21" s="257">
        <v>2001</v>
      </c>
      <c r="Y21" s="258"/>
      <c r="Z21" s="257">
        <v>2003</v>
      </c>
      <c r="AA21" s="258"/>
      <c r="AB21" s="257">
        <v>2005</v>
      </c>
      <c r="AC21" s="258"/>
      <c r="AD21" s="257">
        <v>2007</v>
      </c>
      <c r="AE21" s="258"/>
      <c r="AF21" s="257">
        <v>2009</v>
      </c>
      <c r="AG21" s="259">
        <v>2010</v>
      </c>
      <c r="AH21" s="259">
        <v>2011</v>
      </c>
      <c r="AI21" s="259">
        <v>2012</v>
      </c>
      <c r="AJ21" s="259">
        <v>2013</v>
      </c>
      <c r="AK21" s="259">
        <v>2014</v>
      </c>
      <c r="AL21" s="259">
        <v>2015</v>
      </c>
      <c r="AM21" s="259">
        <v>2016</v>
      </c>
      <c r="AN21" s="259">
        <v>2017</v>
      </c>
      <c r="AO21" s="259">
        <v>2018</v>
      </c>
      <c r="AP21" s="259">
        <v>2019</v>
      </c>
      <c r="AQ21" s="259">
        <v>2020</v>
      </c>
    </row>
    <row r="22" spans="2:43">
      <c r="B22" s="933"/>
      <c r="C22" s="623"/>
      <c r="O22" s="168"/>
      <c r="P22" s="168"/>
      <c r="Q22" s="168"/>
      <c r="R22" s="168"/>
      <c r="S22" s="168"/>
      <c r="T22" s="168"/>
      <c r="U22" s="168"/>
      <c r="V22" s="168"/>
      <c r="W22" s="168"/>
      <c r="AG22" s="166"/>
      <c r="AH22" s="166"/>
    </row>
    <row r="23" spans="2:43" ht="15">
      <c r="B23" s="1860" t="s">
        <v>1201</v>
      </c>
      <c r="C23" s="1861"/>
      <c r="D23" s="1861"/>
      <c r="E23" s="1861"/>
      <c r="F23" s="1861"/>
      <c r="G23" s="1861"/>
      <c r="H23" s="1861"/>
      <c r="I23" s="1861"/>
      <c r="J23" s="1861"/>
      <c r="K23" s="1861"/>
      <c r="L23" s="1861"/>
      <c r="M23" s="1861"/>
      <c r="N23" s="1861"/>
      <c r="O23" s="1861"/>
      <c r="P23" s="1861"/>
      <c r="Q23" s="1861"/>
      <c r="R23" s="1861"/>
      <c r="S23" s="1861"/>
      <c r="T23" s="1861"/>
      <c r="U23" s="1861"/>
      <c r="V23" s="1861"/>
      <c r="W23" s="1861"/>
      <c r="X23" s="244" t="s">
        <v>237</v>
      </c>
      <c r="Y23" s="1862"/>
      <c r="Z23" s="244">
        <v>866.1</v>
      </c>
      <c r="AA23" s="1862"/>
      <c r="AB23" s="244">
        <v>1138.2</v>
      </c>
      <c r="AC23" s="1862"/>
      <c r="AD23" s="244">
        <v>1404</v>
      </c>
      <c r="AE23" s="1862"/>
      <c r="AF23" s="244">
        <v>1546</v>
      </c>
      <c r="AG23" s="166">
        <v>1689</v>
      </c>
      <c r="AH23" s="166">
        <v>1845</v>
      </c>
      <c r="AI23" s="166">
        <v>1907</v>
      </c>
      <c r="AJ23" s="166">
        <v>2822</v>
      </c>
      <c r="AK23" s="166">
        <v>2868</v>
      </c>
      <c r="AL23" s="166">
        <v>2742</v>
      </c>
      <c r="AM23" s="166">
        <v>2855</v>
      </c>
      <c r="AN23" s="166">
        <v>2962</v>
      </c>
      <c r="AO23" s="166">
        <v>2992</v>
      </c>
      <c r="AP23" s="166">
        <v>3159</v>
      </c>
      <c r="AQ23" s="166"/>
    </row>
    <row r="24" spans="2:43" ht="15">
      <c r="B24" s="1863"/>
      <c r="C24" s="1864"/>
      <c r="D24" s="1864"/>
      <c r="E24" s="1864"/>
      <c r="F24" s="1864"/>
      <c r="G24" s="1864"/>
      <c r="H24" s="1864"/>
      <c r="I24" s="1864"/>
      <c r="J24" s="1864"/>
      <c r="K24" s="1864"/>
      <c r="L24" s="1864"/>
      <c r="M24" s="1864"/>
      <c r="N24" s="1864"/>
      <c r="O24" s="1864"/>
      <c r="P24" s="1864"/>
      <c r="Q24" s="1864"/>
      <c r="R24" s="1864"/>
      <c r="S24" s="1864"/>
      <c r="T24" s="1864"/>
      <c r="U24" s="1864"/>
      <c r="V24" s="1864"/>
      <c r="W24" s="1864"/>
      <c r="X24" s="1865"/>
      <c r="Y24" s="1865"/>
      <c r="Z24" s="931"/>
      <c r="AA24" s="1865"/>
      <c r="AB24" s="1865"/>
      <c r="AC24" s="1865"/>
      <c r="AD24" s="931"/>
      <c r="AE24" s="1865"/>
      <c r="AF24" s="931"/>
      <c r="AG24" s="931"/>
      <c r="AH24" s="931"/>
      <c r="AI24" s="931"/>
      <c r="AJ24" s="931"/>
      <c r="AK24" s="931"/>
      <c r="AL24" s="931"/>
      <c r="AM24" s="931"/>
      <c r="AN24" s="931"/>
      <c r="AO24" s="931"/>
      <c r="AP24" s="931"/>
      <c r="AQ24" s="931"/>
    </row>
    <row r="25" spans="2:43" ht="15">
      <c r="B25" s="1860"/>
      <c r="C25" s="1861"/>
      <c r="D25" s="1861"/>
      <c r="E25" s="1861"/>
      <c r="F25" s="1861"/>
      <c r="G25" s="1861"/>
      <c r="H25" s="1861"/>
      <c r="I25" s="1861"/>
      <c r="J25" s="1861"/>
      <c r="K25" s="1861"/>
      <c r="L25" s="1861"/>
      <c r="M25" s="1861"/>
      <c r="N25" s="1861"/>
      <c r="O25" s="1861"/>
      <c r="P25" s="1861"/>
      <c r="Q25" s="1861"/>
      <c r="R25" s="1861"/>
      <c r="S25" s="1861"/>
      <c r="T25" s="1861"/>
      <c r="U25" s="1861"/>
      <c r="V25" s="1861"/>
      <c r="W25" s="1861"/>
      <c r="X25" s="1862"/>
      <c r="Y25" s="1862"/>
      <c r="Z25" s="244"/>
      <c r="AA25" s="1862"/>
      <c r="AB25" s="1862"/>
      <c r="AC25" s="1862"/>
      <c r="AD25" s="244"/>
      <c r="AE25" s="1862"/>
      <c r="AF25" s="244"/>
      <c r="AG25" s="166"/>
      <c r="AH25" s="166"/>
    </row>
    <row r="26" spans="2:43" ht="15" customHeight="1">
      <c r="B26" s="1922" t="s">
        <v>1202</v>
      </c>
      <c r="C26" s="1923"/>
      <c r="D26" s="1923"/>
      <c r="E26" s="1923"/>
      <c r="F26" s="1923"/>
      <c r="G26" s="1923"/>
      <c r="H26" s="1923"/>
      <c r="I26" s="1923"/>
      <c r="J26" s="1923"/>
      <c r="K26" s="1923"/>
      <c r="L26" s="1923"/>
      <c r="M26" s="1923"/>
      <c r="N26" s="1923"/>
      <c r="O26" s="1923"/>
      <c r="P26" s="1923"/>
      <c r="Q26" s="1923"/>
      <c r="R26" s="1923"/>
      <c r="S26" s="1923"/>
      <c r="T26" s="1923"/>
      <c r="U26" s="1923"/>
      <c r="V26" s="1923"/>
      <c r="W26" s="1923"/>
      <c r="X26" s="1923"/>
      <c r="Y26" s="1923"/>
      <c r="Z26" s="1923"/>
      <c r="AA26" s="1923"/>
      <c r="AB26" s="1923"/>
      <c r="AC26" s="1923"/>
      <c r="AD26" s="1923"/>
      <c r="AE26" s="1923"/>
      <c r="AF26" s="1923"/>
      <c r="AG26" s="166"/>
      <c r="AH26" s="166"/>
    </row>
    <row r="27" spans="2:43">
      <c r="P27" s="168"/>
      <c r="Q27" s="168"/>
      <c r="R27" s="168"/>
      <c r="S27" s="168"/>
      <c r="T27" s="168"/>
      <c r="U27" s="168"/>
      <c r="V27" s="168"/>
      <c r="W27" s="168"/>
      <c r="X27" s="166"/>
      <c r="Y27" s="166"/>
      <c r="Z27" s="244"/>
      <c r="AA27" s="166"/>
      <c r="AB27" s="166"/>
      <c r="AC27" s="166"/>
      <c r="AD27" s="244"/>
      <c r="AE27" s="166"/>
      <c r="AF27" s="244"/>
      <c r="AG27" s="166"/>
      <c r="AH27" s="166"/>
    </row>
    <row r="28" spans="2:43" hidden="1">
      <c r="P28" s="168"/>
      <c r="Q28" s="168"/>
      <c r="R28" s="168"/>
      <c r="S28" s="168"/>
      <c r="T28" s="168"/>
      <c r="U28" s="168"/>
      <c r="V28" s="168"/>
      <c r="W28" s="168"/>
      <c r="X28" s="166"/>
      <c r="Y28" s="166"/>
      <c r="Z28" s="244"/>
      <c r="AA28" s="166"/>
      <c r="AB28" s="166"/>
      <c r="AC28" s="166"/>
      <c r="AD28" s="244"/>
      <c r="AE28" s="166"/>
      <c r="AF28" s="244"/>
      <c r="AG28" s="166"/>
      <c r="AH28" s="166"/>
    </row>
    <row r="29" spans="2:43" hidden="1">
      <c r="P29" s="168"/>
      <c r="Q29" s="168"/>
      <c r="R29" s="168"/>
      <c r="S29" s="168"/>
      <c r="T29" s="168"/>
      <c r="U29" s="168"/>
      <c r="V29" s="168"/>
      <c r="W29" s="168"/>
      <c r="X29" s="166"/>
      <c r="Y29" s="166"/>
      <c r="Z29" s="244"/>
      <c r="AA29" s="166"/>
      <c r="AB29" s="166"/>
      <c r="AC29" s="166"/>
      <c r="AD29" s="244"/>
      <c r="AE29" s="166"/>
      <c r="AF29" s="244"/>
      <c r="AG29" s="166"/>
      <c r="AH29" s="166"/>
    </row>
    <row r="30" spans="2:43" hidden="1">
      <c r="P30" s="168"/>
      <c r="Q30" s="168"/>
      <c r="R30" s="168"/>
      <c r="S30" s="168"/>
      <c r="T30" s="168"/>
      <c r="U30" s="168"/>
      <c r="V30" s="168"/>
      <c r="W30" s="168"/>
      <c r="X30" s="166"/>
      <c r="Y30" s="166"/>
      <c r="Z30" s="244"/>
      <c r="AA30" s="166"/>
      <c r="AB30" s="166"/>
      <c r="AC30" s="166"/>
      <c r="AD30" s="244"/>
      <c r="AE30" s="166"/>
      <c r="AF30" s="244"/>
      <c r="AG30" s="166"/>
      <c r="AH30" s="166"/>
    </row>
    <row r="31" spans="2:43" hidden="1">
      <c r="P31" s="168"/>
      <c r="Q31" s="168"/>
      <c r="R31" s="168"/>
      <c r="S31" s="168"/>
      <c r="T31" s="168"/>
      <c r="U31" s="168"/>
      <c r="V31" s="168"/>
      <c r="W31" s="168"/>
      <c r="X31" s="166"/>
      <c r="Y31" s="166"/>
      <c r="Z31" s="244"/>
      <c r="AA31" s="166"/>
      <c r="AB31" s="166"/>
      <c r="AC31" s="166"/>
      <c r="AD31" s="244"/>
      <c r="AE31" s="166"/>
      <c r="AF31" s="244"/>
      <c r="AG31" s="166"/>
      <c r="AH31" s="166"/>
    </row>
    <row r="32" spans="2:43" hidden="1">
      <c r="P32" s="168"/>
      <c r="Q32" s="168"/>
      <c r="R32" s="168"/>
      <c r="S32" s="168"/>
      <c r="T32" s="168"/>
      <c r="U32" s="168"/>
      <c r="V32" s="168"/>
      <c r="W32" s="168"/>
      <c r="X32" s="166"/>
      <c r="Y32" s="166"/>
      <c r="Z32" s="244"/>
      <c r="AA32" s="166"/>
      <c r="AB32" s="166"/>
      <c r="AC32" s="166"/>
      <c r="AD32" s="244"/>
      <c r="AE32" s="166"/>
      <c r="AF32" s="244"/>
      <c r="AG32" s="166"/>
      <c r="AH32" s="166"/>
    </row>
    <row r="33" spans="16:34" hidden="1">
      <c r="P33" s="168"/>
      <c r="Q33" s="168"/>
      <c r="R33" s="168"/>
      <c r="S33" s="168"/>
      <c r="T33" s="168"/>
      <c r="U33" s="168"/>
      <c r="V33" s="168"/>
      <c r="W33" s="168"/>
      <c r="X33" s="166"/>
      <c r="Y33" s="166"/>
      <c r="Z33" s="244"/>
      <c r="AA33" s="166"/>
      <c r="AB33" s="166"/>
      <c r="AC33" s="166"/>
      <c r="AD33" s="244"/>
      <c r="AE33" s="166"/>
      <c r="AF33" s="244"/>
      <c r="AG33" s="166"/>
      <c r="AH33" s="166"/>
    </row>
    <row r="34" spans="16:34" hidden="1">
      <c r="P34" s="168"/>
      <c r="Q34" s="168"/>
      <c r="R34" s="168"/>
      <c r="S34" s="168"/>
      <c r="T34" s="168"/>
      <c r="U34" s="168"/>
      <c r="V34" s="168"/>
      <c r="W34" s="168"/>
      <c r="X34" s="166"/>
      <c r="Y34" s="166"/>
      <c r="Z34" s="244"/>
      <c r="AA34" s="166"/>
      <c r="AB34" s="166"/>
      <c r="AC34" s="166"/>
      <c r="AD34" s="244"/>
      <c r="AE34" s="166"/>
      <c r="AF34" s="244"/>
      <c r="AG34" s="166"/>
      <c r="AH34" s="166"/>
    </row>
    <row r="35" spans="16:34" hidden="1">
      <c r="P35" s="168"/>
      <c r="Q35" s="168"/>
      <c r="R35" s="168"/>
      <c r="S35" s="168"/>
      <c r="T35" s="168"/>
      <c r="U35" s="168"/>
      <c r="V35" s="168"/>
      <c r="W35" s="168"/>
      <c r="X35" s="166"/>
      <c r="Y35" s="166"/>
      <c r="Z35" s="244"/>
      <c r="AA35" s="166"/>
      <c r="AB35" s="166"/>
      <c r="AC35" s="166"/>
      <c r="AD35" s="244"/>
      <c r="AE35" s="166"/>
      <c r="AF35" s="244"/>
      <c r="AG35" s="166"/>
      <c r="AH35" s="166"/>
    </row>
    <row r="36" spans="16:34" hidden="1">
      <c r="P36" s="168"/>
      <c r="Q36" s="168"/>
      <c r="R36" s="168"/>
      <c r="S36" s="168"/>
      <c r="T36" s="168"/>
      <c r="U36" s="168"/>
      <c r="V36" s="168"/>
      <c r="W36" s="168"/>
      <c r="X36" s="166"/>
      <c r="Y36" s="166"/>
      <c r="Z36" s="244"/>
      <c r="AA36" s="166"/>
      <c r="AB36" s="166"/>
      <c r="AC36" s="166"/>
      <c r="AD36" s="244"/>
      <c r="AE36" s="166"/>
      <c r="AF36" s="244"/>
      <c r="AG36" s="166"/>
      <c r="AH36" s="166"/>
    </row>
    <row r="37" spans="16:34" hidden="1">
      <c r="P37" s="168"/>
      <c r="Q37" s="168"/>
      <c r="R37" s="168"/>
      <c r="S37" s="168"/>
      <c r="T37" s="168"/>
      <c r="U37" s="168"/>
      <c r="V37" s="168"/>
      <c r="W37" s="168"/>
      <c r="X37" s="166"/>
      <c r="Y37" s="166"/>
      <c r="Z37" s="244"/>
      <c r="AA37" s="166"/>
      <c r="AB37" s="166"/>
      <c r="AC37" s="166"/>
      <c r="AD37" s="244"/>
      <c r="AE37" s="166"/>
      <c r="AF37" s="244"/>
      <c r="AG37" s="166"/>
      <c r="AH37" s="166"/>
    </row>
    <row r="38" spans="16:34" hidden="1">
      <c r="P38" s="168"/>
      <c r="Q38" s="168"/>
      <c r="R38" s="168"/>
      <c r="S38" s="168"/>
      <c r="T38" s="168"/>
      <c r="U38" s="168"/>
      <c r="V38" s="168"/>
      <c r="W38" s="168"/>
      <c r="X38" s="166"/>
      <c r="Y38" s="166"/>
      <c r="Z38" s="244"/>
      <c r="AA38" s="166"/>
      <c r="AB38" s="166"/>
      <c r="AC38" s="166"/>
      <c r="AD38" s="244"/>
      <c r="AE38" s="166"/>
      <c r="AF38" s="244"/>
      <c r="AG38" s="166"/>
      <c r="AH38" s="166"/>
    </row>
    <row r="39" spans="16:34" hidden="1">
      <c r="P39" s="168"/>
      <c r="Q39" s="168"/>
      <c r="R39" s="168"/>
      <c r="S39" s="168"/>
      <c r="T39" s="168"/>
      <c r="U39" s="168"/>
      <c r="V39" s="168"/>
      <c r="W39" s="168"/>
      <c r="X39" s="166"/>
      <c r="Y39" s="166"/>
      <c r="Z39" s="244"/>
      <c r="AA39" s="166"/>
      <c r="AB39" s="166"/>
      <c r="AC39" s="166"/>
      <c r="AD39" s="244"/>
      <c r="AE39" s="166"/>
      <c r="AF39" s="244"/>
      <c r="AG39" s="166"/>
      <c r="AH39" s="166"/>
    </row>
    <row r="40" spans="16:34" hidden="1">
      <c r="P40" s="168"/>
      <c r="Q40" s="168"/>
      <c r="R40" s="168"/>
      <c r="S40" s="168"/>
      <c r="T40" s="168"/>
      <c r="U40" s="168"/>
      <c r="V40" s="168"/>
      <c r="W40" s="168"/>
      <c r="X40" s="166"/>
      <c r="Y40" s="166"/>
      <c r="Z40" s="244"/>
      <c r="AA40" s="166"/>
      <c r="AB40" s="166"/>
      <c r="AC40" s="166"/>
      <c r="AD40" s="244"/>
      <c r="AE40" s="166"/>
      <c r="AF40" s="244"/>
      <c r="AG40" s="166"/>
      <c r="AH40" s="166"/>
    </row>
    <row r="41" spans="16:34" hidden="1">
      <c r="P41" s="168"/>
      <c r="Q41" s="168"/>
      <c r="R41" s="168"/>
      <c r="S41" s="168"/>
      <c r="T41" s="168"/>
      <c r="U41" s="168"/>
      <c r="V41" s="168"/>
      <c r="W41" s="168"/>
      <c r="X41" s="166"/>
      <c r="Y41" s="166"/>
      <c r="Z41" s="244"/>
      <c r="AA41" s="166"/>
      <c r="AB41" s="166"/>
      <c r="AC41" s="166"/>
      <c r="AD41" s="244"/>
      <c r="AE41" s="166"/>
      <c r="AF41" s="244"/>
      <c r="AG41" s="166"/>
      <c r="AH41" s="166"/>
    </row>
    <row r="42" spans="16:34" hidden="1">
      <c r="P42" s="168"/>
      <c r="Q42" s="168"/>
      <c r="R42" s="168"/>
      <c r="S42" s="168"/>
      <c r="T42" s="168"/>
      <c r="U42" s="168"/>
      <c r="V42" s="168"/>
      <c r="W42" s="168"/>
      <c r="X42" s="166"/>
      <c r="Y42" s="166"/>
      <c r="Z42" s="244"/>
      <c r="AA42" s="166"/>
      <c r="AB42" s="166"/>
      <c r="AC42" s="166"/>
      <c r="AD42" s="244"/>
      <c r="AE42" s="166"/>
      <c r="AF42" s="244"/>
      <c r="AG42" s="166"/>
      <c r="AH42" s="166"/>
    </row>
    <row r="43" spans="16:34" hidden="1">
      <c r="P43" s="168"/>
      <c r="Q43" s="168"/>
      <c r="R43" s="168"/>
      <c r="S43" s="168"/>
      <c r="T43" s="168"/>
      <c r="U43" s="168"/>
      <c r="V43" s="168"/>
      <c r="W43" s="168"/>
      <c r="X43" s="166"/>
      <c r="Y43" s="166"/>
      <c r="Z43" s="244"/>
      <c r="AA43" s="166"/>
      <c r="AB43" s="166"/>
      <c r="AC43" s="166"/>
      <c r="AD43" s="244"/>
      <c r="AE43" s="166"/>
      <c r="AF43" s="244"/>
      <c r="AG43" s="166"/>
      <c r="AH43" s="166"/>
    </row>
    <row r="44" spans="16:34" hidden="1">
      <c r="P44" s="168"/>
      <c r="Q44" s="168"/>
      <c r="R44" s="168"/>
      <c r="S44" s="168"/>
      <c r="T44" s="168"/>
      <c r="U44" s="168"/>
      <c r="V44" s="168"/>
      <c r="W44" s="168"/>
      <c r="X44" s="166"/>
      <c r="Y44" s="166"/>
      <c r="Z44" s="244"/>
      <c r="AA44" s="166"/>
      <c r="AB44" s="166"/>
      <c r="AC44" s="166"/>
      <c r="AD44" s="244"/>
      <c r="AE44" s="166"/>
      <c r="AF44" s="244"/>
      <c r="AG44" s="166"/>
      <c r="AH44" s="166"/>
    </row>
    <row r="45" spans="16:34" hidden="1">
      <c r="P45" s="168"/>
      <c r="Q45" s="168"/>
      <c r="R45" s="168"/>
      <c r="S45" s="168"/>
      <c r="T45" s="168"/>
      <c r="U45" s="168"/>
      <c r="V45" s="168"/>
      <c r="W45" s="168"/>
      <c r="X45" s="166"/>
      <c r="Y45" s="166"/>
      <c r="Z45" s="244"/>
      <c r="AA45" s="166"/>
      <c r="AB45" s="166"/>
      <c r="AC45" s="166"/>
      <c r="AD45" s="244"/>
      <c r="AE45" s="166"/>
      <c r="AF45" s="244"/>
      <c r="AG45" s="166"/>
      <c r="AH45" s="166"/>
    </row>
    <row r="46" spans="16:34" hidden="1">
      <c r="P46" s="168"/>
      <c r="Q46" s="168"/>
      <c r="R46" s="168"/>
      <c r="S46" s="168"/>
      <c r="T46" s="168"/>
      <c r="U46" s="168"/>
      <c r="V46" s="168"/>
      <c r="W46" s="168"/>
      <c r="X46" s="166"/>
      <c r="Y46" s="166"/>
      <c r="Z46" s="244"/>
      <c r="AA46" s="166"/>
      <c r="AB46" s="166"/>
      <c r="AC46" s="166"/>
      <c r="AD46" s="244"/>
      <c r="AE46" s="166"/>
      <c r="AF46" s="244"/>
      <c r="AG46" s="166"/>
      <c r="AH46" s="166"/>
    </row>
    <row r="47" spans="16:34" hidden="1">
      <c r="P47" s="168"/>
      <c r="Q47" s="168"/>
      <c r="R47" s="168"/>
      <c r="S47" s="168"/>
      <c r="T47" s="168"/>
      <c r="U47" s="168"/>
      <c r="V47" s="168"/>
      <c r="W47" s="168"/>
      <c r="X47" s="166"/>
      <c r="Y47" s="166"/>
      <c r="Z47" s="244"/>
      <c r="AA47" s="166"/>
      <c r="AB47" s="166"/>
      <c r="AC47" s="166"/>
      <c r="AD47" s="244"/>
      <c r="AE47" s="166"/>
      <c r="AF47" s="244"/>
      <c r="AG47" s="166"/>
      <c r="AH47" s="166"/>
    </row>
    <row r="48" spans="16:34" hidden="1">
      <c r="P48" s="168"/>
      <c r="Q48" s="168"/>
      <c r="R48" s="168"/>
      <c r="S48" s="168"/>
      <c r="T48" s="168"/>
      <c r="U48" s="168"/>
      <c r="V48" s="168"/>
      <c r="W48" s="168"/>
      <c r="X48" s="166"/>
      <c r="Y48" s="166"/>
      <c r="Z48" s="244"/>
      <c r="AA48" s="166"/>
      <c r="AB48" s="166"/>
      <c r="AC48" s="166"/>
      <c r="AD48" s="244"/>
      <c r="AE48" s="166"/>
      <c r="AF48" s="244"/>
      <c r="AG48" s="166"/>
      <c r="AH48" s="166"/>
    </row>
    <row r="49" spans="2:43" hidden="1">
      <c r="P49" s="168"/>
      <c r="Q49" s="168"/>
      <c r="R49" s="168"/>
      <c r="S49" s="168"/>
      <c r="T49" s="168"/>
      <c r="U49" s="168"/>
      <c r="V49" s="168"/>
      <c r="W49" s="168"/>
      <c r="X49" s="166"/>
      <c r="Y49" s="166"/>
      <c r="Z49" s="244"/>
      <c r="AA49" s="166"/>
      <c r="AB49" s="166"/>
      <c r="AC49" s="166"/>
      <c r="AD49" s="244"/>
      <c r="AE49" s="166"/>
      <c r="AF49" s="244"/>
      <c r="AG49" s="166"/>
      <c r="AH49" s="166"/>
    </row>
    <row r="50" spans="2:43" hidden="1">
      <c r="P50" s="168"/>
      <c r="Q50" s="168"/>
      <c r="R50" s="168"/>
      <c r="S50" s="168"/>
      <c r="T50" s="168"/>
      <c r="U50" s="168"/>
      <c r="V50" s="168"/>
      <c r="W50" s="168"/>
      <c r="X50" s="166"/>
      <c r="Y50" s="166"/>
      <c r="Z50" s="244"/>
      <c r="AA50" s="166"/>
      <c r="AB50" s="166"/>
      <c r="AC50" s="166"/>
      <c r="AD50" s="244"/>
      <c r="AE50" s="166"/>
      <c r="AF50" s="244"/>
      <c r="AG50" s="166"/>
      <c r="AH50" s="166"/>
    </row>
    <row r="51" spans="2:43" hidden="1">
      <c r="P51" s="168"/>
      <c r="Q51" s="168"/>
      <c r="R51" s="168"/>
      <c r="S51" s="168"/>
      <c r="T51" s="168"/>
      <c r="U51" s="168"/>
      <c r="V51" s="168"/>
      <c r="W51" s="168"/>
      <c r="X51" s="166"/>
      <c r="Y51" s="166"/>
      <c r="Z51" s="244"/>
      <c r="AA51" s="166"/>
      <c r="AB51" s="166"/>
      <c r="AC51" s="166"/>
      <c r="AD51" s="244"/>
      <c r="AE51" s="166"/>
      <c r="AF51" s="244"/>
      <c r="AG51" s="166"/>
      <c r="AH51" s="166"/>
    </row>
    <row r="52" spans="2:43" hidden="1">
      <c r="P52" s="168"/>
      <c r="Q52" s="168"/>
      <c r="R52" s="168"/>
      <c r="S52" s="168"/>
      <c r="T52" s="168"/>
      <c r="U52" s="168"/>
      <c r="V52" s="168"/>
      <c r="W52" s="168"/>
      <c r="X52" s="166"/>
      <c r="Y52" s="166"/>
      <c r="Z52" s="244"/>
      <c r="AA52" s="166"/>
      <c r="AB52" s="166"/>
      <c r="AC52" s="166"/>
      <c r="AD52" s="244"/>
      <c r="AE52" s="166"/>
      <c r="AF52" s="244"/>
      <c r="AG52" s="166"/>
      <c r="AH52" s="166"/>
    </row>
    <row r="53" spans="2:43" hidden="1">
      <c r="P53" s="168"/>
      <c r="Q53" s="168"/>
      <c r="R53" s="168"/>
      <c r="S53" s="168"/>
      <c r="T53" s="168"/>
      <c r="U53" s="168"/>
      <c r="V53" s="168"/>
      <c r="W53" s="168"/>
      <c r="X53" s="166"/>
      <c r="Y53" s="166"/>
      <c r="Z53" s="244"/>
      <c r="AA53" s="166"/>
      <c r="AB53" s="166"/>
      <c r="AC53" s="166"/>
      <c r="AD53" s="244"/>
      <c r="AE53" s="166"/>
      <c r="AF53" s="244"/>
      <c r="AG53" s="166"/>
      <c r="AH53" s="166"/>
    </row>
    <row r="54" spans="2:43" hidden="1">
      <c r="P54" s="168"/>
      <c r="Q54" s="168"/>
      <c r="R54" s="168"/>
      <c r="S54" s="168"/>
      <c r="T54" s="168"/>
      <c r="U54" s="168"/>
      <c r="V54" s="168"/>
      <c r="W54" s="168"/>
      <c r="X54" s="166"/>
      <c r="Y54" s="166"/>
      <c r="Z54" s="244"/>
      <c r="AA54" s="166"/>
      <c r="AB54" s="166"/>
      <c r="AC54" s="166"/>
      <c r="AD54" s="244"/>
      <c r="AE54" s="166"/>
      <c r="AF54" s="244"/>
      <c r="AG54" s="166"/>
      <c r="AH54" s="166"/>
    </row>
    <row r="55" spans="2:43" hidden="1">
      <c r="P55" s="168"/>
      <c r="Q55" s="168"/>
      <c r="R55" s="168"/>
      <c r="S55" s="168"/>
      <c r="T55" s="168"/>
      <c r="U55" s="168"/>
      <c r="V55" s="168"/>
      <c r="W55" s="168"/>
      <c r="X55" s="166"/>
      <c r="Y55" s="166"/>
      <c r="Z55" s="244"/>
      <c r="AA55" s="166"/>
      <c r="AB55" s="166"/>
      <c r="AC55" s="166"/>
      <c r="AD55" s="244"/>
      <c r="AE55" s="166"/>
      <c r="AF55" s="244"/>
      <c r="AG55" s="166"/>
      <c r="AH55" s="166"/>
    </row>
    <row r="56" spans="2:43" hidden="1">
      <c r="P56" s="168"/>
      <c r="Q56" s="168"/>
      <c r="R56" s="168"/>
      <c r="S56" s="168"/>
      <c r="T56" s="168"/>
      <c r="U56" s="168"/>
      <c r="V56" s="168"/>
      <c r="W56" s="168"/>
      <c r="X56" s="166"/>
      <c r="Y56" s="166"/>
      <c r="Z56" s="244"/>
      <c r="AA56" s="166"/>
      <c r="AB56" s="166"/>
      <c r="AC56" s="166"/>
      <c r="AD56" s="244"/>
      <c r="AE56" s="166"/>
      <c r="AF56" s="244"/>
      <c r="AG56" s="166"/>
      <c r="AH56" s="166"/>
    </row>
    <row r="57" spans="2:43" hidden="1">
      <c r="P57" s="168"/>
      <c r="Q57" s="168"/>
      <c r="R57" s="168"/>
      <c r="S57" s="168"/>
      <c r="T57" s="168"/>
      <c r="U57" s="168"/>
      <c r="V57" s="168"/>
      <c r="W57" s="168"/>
      <c r="X57" s="166"/>
      <c r="Y57" s="166"/>
      <c r="Z57" s="244"/>
      <c r="AA57" s="166"/>
      <c r="AB57" s="166"/>
      <c r="AC57" s="166"/>
      <c r="AD57" s="244"/>
      <c r="AE57" s="166"/>
      <c r="AF57" s="244"/>
      <c r="AG57" s="166"/>
      <c r="AH57" s="166"/>
    </row>
    <row r="58" spans="2:43" hidden="1">
      <c r="P58" s="168"/>
      <c r="Q58" s="168"/>
      <c r="R58" s="168"/>
      <c r="S58" s="168"/>
      <c r="T58" s="168"/>
      <c r="U58" s="168"/>
      <c r="V58" s="168"/>
      <c r="W58" s="168"/>
      <c r="X58" s="166"/>
      <c r="Y58" s="166"/>
      <c r="Z58" s="244"/>
      <c r="AA58" s="166"/>
      <c r="AB58" s="166"/>
      <c r="AC58" s="166"/>
      <c r="AD58" s="244"/>
      <c r="AE58" s="166"/>
      <c r="AF58" s="244"/>
      <c r="AG58" s="166"/>
      <c r="AH58" s="166"/>
    </row>
    <row r="59" spans="2:43">
      <c r="P59" s="168"/>
      <c r="Q59" s="168"/>
      <c r="R59" s="168"/>
      <c r="S59" s="168"/>
      <c r="T59" s="168"/>
      <c r="U59" s="168"/>
      <c r="V59" s="168"/>
      <c r="W59" s="168"/>
      <c r="X59" s="166"/>
      <c r="Y59" s="166"/>
      <c r="Z59" s="244"/>
      <c r="AA59" s="166"/>
      <c r="AB59" s="166"/>
      <c r="AC59" s="166"/>
      <c r="AD59" s="244"/>
      <c r="AE59" s="166"/>
      <c r="AF59" s="244"/>
      <c r="AG59" s="166"/>
      <c r="AH59" s="166"/>
    </row>
    <row r="60" spans="2:43"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66"/>
      <c r="AH60" s="166"/>
    </row>
    <row r="61" spans="2:43"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66"/>
      <c r="AH61" s="166"/>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66"/>
      <c r="AH62" s="166"/>
    </row>
    <row r="63" spans="2:43" outlineLevel="1">
      <c r="B63" s="165" t="s">
        <v>1198</v>
      </c>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201"/>
      <c r="AF63" s="202">
        <v>2009</v>
      </c>
      <c r="AG63" s="259">
        <v>2010</v>
      </c>
      <c r="AH63" s="259">
        <v>2011</v>
      </c>
      <c r="AI63" s="259">
        <v>2012</v>
      </c>
      <c r="AJ63" s="259">
        <v>2013</v>
      </c>
      <c r="AK63" s="259">
        <v>2014</v>
      </c>
      <c r="AL63" s="259">
        <v>2015</v>
      </c>
      <c r="AM63" s="259">
        <v>2016</v>
      </c>
      <c r="AN63" s="259">
        <v>2017</v>
      </c>
      <c r="AO63" s="259">
        <v>2018</v>
      </c>
      <c r="AP63" s="259">
        <v>2019</v>
      </c>
      <c r="AQ63" s="259">
        <v>2020</v>
      </c>
    </row>
    <row r="64" spans="2:43" outlineLevel="1">
      <c r="B64" s="165" t="s">
        <v>1696</v>
      </c>
      <c r="E64" s="167"/>
      <c r="F64" s="167"/>
      <c r="G64" s="167"/>
      <c r="H64" s="167"/>
      <c r="I64" s="167"/>
      <c r="J64" s="167"/>
      <c r="K64" s="167"/>
      <c r="L64" s="167"/>
      <c r="M64" s="167"/>
      <c r="N64" s="167"/>
      <c r="O64" s="197"/>
      <c r="P64" s="198"/>
      <c r="Q64" s="199"/>
      <c r="R64" s="198"/>
      <c r="S64" s="198"/>
      <c r="T64" s="198"/>
      <c r="U64" s="198"/>
      <c r="V64" s="198"/>
      <c r="W64" s="198"/>
      <c r="Y64" s="203"/>
      <c r="AA64" s="203"/>
      <c r="AC64" s="203"/>
      <c r="AE64" s="203"/>
    </row>
    <row r="65" spans="2:43" outlineLevel="1">
      <c r="B65" s="204" t="s">
        <v>28</v>
      </c>
      <c r="C65" s="165" t="s">
        <v>29</v>
      </c>
      <c r="E65" s="167"/>
      <c r="F65" s="167"/>
      <c r="G65" s="167"/>
      <c r="H65" s="167"/>
      <c r="I65" s="167"/>
      <c r="J65" s="167"/>
      <c r="K65" s="167"/>
      <c r="L65" s="167"/>
      <c r="M65" s="167"/>
      <c r="N65" s="167"/>
      <c r="O65" s="197"/>
      <c r="P65" s="198"/>
      <c r="Q65" s="199"/>
      <c r="R65" s="198"/>
      <c r="S65" s="198"/>
      <c r="T65" s="198"/>
      <c r="U65" s="198"/>
      <c r="V65" s="198"/>
      <c r="W65" s="198"/>
      <c r="X65" s="166">
        <v>72751</v>
      </c>
      <c r="Z65" s="166">
        <v>92290.73</v>
      </c>
      <c r="AA65" s="75">
        <v>96864.301999999996</v>
      </c>
      <c r="AB65" s="166">
        <v>102159.325</v>
      </c>
      <c r="AC65" s="75">
        <v>107380.666</v>
      </c>
      <c r="AD65" s="166">
        <v>113802.726</v>
      </c>
      <c r="AE65" s="75">
        <v>118575.067</v>
      </c>
      <c r="AF65" s="166">
        <v>113594.117</v>
      </c>
      <c r="AG65" s="166">
        <v>118409.344</v>
      </c>
      <c r="AH65" s="166">
        <v>116024.011</v>
      </c>
      <c r="AI65" s="166">
        <v>111844.807</v>
      </c>
      <c r="AJ65" s="166">
        <v>111538.10400000001</v>
      </c>
      <c r="AK65" s="166">
        <v>114449.55899999999</v>
      </c>
      <c r="AL65" s="166">
        <v>117810.348</v>
      </c>
      <c r="AM65" s="166">
        <v>122024.35</v>
      </c>
      <c r="AN65" s="166">
        <v>126541.031</v>
      </c>
      <c r="AO65" s="166">
        <v>131871.269</v>
      </c>
      <c r="AP65" s="166">
        <v>137324.16500000001</v>
      </c>
      <c r="AQ65" s="166">
        <v>128483.43399999999</v>
      </c>
    </row>
    <row r="66" spans="2:43" ht="5.0999999999999996" customHeight="1" outlineLevel="1">
      <c r="B66" s="75"/>
      <c r="E66" s="167"/>
      <c r="F66" s="167"/>
      <c r="G66" s="167"/>
      <c r="H66" s="167"/>
      <c r="I66" s="167"/>
      <c r="J66" s="167"/>
      <c r="K66" s="167"/>
      <c r="L66" s="167"/>
      <c r="M66" s="167"/>
      <c r="N66" s="167"/>
      <c r="O66" s="197"/>
      <c r="P66" s="198"/>
      <c r="Q66" s="199"/>
      <c r="R66" s="198"/>
      <c r="S66" s="198"/>
      <c r="T66" s="198"/>
      <c r="U66" s="198"/>
      <c r="V66" s="198"/>
      <c r="W66" s="198"/>
      <c r="X66" s="166"/>
      <c r="Z66" s="166"/>
      <c r="AB66" s="166"/>
      <c r="AD66" s="166"/>
      <c r="AF66" s="166"/>
      <c r="AG66" s="166"/>
      <c r="AH66" s="166"/>
      <c r="AI66" s="166"/>
      <c r="AJ66" s="166"/>
      <c r="AK66" s="166"/>
      <c r="AL66" s="166"/>
      <c r="AM66" s="166"/>
      <c r="AN66" s="166"/>
      <c r="AO66" s="166"/>
      <c r="AP66" s="166"/>
      <c r="AQ66" s="166"/>
    </row>
    <row r="67" spans="2:43" outlineLevel="1">
      <c r="B67" s="204" t="s">
        <v>30</v>
      </c>
      <c r="C67" s="165" t="s">
        <v>31</v>
      </c>
      <c r="E67" s="167"/>
      <c r="F67" s="167"/>
      <c r="G67" s="167"/>
      <c r="H67" s="167"/>
      <c r="I67" s="167"/>
      <c r="J67" s="167"/>
      <c r="K67" s="167"/>
      <c r="L67" s="167"/>
      <c r="M67" s="167"/>
      <c r="N67" s="167"/>
      <c r="O67" s="197"/>
      <c r="P67" s="198"/>
      <c r="Q67" s="199"/>
      <c r="R67" s="198"/>
      <c r="S67" s="198"/>
      <c r="T67" s="198"/>
      <c r="U67" s="198"/>
      <c r="V67" s="198"/>
      <c r="W67" s="198"/>
      <c r="X67" s="166">
        <v>83836.100000000006</v>
      </c>
      <c r="Z67" s="166">
        <v>100763.39199999999</v>
      </c>
      <c r="AA67" s="75">
        <v>106230.394</v>
      </c>
      <c r="AB67" s="166">
        <v>112404.96399999998</v>
      </c>
      <c r="AC67" s="75">
        <v>118268.893</v>
      </c>
      <c r="AD67" s="166">
        <v>125233.62899999999</v>
      </c>
      <c r="AE67" s="75">
        <v>130522.72900000001</v>
      </c>
      <c r="AF67" s="166">
        <v>126393.77299999999</v>
      </c>
      <c r="AG67" s="166">
        <v>130820.879</v>
      </c>
      <c r="AH67" s="166">
        <v>128142.69200000001</v>
      </c>
      <c r="AI67" s="166">
        <v>123048.69900000002</v>
      </c>
      <c r="AJ67" s="166">
        <v>122389.99100000001</v>
      </c>
      <c r="AK67" s="166">
        <v>125807.46099999998</v>
      </c>
      <c r="AL67" s="166">
        <v>129574.82400000001</v>
      </c>
      <c r="AM67" s="166">
        <v>133928.47900000002</v>
      </c>
      <c r="AN67" s="166">
        <v>138828.06700000001</v>
      </c>
      <c r="AO67" s="166">
        <v>144676.04</v>
      </c>
      <c r="AP67" s="166">
        <v>150615.29699999999</v>
      </c>
      <c r="AQ67" s="166">
        <v>142867.37799999997</v>
      </c>
    </row>
    <row r="68" spans="2:43" ht="5.0999999999999996" customHeight="1" outlineLevel="1">
      <c r="B68" s="75"/>
      <c r="E68" s="167"/>
      <c r="F68" s="167"/>
      <c r="G68" s="167"/>
      <c r="H68" s="167"/>
      <c r="I68" s="167"/>
      <c r="J68" s="167"/>
      <c r="K68" s="167"/>
      <c r="L68" s="167"/>
      <c r="M68" s="167"/>
      <c r="N68" s="167"/>
      <c r="O68" s="197"/>
      <c r="P68" s="198"/>
      <c r="Q68" s="199"/>
      <c r="R68" s="198"/>
      <c r="S68" s="198"/>
      <c r="T68" s="198"/>
      <c r="U68" s="198"/>
      <c r="V68" s="198"/>
      <c r="W68" s="198"/>
      <c r="AK68" s="75"/>
      <c r="AL68" s="75"/>
      <c r="AM68" s="75"/>
      <c r="AN68" s="75"/>
      <c r="AO68" s="75"/>
      <c r="AP68" s="75"/>
      <c r="AQ68" s="75"/>
    </row>
    <row r="69" spans="2:43" outlineLevel="1">
      <c r="B69" s="204" t="s">
        <v>32</v>
      </c>
      <c r="C69" s="165" t="s">
        <v>33</v>
      </c>
      <c r="E69" s="167"/>
      <c r="F69" s="167"/>
      <c r="G69" s="167"/>
      <c r="H69" s="167"/>
      <c r="I69" s="167"/>
      <c r="J69" s="167"/>
      <c r="K69" s="167"/>
      <c r="L69" s="167"/>
      <c r="M69" s="167"/>
      <c r="N69" s="167"/>
      <c r="O69" s="197"/>
      <c r="P69" s="198"/>
      <c r="Q69" s="199"/>
      <c r="R69" s="198"/>
      <c r="S69" s="198"/>
      <c r="T69" s="198"/>
      <c r="U69" s="198"/>
      <c r="V69" s="198"/>
      <c r="W69" s="198"/>
      <c r="X69" s="166">
        <v>12924</v>
      </c>
      <c r="Z69" s="166">
        <f t="shared" ref="Z69:AQ69" si="9">SUM(Z71:Z72)</f>
        <v>16635.766000000003</v>
      </c>
      <c r="AA69" s="75">
        <f t="shared" si="9"/>
        <v>17287.221000000001</v>
      </c>
      <c r="AB69" s="274">
        <f t="shared" si="9"/>
        <v>18817.938999999998</v>
      </c>
      <c r="AC69" s="75">
        <f t="shared" si="9"/>
        <v>19938.147000000001</v>
      </c>
      <c r="AD69" s="274">
        <f t="shared" si="9"/>
        <v>20270.181</v>
      </c>
      <c r="AE69" s="75">
        <f t="shared" si="9"/>
        <v>20081.759000000002</v>
      </c>
      <c r="AF69" s="274">
        <f t="shared" si="9"/>
        <v>17278.356</v>
      </c>
      <c r="AG69" s="274">
        <f t="shared" si="9"/>
        <v>19180.323</v>
      </c>
      <c r="AH69" s="274">
        <f t="shared" si="9"/>
        <v>19623.148999999998</v>
      </c>
      <c r="AI69" s="274">
        <f t="shared" si="9"/>
        <v>18759.325000000001</v>
      </c>
      <c r="AJ69" s="274">
        <f t="shared" si="9"/>
        <v>18386.165000000001</v>
      </c>
      <c r="AK69" s="274">
        <f t="shared" si="9"/>
        <v>19507.668000000001</v>
      </c>
      <c r="AL69" s="274">
        <f t="shared" si="9"/>
        <v>20579.132000000001</v>
      </c>
      <c r="AM69" s="274">
        <f t="shared" si="9"/>
        <v>21576.672999999999</v>
      </c>
      <c r="AN69" s="274">
        <f t="shared" si="9"/>
        <v>22934.888999999999</v>
      </c>
      <c r="AO69" s="274">
        <f t="shared" si="9"/>
        <v>24098.002999999997</v>
      </c>
      <c r="AP69" s="274">
        <f t="shared" si="9"/>
        <v>24980.538</v>
      </c>
      <c r="AQ69" s="274">
        <f t="shared" si="9"/>
        <v>22282.061999999998</v>
      </c>
    </row>
    <row r="70" spans="2:43" ht="5.0999999999999996" customHeight="1" outlineLevel="1">
      <c r="B70" s="75"/>
      <c r="E70" s="167"/>
      <c r="F70" s="167"/>
      <c r="G70" s="167"/>
      <c r="H70" s="167"/>
      <c r="I70" s="167"/>
      <c r="J70" s="167"/>
      <c r="K70" s="167"/>
      <c r="L70" s="167"/>
      <c r="M70" s="167"/>
      <c r="N70" s="167"/>
      <c r="O70" s="197"/>
      <c r="P70" s="198"/>
      <c r="Q70" s="199"/>
      <c r="R70" s="198"/>
      <c r="S70" s="198"/>
      <c r="T70" s="198"/>
      <c r="U70" s="198"/>
      <c r="V70" s="198"/>
      <c r="W70" s="198"/>
      <c r="AB70" s="824"/>
      <c r="AD70" s="824"/>
      <c r="AF70" s="824"/>
      <c r="AG70" s="824"/>
      <c r="AH70" s="824"/>
      <c r="AI70" s="824"/>
      <c r="AJ70" s="824"/>
      <c r="AK70" s="824"/>
      <c r="AL70" s="824"/>
      <c r="AM70" s="824"/>
      <c r="AN70" s="824"/>
      <c r="AO70" s="824"/>
      <c r="AP70" s="824"/>
      <c r="AQ70" s="824"/>
    </row>
    <row r="71" spans="2:43" outlineLevel="1">
      <c r="B71" s="75"/>
      <c r="C71" s="165" t="s">
        <v>34</v>
      </c>
      <c r="E71" s="167"/>
      <c r="F71" s="167"/>
      <c r="G71" s="167"/>
      <c r="H71" s="167"/>
      <c r="I71" s="167"/>
      <c r="J71" s="167"/>
      <c r="K71" s="167"/>
      <c r="L71" s="167"/>
      <c r="M71" s="167"/>
      <c r="N71" s="167"/>
      <c r="O71" s="197"/>
      <c r="P71" s="198"/>
      <c r="Q71" s="199"/>
      <c r="R71" s="198"/>
      <c r="S71" s="198"/>
      <c r="T71" s="198"/>
      <c r="U71" s="198"/>
      <c r="V71" s="198"/>
      <c r="W71" s="198"/>
      <c r="X71" s="166">
        <v>10645</v>
      </c>
      <c r="Z71" s="166">
        <v>11075.872000000001</v>
      </c>
      <c r="AA71" s="75">
        <v>11568.706</v>
      </c>
      <c r="AB71" s="274">
        <v>13000.958000000001</v>
      </c>
      <c r="AC71" s="75">
        <v>13763.609</v>
      </c>
      <c r="AD71" s="274">
        <v>14333.375</v>
      </c>
      <c r="AE71" s="75">
        <v>14423.970000000001</v>
      </c>
      <c r="AF71" s="274">
        <v>11971.201999999999</v>
      </c>
      <c r="AG71" s="274">
        <v>13527.134</v>
      </c>
      <c r="AH71" s="274">
        <v>14264.882</v>
      </c>
      <c r="AI71" s="274">
        <v>13994.912</v>
      </c>
      <c r="AJ71" s="274">
        <v>13709.656999999999</v>
      </c>
      <c r="AK71" s="274">
        <v>14681.603000000001</v>
      </c>
      <c r="AL71" s="274">
        <v>15367.866</v>
      </c>
      <c r="AM71" s="274">
        <v>15767.123</v>
      </c>
      <c r="AN71" s="274">
        <v>16809.453999999998</v>
      </c>
      <c r="AO71" s="274">
        <v>17867.728999999999</v>
      </c>
      <c r="AP71" s="274">
        <v>18785.733</v>
      </c>
      <c r="AQ71" s="274">
        <v>16791.8</v>
      </c>
    </row>
    <row r="72" spans="2:43" outlineLevel="1">
      <c r="B72" s="75"/>
      <c r="C72" s="165" t="s">
        <v>35</v>
      </c>
      <c r="E72" s="167"/>
      <c r="F72" s="167"/>
      <c r="G72" s="167"/>
      <c r="H72" s="167"/>
      <c r="I72" s="167"/>
      <c r="J72" s="167"/>
      <c r="K72" s="167"/>
      <c r="L72" s="167"/>
      <c r="M72" s="167"/>
      <c r="N72" s="167"/>
      <c r="O72" s="197"/>
      <c r="P72" s="198"/>
      <c r="Q72" s="199"/>
      <c r="R72" s="198"/>
      <c r="S72" s="198"/>
      <c r="T72" s="198"/>
      <c r="U72" s="198"/>
      <c r="V72" s="198"/>
      <c r="W72" s="198"/>
      <c r="X72" s="166">
        <v>2279</v>
      </c>
      <c r="Z72" s="166">
        <v>5559.8940000000002</v>
      </c>
      <c r="AA72" s="75">
        <v>5718.5150000000003</v>
      </c>
      <c r="AB72" s="274">
        <v>5816.9809999999998</v>
      </c>
      <c r="AC72" s="75">
        <v>6174.5380000000005</v>
      </c>
      <c r="AD72" s="274">
        <v>5936.8059999999996</v>
      </c>
      <c r="AE72" s="75">
        <v>5657.7889999999998</v>
      </c>
      <c r="AF72" s="274">
        <v>5307.1539999999995</v>
      </c>
      <c r="AG72" s="274">
        <v>5653.1890000000003</v>
      </c>
      <c r="AH72" s="274">
        <v>5358.2669999999998</v>
      </c>
      <c r="AI72" s="274">
        <v>4764.4130000000005</v>
      </c>
      <c r="AJ72" s="274">
        <v>4676.5079999999998</v>
      </c>
      <c r="AK72" s="274">
        <v>4826.0649999999996</v>
      </c>
      <c r="AL72" s="274">
        <v>5211.2660000000005</v>
      </c>
      <c r="AM72" s="274">
        <v>5809.55</v>
      </c>
      <c r="AN72" s="274">
        <v>6125.4350000000004</v>
      </c>
      <c r="AO72" s="274">
        <v>6230.2739999999994</v>
      </c>
      <c r="AP72" s="274">
        <v>6194.8049999999994</v>
      </c>
      <c r="AQ72" s="274">
        <v>5490.2620000000006</v>
      </c>
    </row>
    <row r="73" spans="2:43" ht="5.0999999999999996" customHeight="1" outlineLevel="1">
      <c r="B73" s="75"/>
      <c r="E73" s="167"/>
      <c r="F73" s="167"/>
      <c r="G73" s="167"/>
      <c r="H73" s="167"/>
      <c r="I73" s="167"/>
      <c r="J73" s="167"/>
      <c r="K73" s="167"/>
      <c r="L73" s="167"/>
      <c r="M73" s="167"/>
      <c r="N73" s="167"/>
      <c r="O73" s="197"/>
      <c r="P73" s="198"/>
      <c r="Q73" s="199"/>
      <c r="R73" s="198"/>
      <c r="S73" s="198"/>
      <c r="T73" s="198"/>
      <c r="U73" s="198"/>
      <c r="V73" s="198"/>
      <c r="W73" s="198"/>
      <c r="X73" s="166"/>
      <c r="Z73" s="166"/>
      <c r="AB73" s="274"/>
      <c r="AD73" s="274"/>
      <c r="AF73" s="274"/>
      <c r="AG73" s="274"/>
      <c r="AH73" s="274"/>
      <c r="AI73" s="274"/>
      <c r="AJ73" s="274"/>
      <c r="AK73" s="274"/>
      <c r="AL73" s="274"/>
      <c r="AM73" s="274"/>
      <c r="AN73" s="274"/>
      <c r="AO73" s="274"/>
      <c r="AP73" s="274"/>
      <c r="AQ73" s="274"/>
    </row>
    <row r="74" spans="2:43" outlineLevel="1">
      <c r="B74" s="204" t="s">
        <v>36</v>
      </c>
      <c r="C74" s="165" t="s">
        <v>37</v>
      </c>
      <c r="E74" s="167"/>
      <c r="F74" s="167"/>
      <c r="G74" s="167"/>
      <c r="H74" s="167"/>
      <c r="I74" s="167"/>
      <c r="J74" s="167"/>
      <c r="K74" s="167"/>
      <c r="L74" s="167"/>
      <c r="M74" s="167"/>
      <c r="N74" s="167"/>
      <c r="O74" s="197"/>
      <c r="P74" s="198"/>
      <c r="Q74" s="199"/>
      <c r="R74" s="198"/>
      <c r="S74" s="198"/>
      <c r="T74" s="198"/>
      <c r="U74" s="198"/>
      <c r="V74" s="198"/>
      <c r="W74" s="198"/>
      <c r="X74" s="166">
        <v>13831</v>
      </c>
      <c r="Z74" s="166">
        <v>18482.587</v>
      </c>
      <c r="AA74" s="75">
        <v>19243.690999999999</v>
      </c>
      <c r="AB74" s="274">
        <v>21028.581999999999</v>
      </c>
      <c r="AC74" s="75">
        <v>22352.261999999999</v>
      </c>
      <c r="AD74" s="274">
        <v>22707.805</v>
      </c>
      <c r="AE74" s="75">
        <v>22545.949000000001</v>
      </c>
      <c r="AF74" s="274">
        <v>19646.79</v>
      </c>
      <c r="AG74" s="274">
        <v>21433.065999999999</v>
      </c>
      <c r="AH74" s="274">
        <v>22033.392</v>
      </c>
      <c r="AI74" s="274">
        <v>21130.621999999999</v>
      </c>
      <c r="AJ74" s="274">
        <v>20726.816999999999</v>
      </c>
      <c r="AK74" s="274">
        <v>21807.404999999999</v>
      </c>
      <c r="AL74" s="274">
        <v>23093.661999999997</v>
      </c>
      <c r="AM74" s="274">
        <v>24263.924999999999</v>
      </c>
      <c r="AN74" s="274">
        <v>25774.436999999998</v>
      </c>
      <c r="AO74" s="274">
        <v>27021.856</v>
      </c>
      <c r="AP74" s="274">
        <v>28069.918999999998</v>
      </c>
      <c r="AQ74" s="274">
        <v>25143.715</v>
      </c>
    </row>
    <row r="75" spans="2:43" ht="5.0999999999999996" customHeight="1" outlineLevel="1">
      <c r="B75" s="75"/>
      <c r="E75" s="167"/>
      <c r="F75" s="167"/>
      <c r="G75" s="167"/>
      <c r="H75" s="167"/>
      <c r="I75" s="167"/>
      <c r="J75" s="167"/>
      <c r="K75" s="167"/>
      <c r="L75" s="167"/>
      <c r="M75" s="167"/>
      <c r="N75" s="167"/>
      <c r="O75" s="197"/>
      <c r="P75" s="198"/>
      <c r="Q75" s="199"/>
      <c r="R75" s="198"/>
      <c r="S75" s="198"/>
      <c r="T75" s="198"/>
      <c r="U75" s="198"/>
      <c r="V75" s="198"/>
      <c r="W75" s="198"/>
      <c r="X75" s="166"/>
      <c r="Z75" s="166"/>
      <c r="AB75" s="274"/>
      <c r="AD75" s="274"/>
      <c r="AF75" s="274"/>
      <c r="AG75" s="274"/>
      <c r="AH75" s="274"/>
      <c r="AI75" s="274"/>
      <c r="AJ75" s="274"/>
      <c r="AK75" s="274"/>
      <c r="AL75" s="274"/>
      <c r="AM75" s="274"/>
      <c r="AN75" s="274"/>
      <c r="AO75" s="274"/>
      <c r="AP75" s="274"/>
      <c r="AQ75" s="274"/>
    </row>
    <row r="76" spans="2:43" outlineLevel="1">
      <c r="B76" s="204" t="s">
        <v>38</v>
      </c>
      <c r="C76" s="165" t="s">
        <v>39</v>
      </c>
      <c r="E76" s="167"/>
      <c r="F76" s="167"/>
      <c r="G76" s="167"/>
      <c r="H76" s="167"/>
      <c r="I76" s="167"/>
      <c r="J76" s="167"/>
      <c r="K76" s="167"/>
      <c r="L76" s="167"/>
      <c r="M76" s="167"/>
      <c r="N76" s="167"/>
      <c r="O76" s="197"/>
      <c r="P76" s="198"/>
      <c r="Q76" s="199"/>
      <c r="R76" s="198"/>
      <c r="S76" s="198"/>
      <c r="T76" s="198"/>
      <c r="U76" s="198"/>
      <c r="V76" s="198"/>
      <c r="W76" s="198"/>
      <c r="X76" s="166">
        <v>14799</v>
      </c>
      <c r="Z76" s="166">
        <v>18895.210999999999</v>
      </c>
      <c r="AA76" s="75">
        <v>19621.528999999999</v>
      </c>
      <c r="AB76" s="274">
        <v>21424.642</v>
      </c>
      <c r="AC76" s="75">
        <v>22772.708000000002</v>
      </c>
      <c r="AD76" s="274">
        <v>23165.874</v>
      </c>
      <c r="AE76" s="75">
        <v>23037.07</v>
      </c>
      <c r="AF76" s="274">
        <v>20212.137999999999</v>
      </c>
      <c r="AG76" s="274">
        <v>22023.421999999999</v>
      </c>
      <c r="AH76" s="274">
        <v>22671.441999999999</v>
      </c>
      <c r="AI76" s="274">
        <v>21836.127999999997</v>
      </c>
      <c r="AJ76" s="274">
        <v>21553.672999999999</v>
      </c>
      <c r="AK76" s="274">
        <v>22641.718000000001</v>
      </c>
      <c r="AL76" s="274">
        <v>23956.629000000001</v>
      </c>
      <c r="AM76" s="274">
        <v>25182.763000000003</v>
      </c>
      <c r="AN76" s="274">
        <v>26793.254000000001</v>
      </c>
      <c r="AO76" s="274">
        <v>28223.725000000002</v>
      </c>
      <c r="AP76" s="274">
        <v>29406.775000000001</v>
      </c>
      <c r="AQ76" s="274">
        <v>26416.59</v>
      </c>
    </row>
    <row r="77" spans="2:43" outlineLevel="1">
      <c r="B77" s="204"/>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F77" s="166"/>
      <c r="AG77" s="166"/>
      <c r="AH77" s="166"/>
      <c r="AI77" s="166"/>
      <c r="AJ77" s="166"/>
      <c r="AK77" s="166"/>
      <c r="AL77" s="166"/>
      <c r="AM77" s="166"/>
      <c r="AN77" s="166"/>
      <c r="AO77" s="166"/>
      <c r="AP77" s="166"/>
      <c r="AQ77" s="166"/>
    </row>
    <row r="78" spans="2:43" outlineLevel="1">
      <c r="B78" s="165" t="s">
        <v>40</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F78" s="166"/>
      <c r="AG78" s="166"/>
      <c r="AH78" s="166"/>
      <c r="AI78" s="166"/>
      <c r="AJ78" s="166"/>
      <c r="AK78" s="166"/>
      <c r="AL78" s="166"/>
      <c r="AM78" s="166"/>
      <c r="AN78" s="166"/>
      <c r="AO78" s="166"/>
      <c r="AP78" s="166"/>
      <c r="AQ78" s="166"/>
    </row>
    <row r="79" spans="2:43" ht="6" customHeight="1" outlineLevel="1">
      <c r="B79" s="75"/>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F79" s="166"/>
      <c r="AG79" s="166"/>
      <c r="AH79" s="166"/>
      <c r="AI79" s="166"/>
      <c r="AJ79" s="166"/>
      <c r="AK79" s="166"/>
      <c r="AL79" s="166"/>
      <c r="AM79" s="166"/>
      <c r="AN79" s="166"/>
      <c r="AO79" s="166"/>
      <c r="AP79" s="166"/>
      <c r="AQ79" s="166"/>
    </row>
    <row r="80" spans="2:43" outlineLevel="1">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v>0.1541579343504767</v>
      </c>
      <c r="Y80" s="171"/>
      <c r="Z80" s="207">
        <f t="shared" ref="Z80:AQ80" si="10">Z69/Z67</f>
        <v>0.16509732026488355</v>
      </c>
      <c r="AA80" s="171">
        <f t="shared" si="10"/>
        <v>0.16273328516507246</v>
      </c>
      <c r="AB80" s="207">
        <f t="shared" si="10"/>
        <v>0.16741199258780068</v>
      </c>
      <c r="AC80" s="171">
        <f t="shared" si="10"/>
        <v>0.16858318780408305</v>
      </c>
      <c r="AD80" s="207">
        <f t="shared" si="10"/>
        <v>0.16185892848317926</v>
      </c>
      <c r="AE80" s="171">
        <f t="shared" si="10"/>
        <v>0.15385641377449288</v>
      </c>
      <c r="AF80" s="207">
        <f t="shared" si="10"/>
        <v>0.13670258897960108</v>
      </c>
      <c r="AG80" s="207">
        <f t="shared" si="10"/>
        <v>0.14661515154626045</v>
      </c>
      <c r="AH80" s="207">
        <f t="shared" si="10"/>
        <v>0.15313513938040255</v>
      </c>
      <c r="AI80" s="207">
        <f t="shared" si="10"/>
        <v>0.15245447658085354</v>
      </c>
      <c r="AJ80" s="207">
        <f t="shared" si="10"/>
        <v>0.15022605075606224</v>
      </c>
      <c r="AK80" s="207">
        <f t="shared" si="10"/>
        <v>0.15505970667351759</v>
      </c>
      <c r="AL80" s="207">
        <f t="shared" si="10"/>
        <v>0.15882045110861967</v>
      </c>
      <c r="AM80" s="207">
        <f t="shared" si="10"/>
        <v>0.16110593625124345</v>
      </c>
      <c r="AN80" s="207">
        <f t="shared" si="10"/>
        <v>0.16520354634052492</v>
      </c>
      <c r="AO80" s="207">
        <f t="shared" si="10"/>
        <v>0.16656526540261951</v>
      </c>
      <c r="AP80" s="207">
        <f t="shared" si="10"/>
        <v>0.16585657962749961</v>
      </c>
      <c r="AQ80" s="207">
        <f t="shared" si="10"/>
        <v>0.15596325985628437</v>
      </c>
    </row>
    <row r="81" spans="2:43" ht="5.0999999999999996" customHeight="1" outlineLevel="1">
      <c r="B81" s="75"/>
      <c r="E81" s="167"/>
      <c r="F81" s="167"/>
      <c r="G81" s="167"/>
      <c r="H81" s="167"/>
      <c r="I81" s="167"/>
      <c r="J81" s="167"/>
      <c r="K81" s="167"/>
      <c r="L81" s="167"/>
      <c r="M81" s="167"/>
      <c r="N81" s="167"/>
      <c r="O81" s="197"/>
      <c r="P81" s="198"/>
      <c r="Q81" s="199"/>
      <c r="R81" s="198"/>
      <c r="S81" s="198"/>
      <c r="T81" s="198"/>
      <c r="U81" s="198"/>
      <c r="V81" s="198"/>
      <c r="W81" s="198"/>
      <c r="X81" s="166"/>
      <c r="Z81" s="166"/>
      <c r="AB81" s="166"/>
      <c r="AD81" s="166"/>
      <c r="AF81" s="166"/>
      <c r="AG81" s="166"/>
      <c r="AH81" s="166"/>
      <c r="AI81" s="166"/>
      <c r="AJ81" s="166"/>
      <c r="AK81" s="166"/>
      <c r="AL81" s="166"/>
      <c r="AM81" s="166"/>
      <c r="AN81" s="166"/>
      <c r="AO81" s="166"/>
      <c r="AP81" s="166"/>
      <c r="AQ81" s="166"/>
    </row>
    <row r="82" spans="2:43" outlineLevel="1">
      <c r="B82" s="204" t="s">
        <v>43</v>
      </c>
      <c r="C82" s="165" t="s">
        <v>44</v>
      </c>
      <c r="E82" s="167"/>
      <c r="F82" s="167"/>
      <c r="G82" s="167"/>
      <c r="H82" s="167"/>
      <c r="I82" s="167"/>
      <c r="J82" s="167"/>
      <c r="K82" s="167"/>
      <c r="L82" s="167"/>
      <c r="M82" s="167"/>
      <c r="N82" s="167"/>
      <c r="O82" s="197"/>
      <c r="P82" s="198"/>
      <c r="Q82" s="199"/>
      <c r="R82" s="198"/>
      <c r="S82" s="198"/>
      <c r="T82" s="198"/>
      <c r="U82" s="198"/>
      <c r="V82" s="198"/>
      <c r="W82" s="198"/>
      <c r="X82" s="208">
        <v>0.17652300142778587</v>
      </c>
      <c r="Z82" s="208">
        <f t="shared" ref="Z82:AQ82" si="11">Z76/Z67</f>
        <v>0.18752059279624092</v>
      </c>
      <c r="AA82" s="75">
        <f t="shared" si="11"/>
        <v>0.18470729761201862</v>
      </c>
      <c r="AB82" s="208">
        <f t="shared" si="11"/>
        <v>0.19060227624822693</v>
      </c>
      <c r="AC82" s="75">
        <f t="shared" si="11"/>
        <v>0.19255027608992673</v>
      </c>
      <c r="AD82" s="208">
        <f t="shared" si="11"/>
        <v>0.18498125611292476</v>
      </c>
      <c r="AE82" s="75">
        <f t="shared" si="11"/>
        <v>0.17649853153162312</v>
      </c>
      <c r="AF82" s="208">
        <f t="shared" si="11"/>
        <v>0.15991403310667845</v>
      </c>
      <c r="AG82" s="208">
        <f t="shared" si="11"/>
        <v>0.1683479133327028</v>
      </c>
      <c r="AH82" s="208">
        <f t="shared" si="11"/>
        <v>0.1769234097251523</v>
      </c>
      <c r="AI82" s="208">
        <f t="shared" si="11"/>
        <v>0.17745923506269654</v>
      </c>
      <c r="AJ82" s="208">
        <f t="shared" si="11"/>
        <v>0.17610650040819104</v>
      </c>
      <c r="AK82" s="208">
        <f t="shared" si="11"/>
        <v>0.17997118628759232</v>
      </c>
      <c r="AL82" s="208">
        <f t="shared" si="11"/>
        <v>0.18488644831190354</v>
      </c>
      <c r="AM82" s="208">
        <f t="shared" si="11"/>
        <v>0.18803142683342203</v>
      </c>
      <c r="AN82" s="208">
        <f t="shared" si="11"/>
        <v>0.19299594512109716</v>
      </c>
      <c r="AO82" s="208">
        <f t="shared" si="11"/>
        <v>0.19508223338156064</v>
      </c>
      <c r="AP82" s="208">
        <f t="shared" si="11"/>
        <v>0.19524427854097717</v>
      </c>
      <c r="AQ82" s="208">
        <f t="shared" si="11"/>
        <v>0.18490288244808417</v>
      </c>
    </row>
    <row r="83" spans="2:43" ht="5.0999999999999996" customHeight="1" outlineLevel="1">
      <c r="B83" s="75"/>
      <c r="E83" s="167"/>
      <c r="F83" s="167"/>
      <c r="G83" s="167"/>
      <c r="H83" s="167"/>
      <c r="I83" s="167"/>
      <c r="J83" s="167"/>
      <c r="K83" s="167"/>
      <c r="L83" s="167"/>
      <c r="M83" s="167"/>
      <c r="N83" s="167"/>
      <c r="O83" s="197"/>
      <c r="P83" s="198"/>
      <c r="Q83" s="199"/>
      <c r="R83" s="198"/>
      <c r="S83" s="198"/>
      <c r="T83" s="198"/>
      <c r="U83" s="198"/>
      <c r="V83" s="198"/>
      <c r="W83" s="198"/>
      <c r="X83" s="166"/>
      <c r="Z83" s="166"/>
      <c r="AB83" s="166"/>
      <c r="AD83" s="166"/>
      <c r="AF83" s="166"/>
      <c r="AG83" s="166"/>
      <c r="AH83" s="166"/>
      <c r="AI83" s="166"/>
      <c r="AJ83" s="166"/>
      <c r="AK83" s="166"/>
      <c r="AL83" s="166"/>
      <c r="AM83" s="166"/>
      <c r="AN83" s="166"/>
      <c r="AO83" s="166"/>
      <c r="AP83" s="166"/>
      <c r="AQ83" s="166"/>
    </row>
    <row r="84" spans="2:43" outlineLevel="1">
      <c r="B84" s="204" t="s">
        <v>45</v>
      </c>
      <c r="C84" s="165" t="s">
        <v>46</v>
      </c>
      <c r="E84" s="167"/>
      <c r="F84" s="167"/>
      <c r="G84" s="167"/>
      <c r="H84" s="167"/>
      <c r="I84" s="167"/>
      <c r="J84" s="167"/>
      <c r="K84" s="167"/>
      <c r="L84" s="167"/>
      <c r="M84" s="167"/>
      <c r="N84" s="167"/>
      <c r="O84" s="197"/>
      <c r="P84" s="198"/>
      <c r="Q84" s="199"/>
      <c r="R84" s="198"/>
      <c r="S84" s="198"/>
      <c r="T84" s="198"/>
      <c r="U84" s="198"/>
      <c r="V84" s="198"/>
      <c r="W84" s="198"/>
      <c r="X84" s="208">
        <v>0.20341988426275928</v>
      </c>
      <c r="Z84" s="208">
        <f t="shared" ref="Z84:AQ84" si="12">Z76/Z65</f>
        <v>0.20473574106521858</v>
      </c>
      <c r="AA84" s="75">
        <f t="shared" si="12"/>
        <v>0.2025671851741625</v>
      </c>
      <c r="AB84" s="208">
        <f t="shared" si="12"/>
        <v>0.20971792834379044</v>
      </c>
      <c r="AC84" s="75">
        <f t="shared" si="12"/>
        <v>0.21207456470795219</v>
      </c>
      <c r="AD84" s="208">
        <f t="shared" si="12"/>
        <v>0.20356167918156901</v>
      </c>
      <c r="AE84" s="75">
        <f t="shared" si="12"/>
        <v>0.19428258050235805</v>
      </c>
      <c r="AF84" s="208">
        <f t="shared" si="12"/>
        <v>0.17793296460942604</v>
      </c>
      <c r="AG84" s="208">
        <f t="shared" si="12"/>
        <v>0.18599395331503568</v>
      </c>
      <c r="AH84" s="208">
        <f t="shared" si="12"/>
        <v>0.19540301877686334</v>
      </c>
      <c r="AI84" s="208">
        <f t="shared" si="12"/>
        <v>0.19523595762474691</v>
      </c>
      <c r="AJ84" s="208">
        <f t="shared" si="12"/>
        <v>0.19324044633213416</v>
      </c>
      <c r="AK84" s="208">
        <f t="shared" si="12"/>
        <v>0.19783141322545422</v>
      </c>
      <c r="AL84" s="208">
        <f t="shared" si="12"/>
        <v>0.20334910648086704</v>
      </c>
      <c r="AM84" s="208">
        <f t="shared" si="12"/>
        <v>0.20637489976385862</v>
      </c>
      <c r="AN84" s="208">
        <f t="shared" si="12"/>
        <v>0.21173570175827</v>
      </c>
      <c r="AO84" s="208">
        <f t="shared" si="12"/>
        <v>0.21402482295063074</v>
      </c>
      <c r="AP84" s="208">
        <f t="shared" si="12"/>
        <v>0.21414129843789692</v>
      </c>
      <c r="AQ84" s="208">
        <f t="shared" si="12"/>
        <v>0.20560308187279616</v>
      </c>
    </row>
    <row r="85" spans="2:43" ht="5.0999999999999996"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ht="6" customHeight="1" outlineLevel="1">
      <c r="E86" s="167"/>
      <c r="F86" s="167"/>
      <c r="G86" s="167"/>
      <c r="H86" s="167"/>
      <c r="I86" s="167"/>
      <c r="J86" s="167"/>
      <c r="K86" s="167"/>
      <c r="L86" s="167"/>
      <c r="M86" s="167"/>
      <c r="N86" s="167"/>
      <c r="O86" s="197"/>
      <c r="P86" s="198"/>
      <c r="Q86" s="199"/>
      <c r="R86" s="198"/>
      <c r="S86" s="198"/>
      <c r="T86" s="198"/>
      <c r="U86" s="198"/>
      <c r="V86" s="198"/>
      <c r="W86" s="198"/>
      <c r="AG86" s="166"/>
      <c r="AH86" s="166"/>
      <c r="AK86" s="75"/>
      <c r="AL86" s="75"/>
      <c r="AP86" s="545"/>
    </row>
    <row r="87" spans="2:43" s="552" customFormat="1" ht="33.75"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820"/>
      <c r="AH87" s="820"/>
      <c r="AI87" s="1498"/>
      <c r="AJ87" s="1498"/>
    </row>
    <row r="88" spans="2:43">
      <c r="X88" s="165"/>
      <c r="Y88" s="165"/>
      <c r="AG88" s="166"/>
      <c r="AH88" s="166"/>
    </row>
    <row r="89" spans="2:43">
      <c r="P89" s="168"/>
      <c r="Q89" s="168"/>
      <c r="R89" s="168"/>
      <c r="S89" s="168"/>
      <c r="T89" s="168"/>
      <c r="U89" s="168"/>
      <c r="V89" s="168"/>
      <c r="W89" s="168"/>
      <c r="X89" s="166"/>
      <c r="Y89" s="166"/>
      <c r="Z89" s="244"/>
      <c r="AA89" s="166"/>
      <c r="AB89" s="166"/>
      <c r="AC89" s="166"/>
      <c r="AD89" s="244"/>
      <c r="AE89" s="166"/>
      <c r="AF89" s="244"/>
      <c r="AG89" s="166"/>
      <c r="AH89" s="166"/>
    </row>
    <row r="90" spans="2:43">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66"/>
      <c r="AH90" s="166"/>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166"/>
      <c r="AH91" s="166"/>
    </row>
    <row r="92" spans="2:43">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196"/>
      <c r="AF92" s="211">
        <v>2009</v>
      </c>
      <c r="AG92" s="259">
        <v>2010</v>
      </c>
      <c r="AH92" s="259">
        <v>2011</v>
      </c>
      <c r="AI92" s="259">
        <v>2012</v>
      </c>
      <c r="AJ92" s="259">
        <v>2013</v>
      </c>
      <c r="AK92" s="259">
        <v>2014</v>
      </c>
      <c r="AL92" s="259">
        <v>2015</v>
      </c>
      <c r="AM92" s="259">
        <v>2016</v>
      </c>
      <c r="AN92" s="259">
        <v>2017</v>
      </c>
      <c r="AO92" s="259">
        <v>2018</v>
      </c>
      <c r="AP92" s="259">
        <v>2019</v>
      </c>
      <c r="AQ92" s="259">
        <v>2020</v>
      </c>
    </row>
    <row r="93" spans="2:43">
      <c r="P93" s="168"/>
      <c r="Q93" s="168"/>
      <c r="R93" s="168"/>
      <c r="S93" s="168"/>
      <c r="T93" s="168"/>
      <c r="U93" s="168"/>
      <c r="V93" s="168"/>
      <c r="W93" s="168"/>
      <c r="X93" s="166"/>
      <c r="Y93" s="166"/>
      <c r="Z93" s="244"/>
      <c r="AA93" s="166"/>
      <c r="AB93" s="166"/>
      <c r="AC93" s="166"/>
      <c r="AD93" s="244"/>
      <c r="AE93" s="166"/>
      <c r="AF93" s="244"/>
      <c r="AG93" s="166"/>
      <c r="AH93" s="166"/>
    </row>
    <row r="94" spans="2:43" s="206" customFormat="1">
      <c r="B94" s="206" t="s">
        <v>49</v>
      </c>
      <c r="P94" s="948"/>
      <c r="Q94" s="948"/>
      <c r="R94" s="948"/>
      <c r="S94" s="948"/>
      <c r="T94" s="948"/>
      <c r="U94" s="948"/>
      <c r="V94" s="948"/>
      <c r="W94" s="948"/>
      <c r="X94" s="273" t="s">
        <v>237</v>
      </c>
      <c r="Y94" s="273"/>
      <c r="Z94" s="273">
        <v>1086.2999999999997</v>
      </c>
      <c r="AA94" s="273"/>
      <c r="AB94" s="273">
        <v>1639</v>
      </c>
      <c r="AC94" s="273"/>
      <c r="AD94" s="273">
        <v>1812</v>
      </c>
      <c r="AE94" s="273"/>
      <c r="AF94" s="273">
        <v>2023</v>
      </c>
      <c r="AG94" s="273">
        <v>2023</v>
      </c>
      <c r="AH94" s="273">
        <v>2013</v>
      </c>
      <c r="AI94" s="273">
        <v>1262</v>
      </c>
      <c r="AJ94" s="273">
        <v>1348</v>
      </c>
      <c r="AK94" s="273">
        <v>1407</v>
      </c>
      <c r="AL94" s="273">
        <v>1938</v>
      </c>
      <c r="AM94" s="206">
        <v>2393</v>
      </c>
      <c r="AN94" s="206">
        <v>2522</v>
      </c>
      <c r="AO94" s="206">
        <v>2632</v>
      </c>
      <c r="AP94" s="206">
        <f>SUM(AP99:AP109)</f>
        <v>2779</v>
      </c>
      <c r="AQ94" s="206">
        <f>SUM(AQ99:AQ109)</f>
        <v>2766</v>
      </c>
    </row>
    <row r="95" spans="2:43">
      <c r="P95" s="168"/>
      <c r="Q95" s="168"/>
      <c r="R95" s="168"/>
      <c r="S95" s="168"/>
      <c r="T95" s="168"/>
      <c r="U95" s="168"/>
      <c r="V95" s="168"/>
      <c r="W95" s="168"/>
      <c r="X95" s="166"/>
      <c r="Y95" s="166"/>
      <c r="Z95" s="166"/>
      <c r="AA95" s="166"/>
      <c r="AB95" s="166"/>
      <c r="AC95" s="166"/>
      <c r="AD95" s="166"/>
      <c r="AE95" s="166"/>
      <c r="AF95" s="166"/>
      <c r="AG95" s="166"/>
      <c r="AH95" s="166"/>
    </row>
    <row r="96" spans="2:43">
      <c r="P96" s="168"/>
      <c r="Q96" s="168"/>
      <c r="R96" s="168"/>
      <c r="S96" s="168"/>
      <c r="T96" s="168"/>
      <c r="U96" s="168"/>
      <c r="V96" s="168"/>
      <c r="W96" s="168"/>
      <c r="X96" s="166"/>
      <c r="Y96" s="166"/>
      <c r="Z96" s="166"/>
      <c r="AA96" s="166"/>
      <c r="AB96" s="166"/>
      <c r="AC96" s="166"/>
      <c r="AD96" s="166"/>
      <c r="AE96" s="166"/>
      <c r="AF96" s="166"/>
      <c r="AG96" s="166"/>
      <c r="AH96" s="166"/>
    </row>
    <row r="97" spans="2:43">
      <c r="P97" s="168"/>
      <c r="Q97" s="168"/>
      <c r="R97" s="168"/>
      <c r="S97" s="168"/>
      <c r="T97" s="168"/>
      <c r="U97" s="168"/>
      <c r="V97" s="168"/>
      <c r="W97" s="168"/>
      <c r="X97" s="166"/>
      <c r="Y97" s="166"/>
      <c r="Z97" s="166"/>
      <c r="AA97" s="166"/>
      <c r="AB97" s="166"/>
      <c r="AC97" s="166"/>
      <c r="AD97" s="166"/>
      <c r="AE97" s="166"/>
      <c r="AF97" s="166"/>
      <c r="AG97" s="166"/>
      <c r="AH97" s="166"/>
    </row>
    <row r="98" spans="2:43">
      <c r="C98" s="206" t="s">
        <v>50</v>
      </c>
      <c r="P98" s="168"/>
      <c r="Q98" s="168"/>
      <c r="R98" s="168"/>
      <c r="S98" s="168"/>
      <c r="T98" s="168"/>
      <c r="U98" s="168"/>
      <c r="V98" s="168"/>
      <c r="W98" s="168"/>
      <c r="X98" s="166"/>
      <c r="Y98" s="166"/>
      <c r="Z98" s="166"/>
      <c r="AA98" s="166"/>
      <c r="AB98" s="166"/>
      <c r="AC98" s="166"/>
      <c r="AD98" s="166"/>
      <c r="AE98" s="166"/>
      <c r="AF98" s="166"/>
      <c r="AG98" s="166"/>
      <c r="AH98" s="166"/>
    </row>
    <row r="99" spans="2:43">
      <c r="C99" s="165" t="s">
        <v>1203</v>
      </c>
      <c r="P99" s="168"/>
      <c r="Q99" s="168"/>
      <c r="R99" s="168"/>
      <c r="S99" s="168"/>
      <c r="T99" s="168"/>
      <c r="U99" s="168"/>
      <c r="V99" s="168"/>
      <c r="W99" s="168"/>
      <c r="X99" s="166"/>
      <c r="Y99" s="166"/>
      <c r="Z99" s="166">
        <v>253.2</v>
      </c>
      <c r="AA99" s="166"/>
      <c r="AB99" s="166">
        <v>265</v>
      </c>
      <c r="AC99" s="166"/>
      <c r="AD99" s="166">
        <v>279</v>
      </c>
      <c r="AE99" s="166"/>
      <c r="AF99" s="231">
        <v>340</v>
      </c>
      <c r="AG99" s="166">
        <v>343</v>
      </c>
      <c r="AH99" s="166">
        <v>344</v>
      </c>
      <c r="AI99" s="75">
        <v>331</v>
      </c>
      <c r="AJ99" s="75">
        <v>389</v>
      </c>
      <c r="AK99" s="165">
        <v>385</v>
      </c>
      <c r="AL99" s="165">
        <v>556</v>
      </c>
      <c r="AM99" s="165">
        <v>950</v>
      </c>
      <c r="AN99" s="165">
        <v>978</v>
      </c>
      <c r="AO99" s="165">
        <v>999</v>
      </c>
      <c r="AP99" s="165">
        <v>1018</v>
      </c>
      <c r="AQ99" s="165">
        <v>1035</v>
      </c>
    </row>
    <row r="100" spans="2:43">
      <c r="P100" s="168"/>
      <c r="Q100" s="168"/>
      <c r="R100" s="168"/>
      <c r="S100" s="168"/>
      <c r="T100" s="168"/>
      <c r="U100" s="168"/>
      <c r="V100" s="168"/>
      <c r="W100" s="168"/>
      <c r="X100" s="166"/>
      <c r="Y100" s="166"/>
      <c r="Z100" s="166"/>
      <c r="AA100" s="166"/>
      <c r="AB100" s="166"/>
      <c r="AC100" s="166"/>
      <c r="AD100" s="166"/>
      <c r="AE100" s="166"/>
      <c r="AF100" s="231"/>
      <c r="AG100" s="166"/>
      <c r="AH100" s="166"/>
    </row>
    <row r="101" spans="2:43">
      <c r="C101" s="206" t="s">
        <v>56</v>
      </c>
      <c r="P101" s="168"/>
      <c r="Q101" s="168"/>
      <c r="R101" s="168"/>
      <c r="S101" s="168"/>
      <c r="T101" s="168"/>
      <c r="U101" s="168"/>
      <c r="V101" s="168"/>
      <c r="W101" s="168"/>
      <c r="X101" s="166"/>
      <c r="Y101" s="166"/>
      <c r="Z101" s="166"/>
      <c r="AA101" s="166"/>
      <c r="AB101" s="166"/>
      <c r="AC101" s="166"/>
      <c r="AD101" s="166"/>
      <c r="AE101" s="166"/>
      <c r="AF101" s="231"/>
      <c r="AG101" s="166"/>
      <c r="AH101" s="166"/>
    </row>
    <row r="102" spans="2:43">
      <c r="C102" s="165" t="s">
        <v>1204</v>
      </c>
      <c r="P102" s="168"/>
      <c r="Q102" s="168"/>
      <c r="R102" s="168"/>
      <c r="S102" s="168"/>
      <c r="T102" s="168"/>
      <c r="U102" s="168"/>
      <c r="V102" s="168"/>
      <c r="W102" s="168"/>
      <c r="X102" s="166"/>
      <c r="Y102" s="166"/>
      <c r="Z102" s="166">
        <v>434.9</v>
      </c>
      <c r="AA102" s="166"/>
      <c r="AB102" s="166">
        <v>517</v>
      </c>
      <c r="AC102" s="166"/>
      <c r="AD102" s="166">
        <v>610</v>
      </c>
      <c r="AE102" s="166"/>
      <c r="AF102" s="231">
        <v>659</v>
      </c>
      <c r="AG102" s="166">
        <v>641</v>
      </c>
      <c r="AH102" s="166">
        <v>609</v>
      </c>
      <c r="AI102" s="75">
        <v>204</v>
      </c>
      <c r="AJ102" s="75">
        <v>220</v>
      </c>
      <c r="AK102" s="165">
        <v>228</v>
      </c>
      <c r="AL102" s="165">
        <v>414</v>
      </c>
      <c r="AM102" s="165">
        <v>421</v>
      </c>
      <c r="AN102" s="165">
        <v>451</v>
      </c>
      <c r="AO102" s="165">
        <v>484</v>
      </c>
      <c r="AP102" s="165">
        <v>526</v>
      </c>
      <c r="AQ102" s="165">
        <v>502</v>
      </c>
    </row>
    <row r="103" spans="2:43">
      <c r="C103" s="165" t="s">
        <v>1205</v>
      </c>
      <c r="P103" s="168"/>
      <c r="Q103" s="168"/>
      <c r="R103" s="168"/>
      <c r="S103" s="168"/>
      <c r="T103" s="168"/>
      <c r="U103" s="168"/>
      <c r="V103" s="168"/>
      <c r="W103" s="168"/>
      <c r="X103" s="166"/>
      <c r="Y103" s="166"/>
      <c r="Z103" s="166">
        <v>395.6</v>
      </c>
      <c r="AA103" s="166"/>
      <c r="AB103" s="166">
        <v>445</v>
      </c>
      <c r="AC103" s="166"/>
      <c r="AD103" s="166">
        <v>503</v>
      </c>
      <c r="AE103" s="166"/>
      <c r="AF103" s="231">
        <v>562</v>
      </c>
      <c r="AG103" s="166">
        <v>569</v>
      </c>
      <c r="AH103" s="166">
        <v>579</v>
      </c>
      <c r="AI103" s="75">
        <v>230</v>
      </c>
      <c r="AJ103" s="75">
        <v>182</v>
      </c>
      <c r="AK103" s="165">
        <v>187</v>
      </c>
      <c r="AL103" s="165">
        <v>169</v>
      </c>
      <c r="AM103" s="165">
        <v>168</v>
      </c>
      <c r="AN103" s="165">
        <v>174</v>
      </c>
      <c r="AO103" s="165">
        <v>182</v>
      </c>
      <c r="AP103" s="165">
        <v>193</v>
      </c>
      <c r="AQ103" s="165">
        <v>191</v>
      </c>
    </row>
    <row r="104" spans="2:43">
      <c r="C104" s="165" t="s">
        <v>1206</v>
      </c>
      <c r="P104" s="168"/>
      <c r="Q104" s="168"/>
      <c r="R104" s="168"/>
      <c r="S104" s="168"/>
      <c r="T104" s="168"/>
      <c r="U104" s="168"/>
      <c r="V104" s="168"/>
      <c r="W104" s="168"/>
      <c r="X104" s="166"/>
      <c r="Y104" s="166"/>
      <c r="Z104" s="166" t="s">
        <v>300</v>
      </c>
      <c r="AA104" s="166"/>
      <c r="AB104" s="166">
        <v>259</v>
      </c>
      <c r="AC104" s="166"/>
      <c r="AD104" s="166">
        <v>284</v>
      </c>
      <c r="AE104" s="166"/>
      <c r="AF104" s="231">
        <v>308</v>
      </c>
      <c r="AG104" s="166">
        <v>312</v>
      </c>
      <c r="AH104" s="166">
        <v>304</v>
      </c>
      <c r="AI104" s="75">
        <v>293</v>
      </c>
      <c r="AJ104" s="75">
        <v>310</v>
      </c>
      <c r="AK104" s="165">
        <v>312</v>
      </c>
      <c r="AL104" s="165">
        <v>297</v>
      </c>
      <c r="AM104" s="165">
        <v>296</v>
      </c>
      <c r="AN104" s="165">
        <v>317</v>
      </c>
      <c r="AO104" s="165">
        <v>326</v>
      </c>
      <c r="AP104" s="165">
        <v>339</v>
      </c>
      <c r="AQ104" s="165">
        <v>311</v>
      </c>
    </row>
    <row r="105" spans="2:43">
      <c r="C105" s="165" t="s">
        <v>1207</v>
      </c>
      <c r="P105" s="168"/>
      <c r="Q105" s="168"/>
      <c r="R105" s="168"/>
      <c r="S105" s="168"/>
      <c r="T105" s="168"/>
      <c r="U105" s="168"/>
      <c r="V105" s="168"/>
      <c r="W105" s="168"/>
      <c r="X105" s="166"/>
      <c r="Y105" s="166"/>
      <c r="Z105" s="166"/>
      <c r="AA105" s="166"/>
      <c r="AB105" s="166"/>
      <c r="AC105" s="166"/>
      <c r="AD105" s="166"/>
      <c r="AE105" s="166"/>
      <c r="AF105" s="231"/>
      <c r="AG105" s="166"/>
      <c r="AH105" s="166"/>
    </row>
    <row r="106" spans="2:43">
      <c r="X106" s="165"/>
      <c r="Y106" s="165"/>
      <c r="Z106" s="166"/>
      <c r="AA106" s="166"/>
      <c r="AB106" s="166"/>
      <c r="AC106" s="166"/>
      <c r="AD106" s="166"/>
      <c r="AE106" s="166"/>
      <c r="AF106" s="166"/>
      <c r="AG106" s="166"/>
      <c r="AH106" s="166"/>
    </row>
    <row r="107" spans="2:43">
      <c r="C107" s="165" t="s">
        <v>1208</v>
      </c>
      <c r="P107" s="168"/>
      <c r="Q107" s="168"/>
      <c r="R107" s="168"/>
      <c r="S107" s="168"/>
      <c r="T107" s="168"/>
      <c r="U107" s="168"/>
      <c r="V107" s="168"/>
      <c r="W107" s="168"/>
      <c r="X107" s="166"/>
      <c r="Y107" s="166"/>
      <c r="Z107" s="166">
        <v>2.6</v>
      </c>
      <c r="AA107" s="166"/>
      <c r="AB107" s="166">
        <v>4</v>
      </c>
      <c r="AC107" s="166"/>
      <c r="AD107" s="166">
        <v>2</v>
      </c>
      <c r="AE107" s="166"/>
      <c r="AF107" s="231">
        <v>1</v>
      </c>
      <c r="AG107" s="166">
        <v>1</v>
      </c>
      <c r="AH107" s="166">
        <v>1</v>
      </c>
      <c r="AI107" s="75">
        <v>1</v>
      </c>
      <c r="AJ107" s="75">
        <v>1</v>
      </c>
      <c r="AK107" s="165">
        <v>1</v>
      </c>
      <c r="AL107" s="165">
        <v>1</v>
      </c>
      <c r="AM107" s="165">
        <v>2</v>
      </c>
      <c r="AN107" s="165">
        <v>2</v>
      </c>
      <c r="AO107" s="165">
        <v>3</v>
      </c>
      <c r="AP107" s="165">
        <v>3</v>
      </c>
      <c r="AQ107" s="165">
        <v>3</v>
      </c>
    </row>
    <row r="108" spans="2:43">
      <c r="C108" s="165" t="s">
        <v>1209</v>
      </c>
      <c r="P108" s="168"/>
      <c r="Q108" s="168"/>
      <c r="R108" s="168"/>
      <c r="S108" s="168"/>
      <c r="T108" s="168"/>
      <c r="U108" s="168"/>
      <c r="V108" s="168"/>
      <c r="W108" s="168"/>
      <c r="X108" s="166"/>
      <c r="Y108" s="166"/>
      <c r="Z108" s="166" t="s">
        <v>300</v>
      </c>
      <c r="AA108" s="166"/>
      <c r="AB108" s="166">
        <v>149</v>
      </c>
      <c r="AC108" s="166"/>
      <c r="AD108" s="166">
        <v>134</v>
      </c>
      <c r="AE108" s="166"/>
      <c r="AF108" s="231">
        <v>153</v>
      </c>
      <c r="AG108" s="166">
        <v>157</v>
      </c>
      <c r="AH108" s="166">
        <v>176</v>
      </c>
      <c r="AI108" s="75">
        <v>204</v>
      </c>
      <c r="AJ108" s="75">
        <v>248</v>
      </c>
      <c r="AK108" s="165">
        <v>296</v>
      </c>
      <c r="AL108" s="165">
        <v>505</v>
      </c>
      <c r="AM108" s="165">
        <v>565</v>
      </c>
      <c r="AN108" s="165">
        <v>612</v>
      </c>
      <c r="AO108" s="165">
        <v>654</v>
      </c>
      <c r="AP108" s="165">
        <v>700</v>
      </c>
      <c r="AQ108" s="165">
        <v>724</v>
      </c>
    </row>
    <row r="109" spans="2:43">
      <c r="P109" s="168"/>
      <c r="Q109" s="168"/>
      <c r="R109" s="168"/>
      <c r="S109" s="168"/>
      <c r="T109" s="168"/>
      <c r="U109" s="168"/>
      <c r="V109" s="168"/>
      <c r="W109" s="168"/>
      <c r="X109" s="166"/>
      <c r="Y109" s="166"/>
      <c r="Z109" s="166"/>
      <c r="AA109" s="166"/>
      <c r="AB109" s="166"/>
      <c r="AC109" s="166"/>
      <c r="AD109" s="166"/>
      <c r="AE109" s="166"/>
      <c r="AF109" s="166"/>
      <c r="AG109" s="166"/>
      <c r="AH109" s="166"/>
    </row>
    <row r="110" spans="2:43" s="206" customFormat="1">
      <c r="B110" s="206" t="s">
        <v>78</v>
      </c>
      <c r="P110" s="948"/>
      <c r="Q110" s="948"/>
      <c r="R110" s="948"/>
      <c r="S110" s="948"/>
      <c r="T110" s="948"/>
      <c r="U110" s="948"/>
      <c r="V110" s="948"/>
      <c r="W110" s="948"/>
      <c r="X110" s="273" t="s">
        <v>237</v>
      </c>
      <c r="Y110" s="273"/>
      <c r="Z110" s="273">
        <v>88</v>
      </c>
      <c r="AA110" s="273"/>
      <c r="AB110" s="273">
        <v>111</v>
      </c>
      <c r="AC110" s="273"/>
      <c r="AD110" s="273">
        <v>121</v>
      </c>
      <c r="AE110" s="273"/>
      <c r="AF110" s="273">
        <v>126</v>
      </c>
      <c r="AG110" s="273">
        <v>129</v>
      </c>
      <c r="AH110" s="273">
        <v>28</v>
      </c>
      <c r="AI110" s="273">
        <v>21</v>
      </c>
      <c r="AJ110" s="273">
        <v>23</v>
      </c>
      <c r="AK110" s="273">
        <v>23</v>
      </c>
      <c r="AL110" s="273">
        <v>9</v>
      </c>
      <c r="AM110" s="206">
        <v>9</v>
      </c>
      <c r="AN110" s="206">
        <v>14</v>
      </c>
      <c r="AO110" s="206">
        <v>14</v>
      </c>
      <c r="AP110" s="206">
        <f>SUM(AP112:AP114)</f>
        <v>15</v>
      </c>
      <c r="AQ110" s="206">
        <f>SUM(AQ112:AQ114)</f>
        <v>16</v>
      </c>
    </row>
    <row r="111" spans="2:43">
      <c r="P111" s="168"/>
      <c r="Q111" s="168"/>
      <c r="R111" s="168"/>
      <c r="S111" s="168"/>
      <c r="T111" s="168"/>
      <c r="U111" s="168"/>
      <c r="V111" s="168"/>
      <c r="W111" s="168"/>
      <c r="X111" s="166"/>
      <c r="Y111" s="166"/>
      <c r="Z111" s="166"/>
      <c r="AA111" s="166"/>
      <c r="AB111" s="166"/>
      <c r="AC111" s="166"/>
      <c r="AD111" s="166"/>
      <c r="AE111" s="166"/>
      <c r="AF111" s="166"/>
      <c r="AG111" s="166"/>
      <c r="AH111" s="166"/>
    </row>
    <row r="112" spans="2:43">
      <c r="C112" s="165" t="s">
        <v>1210</v>
      </c>
      <c r="P112" s="168"/>
      <c r="Q112" s="168"/>
      <c r="R112" s="168"/>
      <c r="S112" s="168"/>
      <c r="T112" s="168"/>
      <c r="U112" s="168"/>
      <c r="V112" s="168"/>
      <c r="W112" s="168"/>
      <c r="X112" s="166"/>
      <c r="Y112" s="166"/>
      <c r="Z112" s="166">
        <v>55.1</v>
      </c>
      <c r="AA112" s="166"/>
      <c r="AB112" s="166">
        <v>67</v>
      </c>
      <c r="AC112" s="166"/>
      <c r="AD112" s="166">
        <v>71</v>
      </c>
      <c r="AE112" s="166"/>
      <c r="AF112" s="231">
        <v>70</v>
      </c>
      <c r="AG112" s="166">
        <v>72</v>
      </c>
      <c r="AH112" s="166">
        <v>0</v>
      </c>
      <c r="AI112" s="75">
        <v>0</v>
      </c>
      <c r="AJ112" s="75">
        <v>0</v>
      </c>
      <c r="AK112" s="165">
        <v>0</v>
      </c>
      <c r="AL112" s="165">
        <v>0</v>
      </c>
      <c r="AM112" s="165">
        <v>0</v>
      </c>
      <c r="AN112" s="165">
        <v>0</v>
      </c>
      <c r="AO112" s="165">
        <v>0</v>
      </c>
      <c r="AP112" s="165">
        <v>0</v>
      </c>
      <c r="AQ112" s="165">
        <v>0</v>
      </c>
    </row>
    <row r="113" spans="2:43">
      <c r="C113" s="165" t="s">
        <v>1211</v>
      </c>
      <c r="P113" s="168"/>
      <c r="Q113" s="168"/>
      <c r="R113" s="168"/>
      <c r="S113" s="168"/>
      <c r="T113" s="168"/>
      <c r="U113" s="168"/>
      <c r="V113" s="168"/>
      <c r="W113" s="168"/>
      <c r="X113" s="166"/>
      <c r="Y113" s="166"/>
      <c r="Z113" s="166">
        <v>18.5</v>
      </c>
      <c r="AA113" s="166"/>
      <c r="AB113" s="166">
        <v>28</v>
      </c>
      <c r="AC113" s="166"/>
      <c r="AD113" s="166">
        <v>33</v>
      </c>
      <c r="AE113" s="166"/>
      <c r="AF113" s="231">
        <v>39</v>
      </c>
      <c r="AG113" s="166">
        <v>40</v>
      </c>
      <c r="AH113" s="166">
        <v>22</v>
      </c>
      <c r="AI113" s="75">
        <v>15</v>
      </c>
      <c r="AJ113" s="75">
        <v>17</v>
      </c>
      <c r="AK113" s="165">
        <v>17</v>
      </c>
      <c r="AL113" s="165">
        <v>0</v>
      </c>
      <c r="AM113" s="165">
        <v>0</v>
      </c>
      <c r="AN113" s="165">
        <v>0</v>
      </c>
      <c r="AO113" s="165">
        <v>0</v>
      </c>
      <c r="AP113" s="165">
        <v>0</v>
      </c>
      <c r="AQ113" s="165">
        <v>0</v>
      </c>
    </row>
    <row r="114" spans="2:43">
      <c r="C114" s="165" t="s">
        <v>1212</v>
      </c>
      <c r="P114" s="168"/>
      <c r="Q114" s="168"/>
      <c r="R114" s="168"/>
      <c r="S114" s="168"/>
      <c r="T114" s="168"/>
      <c r="U114" s="168"/>
      <c r="V114" s="168"/>
      <c r="W114" s="168"/>
      <c r="X114" s="166"/>
      <c r="Y114" s="166"/>
      <c r="Z114" s="166">
        <v>14.4</v>
      </c>
      <c r="AA114" s="166"/>
      <c r="AB114" s="166">
        <v>16</v>
      </c>
      <c r="AC114" s="166"/>
      <c r="AD114" s="166">
        <v>17</v>
      </c>
      <c r="AE114" s="166"/>
      <c r="AF114" s="231">
        <v>17</v>
      </c>
      <c r="AG114" s="166">
        <v>17</v>
      </c>
      <c r="AH114" s="166">
        <v>6</v>
      </c>
      <c r="AI114" s="75">
        <v>6</v>
      </c>
      <c r="AJ114" s="75">
        <v>6</v>
      </c>
      <c r="AK114" s="165">
        <v>6</v>
      </c>
      <c r="AL114" s="165">
        <v>9</v>
      </c>
      <c r="AM114" s="165">
        <v>9</v>
      </c>
      <c r="AN114" s="165">
        <v>14</v>
      </c>
      <c r="AO114" s="165">
        <v>14</v>
      </c>
      <c r="AP114" s="165">
        <v>15</v>
      </c>
      <c r="AQ114" s="165">
        <v>16</v>
      </c>
    </row>
    <row r="115" spans="2:43">
      <c r="C115" s="165" t="s">
        <v>1213</v>
      </c>
      <c r="P115" s="168"/>
      <c r="Q115" s="168"/>
      <c r="R115" s="168"/>
      <c r="S115" s="168"/>
      <c r="T115" s="168"/>
      <c r="U115" s="168"/>
      <c r="V115" s="168"/>
      <c r="W115" s="168"/>
      <c r="X115" s="166"/>
      <c r="Y115" s="166"/>
      <c r="Z115" s="166"/>
      <c r="AA115" s="166"/>
      <c r="AB115" s="166"/>
      <c r="AC115" s="166"/>
      <c r="AD115" s="166"/>
      <c r="AE115" s="166"/>
      <c r="AF115" s="166"/>
      <c r="AG115" s="166"/>
      <c r="AH115" s="166"/>
    </row>
    <row r="116" spans="2:43">
      <c r="P116" s="168"/>
      <c r="Q116" s="168"/>
      <c r="R116" s="168"/>
      <c r="S116" s="168"/>
      <c r="T116" s="168"/>
      <c r="U116" s="168"/>
      <c r="V116" s="168"/>
      <c r="W116" s="168"/>
      <c r="X116" s="166"/>
      <c r="Y116" s="166"/>
      <c r="Z116" s="166"/>
      <c r="AA116" s="166"/>
      <c r="AB116" s="166"/>
      <c r="AC116" s="166"/>
      <c r="AD116" s="166"/>
      <c r="AE116" s="166"/>
      <c r="AF116" s="166"/>
      <c r="AG116" s="166"/>
      <c r="AH116" s="166"/>
    </row>
    <row r="117" spans="2:43" ht="13.5">
      <c r="B117" s="220" t="s">
        <v>240</v>
      </c>
      <c r="P117" s="168"/>
      <c r="Q117" s="168"/>
      <c r="R117" s="168"/>
      <c r="S117" s="168"/>
      <c r="T117" s="168"/>
      <c r="U117" s="168"/>
      <c r="V117" s="168"/>
      <c r="W117" s="168"/>
      <c r="X117" s="166"/>
      <c r="Y117" s="166"/>
      <c r="Z117" s="166"/>
      <c r="AA117" s="166"/>
      <c r="AB117" s="166"/>
      <c r="AC117" s="166"/>
      <c r="AD117" s="166"/>
      <c r="AE117" s="166"/>
      <c r="AF117" s="166"/>
      <c r="AG117" s="166"/>
      <c r="AH117" s="166"/>
    </row>
    <row r="118" spans="2:43" s="206" customFormat="1">
      <c r="B118" s="206" t="s">
        <v>91</v>
      </c>
      <c r="P118" s="948"/>
      <c r="Q118" s="948"/>
      <c r="R118" s="948"/>
      <c r="S118" s="948"/>
      <c r="T118" s="948"/>
      <c r="U118" s="948"/>
      <c r="V118" s="948"/>
      <c r="W118" s="948"/>
      <c r="X118" s="273" t="s">
        <v>237</v>
      </c>
      <c r="Y118" s="273"/>
      <c r="Z118" s="273" t="s">
        <v>300</v>
      </c>
      <c r="AA118" s="273"/>
      <c r="AB118" s="273" t="s">
        <v>300</v>
      </c>
      <c r="AC118" s="273"/>
      <c r="AD118" s="273">
        <v>93</v>
      </c>
      <c r="AE118" s="273"/>
      <c r="AF118" s="273">
        <v>106</v>
      </c>
      <c r="AG118" s="273">
        <v>103</v>
      </c>
      <c r="AH118" s="273">
        <v>26</v>
      </c>
      <c r="AI118" s="273">
        <v>26</v>
      </c>
      <c r="AJ118" s="273">
        <v>29</v>
      </c>
      <c r="AK118" s="273">
        <v>28</v>
      </c>
      <c r="AL118" s="273">
        <v>46</v>
      </c>
      <c r="AM118" s="206">
        <v>46</v>
      </c>
      <c r="AN118" s="206">
        <v>52</v>
      </c>
      <c r="AO118" s="206">
        <v>58</v>
      </c>
      <c r="AP118" s="206">
        <f>+AP120</f>
        <v>65</v>
      </c>
      <c r="AQ118" s="206">
        <f>+AQ120</f>
        <v>71</v>
      </c>
    </row>
    <row r="119" spans="2:43">
      <c r="P119" s="168"/>
      <c r="Q119" s="168"/>
      <c r="R119" s="168"/>
      <c r="S119" s="168"/>
      <c r="T119" s="168"/>
      <c r="U119" s="168"/>
      <c r="V119" s="168"/>
      <c r="W119" s="168"/>
      <c r="X119" s="166"/>
      <c r="Y119" s="166"/>
      <c r="Z119" s="166"/>
      <c r="AA119" s="166"/>
      <c r="AB119" s="166"/>
      <c r="AC119" s="166"/>
      <c r="AD119" s="166"/>
      <c r="AE119" s="166"/>
      <c r="AF119" s="166"/>
      <c r="AG119" s="166"/>
      <c r="AH119" s="166"/>
    </row>
    <row r="120" spans="2:43">
      <c r="C120" s="165" t="s">
        <v>1214</v>
      </c>
      <c r="Z120" s="166" t="s">
        <v>300</v>
      </c>
      <c r="AA120" s="166"/>
      <c r="AB120" s="166" t="s">
        <v>300</v>
      </c>
      <c r="AC120" s="166"/>
      <c r="AD120" s="166">
        <v>93</v>
      </c>
      <c r="AE120" s="166"/>
      <c r="AF120" s="231">
        <v>106</v>
      </c>
      <c r="AG120" s="166">
        <v>103</v>
      </c>
      <c r="AH120" s="166">
        <v>26</v>
      </c>
      <c r="AI120" s="75">
        <v>26</v>
      </c>
      <c r="AJ120" s="75">
        <v>29</v>
      </c>
      <c r="AK120" s="165">
        <v>28</v>
      </c>
      <c r="AL120" s="165">
        <v>46</v>
      </c>
      <c r="AM120" s="165">
        <v>46</v>
      </c>
      <c r="AN120" s="165">
        <v>52</v>
      </c>
      <c r="AO120" s="165">
        <v>58</v>
      </c>
      <c r="AP120" s="165">
        <v>65</v>
      </c>
      <c r="AQ120" s="165">
        <v>71</v>
      </c>
    </row>
    <row r="121" spans="2:43">
      <c r="C121" s="165" t="s">
        <v>1215</v>
      </c>
      <c r="X121" s="244" t="s">
        <v>237</v>
      </c>
      <c r="Z121" s="244" t="s">
        <v>237</v>
      </c>
      <c r="AB121" s="244" t="s">
        <v>237</v>
      </c>
      <c r="AD121" s="244" t="s">
        <v>237</v>
      </c>
      <c r="AF121" s="241" t="s">
        <v>237</v>
      </c>
    </row>
    <row r="122" spans="2:43">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200"/>
      <c r="Y122" s="200"/>
      <c r="Z122" s="931"/>
      <c r="AA122" s="200"/>
      <c r="AB122" s="200"/>
      <c r="AC122" s="200"/>
      <c r="AD122" s="931"/>
      <c r="AE122" s="200"/>
      <c r="AF122" s="931"/>
      <c r="AG122" s="931"/>
      <c r="AH122" s="931"/>
      <c r="AI122" s="931"/>
      <c r="AJ122" s="931"/>
      <c r="AK122" s="931"/>
      <c r="AL122" s="931"/>
      <c r="AM122" s="931"/>
      <c r="AN122" s="931"/>
      <c r="AO122" s="931"/>
      <c r="AP122" s="931"/>
      <c r="AQ122" s="931"/>
    </row>
    <row r="123" spans="2:43">
      <c r="Z123" s="244"/>
      <c r="AD123" s="244"/>
      <c r="AF123" s="244"/>
    </row>
    <row r="124" spans="2:43">
      <c r="B124" s="165" t="s">
        <v>1216</v>
      </c>
      <c r="Z124" s="244"/>
      <c r="AD124" s="244"/>
      <c r="AF124" s="244"/>
    </row>
    <row r="125" spans="2:43">
      <c r="Z125" s="244"/>
      <c r="AD125" s="244"/>
      <c r="AF125" s="244"/>
    </row>
    <row r="126" spans="2:43">
      <c r="B126" s="165" t="s">
        <v>1217</v>
      </c>
      <c r="Z126" s="244"/>
      <c r="AD126" s="244"/>
      <c r="AF126" s="244"/>
    </row>
  </sheetData>
  <mergeCells count="3">
    <mergeCell ref="B26:AF26"/>
    <mergeCell ref="B87:AF87"/>
    <mergeCell ref="B15:AQ15"/>
  </mergeCells>
  <pageMargins left="0.70866141732283472" right="0.70866141732283472" top="0.74803149606299213" bottom="0.74803149606299213" header="0.31496062992125984" footer="0.31496062992125984"/>
  <pageSetup paperSize="9" scale="53"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R116"/>
  <sheetViews>
    <sheetView topLeftCell="A15" zoomScale="70" zoomScaleNormal="70" workbookViewId="0">
      <selection activeCell="B15" sqref="B15:AQ115"/>
    </sheetView>
  </sheetViews>
  <sheetFormatPr defaultColWidth="8.88671875" defaultRowHeight="12.75"/>
  <cols>
    <col min="1" max="1" width="1.44140625" style="165" customWidth="1"/>
    <col min="2" max="2" width="8.88671875" style="165"/>
    <col min="3" max="3" width="49.21875" style="165" customWidth="1"/>
    <col min="4" max="7" width="2.33203125" style="165" customWidth="1"/>
    <col min="8" max="15" width="2.33203125" style="165" hidden="1" customWidth="1"/>
    <col min="16" max="16" width="4.21875" style="165" hidden="1" customWidth="1"/>
    <col min="17" max="17" width="1.44140625" style="165" hidden="1" customWidth="1"/>
    <col min="18" max="18" width="5.33203125" style="165" hidden="1" customWidth="1"/>
    <col min="19" max="19" width="1.44140625" style="165" hidden="1" customWidth="1"/>
    <col min="20" max="20" width="4.77734375" style="165" hidden="1" customWidth="1"/>
    <col min="21" max="21" width="1.44140625" style="165" hidden="1" customWidth="1"/>
    <col min="22" max="22" width="4.44140625" style="165" hidden="1" customWidth="1"/>
    <col min="23" max="23" width="1.44140625" style="165" hidden="1" customWidth="1"/>
    <col min="24" max="24" width="7.5546875" style="75" hidden="1" customWidth="1"/>
    <col min="25" max="25" width="3.77734375" style="75" hidden="1" customWidth="1"/>
    <col min="26" max="26" width="9.109375" style="75" customWidth="1"/>
    <col min="27" max="27" width="5.5546875" style="75" customWidth="1"/>
    <col min="28" max="28" width="15.6640625" style="75" customWidth="1"/>
    <col min="29" max="29" width="10.44140625" style="75" hidden="1" customWidth="1"/>
    <col min="30" max="30" width="12.44140625" style="75" customWidth="1"/>
    <col min="31" max="31" width="2.44140625" style="165" hidden="1" customWidth="1"/>
    <col min="32" max="32" width="8.88671875" style="75" customWidth="1"/>
    <col min="33" max="33" width="8.88671875" style="165" customWidth="1"/>
    <col min="34" max="34" width="8.88671875" style="75" customWidth="1"/>
    <col min="35" max="36" width="8.88671875" style="165" customWidth="1"/>
    <col min="37" max="42" width="8.88671875" style="75" customWidth="1"/>
    <col min="43" max="43" width="8.88671875" style="165" customWidth="1"/>
    <col min="44" max="16384" width="8.88671875" style="165"/>
  </cols>
  <sheetData>
    <row r="1" spans="1:43" hidden="1">
      <c r="B1" s="165" t="s">
        <v>1136</v>
      </c>
    </row>
    <row r="2" spans="1:43" hidden="1"/>
    <row r="3" spans="1:43" hidden="1"/>
    <row r="4" spans="1:43" hidden="1">
      <c r="B4" s="165" t="s">
        <v>1137</v>
      </c>
      <c r="P4" s="165">
        <v>1993</v>
      </c>
      <c r="R4" s="165">
        <v>1995</v>
      </c>
      <c r="T4" s="165">
        <v>1997</v>
      </c>
      <c r="V4" s="165">
        <v>1999</v>
      </c>
      <c r="X4" s="75">
        <v>2001</v>
      </c>
      <c r="Y4" s="75">
        <v>2002</v>
      </c>
      <c r="Z4" s="75">
        <v>2003</v>
      </c>
      <c r="AA4" s="75">
        <v>2004</v>
      </c>
      <c r="AB4" s="75">
        <v>2005</v>
      </c>
      <c r="AD4" s="75">
        <v>2007</v>
      </c>
      <c r="AF4" s="75">
        <v>2009</v>
      </c>
      <c r="AG4" s="75" t="s">
        <v>1138</v>
      </c>
      <c r="AH4" s="75" t="s">
        <v>1139</v>
      </c>
      <c r="AI4" s="75" t="s">
        <v>1140</v>
      </c>
      <c r="AJ4" s="75" t="s">
        <v>1141</v>
      </c>
      <c r="AK4" s="75" t="s">
        <v>1195</v>
      </c>
      <c r="AL4" s="75" t="s">
        <v>1196</v>
      </c>
      <c r="AM4" s="75" t="s">
        <v>1197</v>
      </c>
      <c r="AN4" s="75" t="s">
        <v>1648</v>
      </c>
      <c r="AO4" s="75">
        <v>2018</v>
      </c>
      <c r="AP4" s="75">
        <v>2019</v>
      </c>
    </row>
    <row r="5" spans="1:43" hidden="1">
      <c r="AI5" s="75"/>
      <c r="AJ5" s="75"/>
    </row>
    <row r="6" spans="1:43" hidden="1">
      <c r="A6" s="165" t="s">
        <v>2</v>
      </c>
      <c r="B6" s="165" t="s">
        <v>3</v>
      </c>
      <c r="P6" s="165">
        <v>0</v>
      </c>
      <c r="R6" s="165">
        <v>0</v>
      </c>
      <c r="T6" s="165">
        <v>0</v>
      </c>
      <c r="V6" s="165">
        <v>0</v>
      </c>
      <c r="X6" s="166">
        <f>X94</f>
        <v>0</v>
      </c>
      <c r="Y6" s="166"/>
      <c r="Z6" s="166">
        <f>Z94</f>
        <v>0</v>
      </c>
      <c r="AA6" s="166"/>
      <c r="AB6" s="166">
        <f>AB94</f>
        <v>676</v>
      </c>
      <c r="AC6" s="166"/>
      <c r="AD6" s="166">
        <f>AD94</f>
        <v>1000</v>
      </c>
      <c r="AE6" s="168"/>
      <c r="AF6" s="166">
        <f t="shared" ref="AF6:AM6" si="0">AF94</f>
        <v>7523</v>
      </c>
      <c r="AG6" s="166">
        <f t="shared" si="0"/>
        <v>6894</v>
      </c>
      <c r="AH6" s="166">
        <f t="shared" si="0"/>
        <v>6930</v>
      </c>
      <c r="AI6" s="166">
        <f t="shared" si="0"/>
        <v>7062</v>
      </c>
      <c r="AJ6" s="166">
        <f t="shared" si="0"/>
        <v>7076</v>
      </c>
      <c r="AK6" s="166">
        <f t="shared" si="0"/>
        <v>8324.2245670000011</v>
      </c>
      <c r="AL6" s="166">
        <f t="shared" si="0"/>
        <v>8517.2377510000006</v>
      </c>
      <c r="AM6" s="166">
        <f t="shared" si="0"/>
        <v>8519.4093300000004</v>
      </c>
      <c r="AN6" s="255">
        <f>AM6*AM6/AL6</f>
        <v>8521.5814626719184</v>
      </c>
      <c r="AO6" s="255">
        <f>AN6*AN6/AM6</f>
        <v>8523.7541491569191</v>
      </c>
      <c r="AP6" s="255">
        <f>AO6*AO6/AN6</f>
        <v>8525.9273895962033</v>
      </c>
      <c r="AQ6" s="165" t="s">
        <v>1886</v>
      </c>
    </row>
    <row r="7" spans="1:43" hidden="1">
      <c r="A7" s="165" t="s">
        <v>4</v>
      </c>
      <c r="B7" s="165" t="s">
        <v>5</v>
      </c>
      <c r="P7" s="165">
        <v>0</v>
      </c>
      <c r="R7" s="165">
        <v>0</v>
      </c>
      <c r="T7" s="165">
        <v>0</v>
      </c>
      <c r="V7" s="165">
        <v>0</v>
      </c>
      <c r="X7" s="166">
        <f>X107</f>
        <v>0</v>
      </c>
      <c r="Y7" s="166"/>
      <c r="Z7" s="166">
        <f>Z107</f>
        <v>0</v>
      </c>
      <c r="AA7" s="166"/>
      <c r="AB7" s="166">
        <f>AB107</f>
        <v>0</v>
      </c>
      <c r="AC7" s="166"/>
      <c r="AD7" s="166">
        <f>AD107</f>
        <v>0</v>
      </c>
      <c r="AE7" s="168"/>
      <c r="AF7" s="166">
        <f t="shared" ref="AF7:AL7" si="1">AF107</f>
        <v>0</v>
      </c>
      <c r="AG7" s="166">
        <f t="shared" si="1"/>
        <v>0</v>
      </c>
      <c r="AH7" s="166">
        <f t="shared" si="1"/>
        <v>0</v>
      </c>
      <c r="AI7" s="166">
        <f t="shared" si="1"/>
        <v>0</v>
      </c>
      <c r="AJ7" s="166">
        <f t="shared" si="1"/>
        <v>0</v>
      </c>
      <c r="AK7" s="166">
        <f t="shared" si="1"/>
        <v>0</v>
      </c>
      <c r="AL7" s="166">
        <f t="shared" si="1"/>
        <v>0</v>
      </c>
      <c r="AM7" s="166">
        <f>AM107</f>
        <v>0</v>
      </c>
      <c r="AN7" s="166">
        <f t="shared" ref="AN7:AP7" si="2">AN107</f>
        <v>0</v>
      </c>
      <c r="AO7" s="166">
        <f t="shared" si="2"/>
        <v>0</v>
      </c>
      <c r="AP7" s="166">
        <f t="shared" si="2"/>
        <v>0</v>
      </c>
    </row>
    <row r="8" spans="1:43" hidden="1">
      <c r="A8" s="165" t="s">
        <v>6</v>
      </c>
      <c r="X8" s="166"/>
      <c r="Y8" s="166"/>
      <c r="Z8" s="166"/>
      <c r="AA8" s="166"/>
      <c r="AB8" s="166">
        <f>AB6+AB7</f>
        <v>676</v>
      </c>
      <c r="AC8" s="166"/>
      <c r="AD8" s="166">
        <f>AD6+AD7</f>
        <v>1000</v>
      </c>
      <c r="AE8" s="168"/>
      <c r="AF8" s="166">
        <f t="shared" ref="AF8:AP8" si="3">AF6+AF7</f>
        <v>7523</v>
      </c>
      <c r="AG8" s="166">
        <f t="shared" si="3"/>
        <v>6894</v>
      </c>
      <c r="AH8" s="166">
        <f t="shared" si="3"/>
        <v>6930</v>
      </c>
      <c r="AI8" s="166">
        <f t="shared" si="3"/>
        <v>7062</v>
      </c>
      <c r="AJ8" s="166">
        <f t="shared" si="3"/>
        <v>7076</v>
      </c>
      <c r="AK8" s="166">
        <f t="shared" si="3"/>
        <v>8324.2245670000011</v>
      </c>
      <c r="AL8" s="166">
        <f t="shared" si="3"/>
        <v>8517.2377510000006</v>
      </c>
      <c r="AM8" s="166">
        <f t="shared" si="3"/>
        <v>8519.4093300000004</v>
      </c>
      <c r="AN8" s="819">
        <f t="shared" si="3"/>
        <v>8521.5814626719184</v>
      </c>
      <c r="AO8" s="819">
        <f t="shared" si="3"/>
        <v>8523.7541491569191</v>
      </c>
      <c r="AP8" s="819">
        <f t="shared" si="3"/>
        <v>8525.9273895962033</v>
      </c>
    </row>
    <row r="9" spans="1:43" hidden="1">
      <c r="X9" s="166"/>
      <c r="Y9" s="166"/>
      <c r="Z9" s="166"/>
      <c r="AA9" s="166"/>
      <c r="AB9" s="166"/>
      <c r="AC9" s="166"/>
      <c r="AD9" s="166"/>
      <c r="AE9" s="168"/>
      <c r="AF9" s="166"/>
      <c r="AG9" s="166"/>
      <c r="AH9" s="166"/>
      <c r="AI9" s="166"/>
      <c r="AJ9" s="166"/>
      <c r="AK9" s="166"/>
      <c r="AL9" s="166"/>
      <c r="AM9" s="166"/>
    </row>
    <row r="10" spans="1:43" hidden="1">
      <c r="B10" s="165" t="s">
        <v>110</v>
      </c>
      <c r="X10" s="166">
        <f>X111</f>
        <v>0</v>
      </c>
      <c r="Y10" s="166"/>
      <c r="Z10" s="166">
        <f>Z111</f>
        <v>0</v>
      </c>
      <c r="AA10" s="166"/>
      <c r="AB10" s="166">
        <f>AB111</f>
        <v>1963</v>
      </c>
      <c r="AC10" s="166"/>
      <c r="AD10" s="166" t="str">
        <f>AD111</f>
        <v>..</v>
      </c>
      <c r="AE10" s="168"/>
      <c r="AF10" s="166" t="str">
        <f t="shared" ref="AF10:AM10" si="4">AF111</f>
        <v>..</v>
      </c>
      <c r="AG10" s="166" t="str">
        <f t="shared" si="4"/>
        <v>..</v>
      </c>
      <c r="AH10" s="166" t="str">
        <f t="shared" si="4"/>
        <v>..</v>
      </c>
      <c r="AI10" s="166">
        <f t="shared" si="4"/>
        <v>0</v>
      </c>
      <c r="AJ10" s="166">
        <f t="shared" si="4"/>
        <v>0</v>
      </c>
      <c r="AK10" s="166">
        <f t="shared" si="4"/>
        <v>0</v>
      </c>
      <c r="AL10" s="166">
        <f t="shared" si="4"/>
        <v>0</v>
      </c>
      <c r="AM10" s="166">
        <f t="shared" si="4"/>
        <v>0</v>
      </c>
    </row>
    <row r="11" spans="1:43" hidden="1">
      <c r="X11" s="166"/>
      <c r="Y11" s="166"/>
      <c r="Z11" s="166"/>
      <c r="AA11" s="166"/>
      <c r="AB11" s="166"/>
      <c r="AC11" s="166"/>
      <c r="AD11" s="166"/>
      <c r="AE11" s="168"/>
      <c r="AF11" s="166"/>
      <c r="AG11" s="166"/>
      <c r="AH11" s="166"/>
      <c r="AI11" s="166"/>
      <c r="AJ11" s="166"/>
      <c r="AK11" s="166"/>
      <c r="AL11" s="166"/>
      <c r="AM11" s="166"/>
    </row>
    <row r="12" spans="1:43" hidden="1">
      <c r="B12" s="165" t="s">
        <v>8</v>
      </c>
      <c r="X12" s="166">
        <v>0</v>
      </c>
      <c r="Y12" s="166"/>
      <c r="Z12" s="166">
        <v>0</v>
      </c>
      <c r="AA12" s="166"/>
      <c r="AB12" s="166">
        <f>AB99</f>
        <v>337</v>
      </c>
      <c r="AC12" s="166"/>
      <c r="AD12" s="166">
        <f>AD99</f>
        <v>473</v>
      </c>
      <c r="AE12" s="168"/>
      <c r="AF12" s="166">
        <f t="shared" ref="AF12:AL12" si="5">AF99+AF100</f>
        <v>6598</v>
      </c>
      <c r="AG12" s="166">
        <f t="shared" si="5"/>
        <v>6018</v>
      </c>
      <c r="AH12" s="166">
        <f t="shared" si="5"/>
        <v>6018</v>
      </c>
      <c r="AI12" s="166">
        <f t="shared" si="5"/>
        <v>6075</v>
      </c>
      <c r="AJ12" s="166">
        <f t="shared" si="5"/>
        <v>6096</v>
      </c>
      <c r="AK12" s="166">
        <f t="shared" si="5"/>
        <v>7341.0359870000002</v>
      </c>
      <c r="AL12" s="166">
        <f t="shared" si="5"/>
        <v>7422.8108310000007</v>
      </c>
      <c r="AM12" s="166">
        <f>AM99+AM100</f>
        <v>7355.9613300000001</v>
      </c>
      <c r="AN12" s="255">
        <f>AM12*AM12/AL12</f>
        <v>7289.7138726039248</v>
      </c>
      <c r="AO12" s="255">
        <f>AN12*AN12/AM12</f>
        <v>7224.0630368341144</v>
      </c>
      <c r="AP12" s="255">
        <f>AO12*AO12/AN12</f>
        <v>7159.0034495429954</v>
      </c>
    </row>
    <row r="13" spans="1:43" hidden="1">
      <c r="X13" s="166"/>
      <c r="Y13" s="166"/>
      <c r="Z13" s="166"/>
      <c r="AA13" s="166"/>
      <c r="AB13" s="166"/>
      <c r="AC13" s="166"/>
      <c r="AD13" s="166"/>
      <c r="AE13" s="168"/>
      <c r="AF13" s="166"/>
    </row>
    <row r="14" spans="1:43" hidden="1">
      <c r="X14" s="166"/>
      <c r="Y14" s="166"/>
      <c r="Z14" s="166"/>
      <c r="AA14" s="166"/>
      <c r="AB14" s="166"/>
      <c r="AC14" s="166"/>
      <c r="AD14" s="166"/>
      <c r="AE14" s="168"/>
      <c r="AF14" s="166"/>
    </row>
    <row r="15" spans="1:43" ht="42" customHeight="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69"/>
      <c r="AF15" s="1969"/>
      <c r="AG15" s="1969"/>
      <c r="AH15" s="1969"/>
      <c r="AI15" s="1969"/>
      <c r="AJ15" s="1969"/>
      <c r="AK15" s="1969"/>
      <c r="AL15" s="1969"/>
      <c r="AM15" s="1969"/>
      <c r="AN15" s="1925"/>
      <c r="AO15" s="1925"/>
      <c r="AP15" s="1925"/>
      <c r="AQ15" s="1953"/>
    </row>
    <row r="16" spans="1:43">
      <c r="O16" s="168"/>
      <c r="P16" s="168"/>
      <c r="Q16" s="168"/>
      <c r="R16" s="168"/>
      <c r="S16" s="168"/>
      <c r="T16" s="168"/>
      <c r="U16" s="168"/>
      <c r="V16" s="168"/>
      <c r="W16" s="168"/>
      <c r="X16" s="169"/>
      <c r="Y16" s="166"/>
      <c r="Z16" s="166"/>
      <c r="AA16" s="166"/>
      <c r="AB16" s="166"/>
      <c r="AC16" s="166"/>
      <c r="AD16" s="166"/>
      <c r="AE16" s="168"/>
      <c r="AF16" s="166"/>
    </row>
    <row r="17" spans="2:43" ht="19.5" customHeight="1">
      <c r="B17" s="170" t="s">
        <v>1136</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68"/>
      <c r="AF17" s="171"/>
    </row>
    <row r="18" spans="2:43">
      <c r="O18" s="168"/>
      <c r="P18" s="168"/>
      <c r="Q18" s="168"/>
      <c r="R18" s="168"/>
      <c r="S18" s="168"/>
      <c r="T18" s="168"/>
      <c r="U18" s="168"/>
      <c r="V18" s="168"/>
      <c r="W18" s="168"/>
      <c r="X18" s="169"/>
      <c r="Y18" s="166"/>
      <c r="Z18" s="166"/>
      <c r="AA18" s="166"/>
      <c r="AB18" s="166"/>
      <c r="AC18" s="166"/>
      <c r="AD18" s="166"/>
      <c r="AE18" s="168"/>
      <c r="AF18" s="166"/>
    </row>
    <row r="19" spans="2:43">
      <c r="B19" s="170" t="s">
        <v>243</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68"/>
      <c r="AF19" s="171"/>
      <c r="AK19" s="203"/>
    </row>
    <row r="20" spans="2:43">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169"/>
      <c r="AE20" s="168"/>
      <c r="AF20" s="169"/>
      <c r="AK20" s="2068"/>
    </row>
    <row r="21" spans="2:43">
      <c r="O21" s="168"/>
      <c r="P21" s="168"/>
      <c r="Q21" s="168"/>
      <c r="R21" s="168"/>
      <c r="S21" s="168"/>
      <c r="T21" s="168"/>
      <c r="U21" s="168"/>
      <c r="V21" s="168"/>
      <c r="W21" s="168"/>
      <c r="X21" s="257"/>
      <c r="Y21" s="258"/>
      <c r="Z21" s="257"/>
      <c r="AA21" s="258"/>
      <c r="AB21" s="257">
        <v>2005</v>
      </c>
      <c r="AC21" s="258"/>
      <c r="AD21" s="259">
        <v>2007</v>
      </c>
      <c r="AE21" s="260"/>
      <c r="AF21" s="259">
        <v>2009</v>
      </c>
      <c r="AG21" s="259">
        <v>2010</v>
      </c>
      <c r="AH21" s="259">
        <v>2011</v>
      </c>
      <c r="AI21" s="259">
        <v>2012</v>
      </c>
      <c r="AJ21" s="259">
        <v>2013</v>
      </c>
      <c r="AK21" s="2069">
        <v>2014</v>
      </c>
      <c r="AL21" s="259">
        <v>2015</v>
      </c>
      <c r="AM21" s="259">
        <v>2016</v>
      </c>
      <c r="AN21" s="259">
        <v>2017</v>
      </c>
      <c r="AO21" s="259">
        <v>2018</v>
      </c>
      <c r="AP21" s="259">
        <v>2019</v>
      </c>
      <c r="AQ21" s="259">
        <v>2020</v>
      </c>
    </row>
    <row r="22" spans="2:43" ht="15">
      <c r="B22" s="165" t="s">
        <v>1142</v>
      </c>
      <c r="D22" s="261"/>
      <c r="E22" s="261"/>
      <c r="F22" s="261"/>
      <c r="G22" s="261"/>
      <c r="H22" s="261"/>
      <c r="I22" s="261"/>
      <c r="J22" s="261"/>
      <c r="K22" s="261"/>
      <c r="L22" s="261"/>
      <c r="M22" s="261"/>
      <c r="N22" s="261"/>
      <c r="O22" s="261"/>
      <c r="P22" s="261"/>
      <c r="Q22" s="261"/>
      <c r="R22" s="261"/>
      <c r="S22" s="261"/>
      <c r="T22" s="261"/>
      <c r="U22" s="261"/>
      <c r="V22" s="261"/>
      <c r="W22" s="261"/>
      <c r="X22" s="244"/>
      <c r="Y22" s="244"/>
      <c r="Z22" s="244"/>
      <c r="AA22" s="244"/>
      <c r="AB22" s="244"/>
      <c r="AC22" s="244"/>
      <c r="AD22" s="244"/>
      <c r="AE22" s="168"/>
      <c r="AF22" s="241"/>
      <c r="AG22" s="2038"/>
      <c r="AH22" s="2039"/>
      <c r="AI22" s="2039"/>
      <c r="AJ22" s="2039"/>
      <c r="AK22" s="2070"/>
    </row>
    <row r="23" spans="2:43" ht="36" customHeight="1">
      <c r="B23" s="165" t="s">
        <v>1143</v>
      </c>
      <c r="X23" s="244"/>
      <c r="Y23" s="244"/>
      <c r="Z23" s="244"/>
      <c r="AA23" s="244"/>
      <c r="AB23" s="262" t="s">
        <v>1144</v>
      </c>
      <c r="AC23" s="263"/>
      <c r="AD23" s="262" t="s">
        <v>1145</v>
      </c>
      <c r="AE23" s="264"/>
      <c r="AF23" s="265" t="s">
        <v>1146</v>
      </c>
      <c r="AG23" s="265" t="s">
        <v>1147</v>
      </c>
      <c r="AH23" s="265" t="s">
        <v>1148</v>
      </c>
      <c r="AI23" s="265" t="s">
        <v>1149</v>
      </c>
      <c r="AJ23" s="265" t="s">
        <v>1150</v>
      </c>
      <c r="AK23" s="2071" t="s">
        <v>1151</v>
      </c>
      <c r="AL23" s="1866" t="s">
        <v>1925</v>
      </c>
      <c r="AM23" s="1866" t="s">
        <v>1926</v>
      </c>
      <c r="AN23" s="1866" t="s">
        <v>1927</v>
      </c>
      <c r="AO23" s="1866" t="s">
        <v>1928</v>
      </c>
      <c r="AP23" s="1866" t="s">
        <v>1929</v>
      </c>
      <c r="AQ23" s="1555" t="s">
        <v>1930</v>
      </c>
    </row>
    <row r="24" spans="2:43" ht="38.25">
      <c r="B24" s="165" t="s">
        <v>1152</v>
      </c>
      <c r="X24" s="244"/>
      <c r="Y24" s="244"/>
      <c r="Z24" s="244"/>
      <c r="AA24" s="244"/>
      <c r="AB24" s="262" t="s">
        <v>1144</v>
      </c>
      <c r="AC24" s="263"/>
      <c r="AD24" s="262" t="s">
        <v>1145</v>
      </c>
      <c r="AE24" s="264"/>
      <c r="AF24" s="265" t="s">
        <v>1146</v>
      </c>
      <c r="AG24" s="265" t="s">
        <v>1147</v>
      </c>
      <c r="AH24" s="265" t="s">
        <v>1148</v>
      </c>
      <c r="AI24" s="265" t="s">
        <v>1149</v>
      </c>
      <c r="AJ24" s="265" t="s">
        <v>1150</v>
      </c>
      <c r="AK24" s="2071" t="s">
        <v>1153</v>
      </c>
      <c r="AL24" s="1866" t="s">
        <v>1931</v>
      </c>
      <c r="AM24" s="1866" t="s">
        <v>1932</v>
      </c>
      <c r="AN24" s="1866" t="s">
        <v>1933</v>
      </c>
      <c r="AO24" s="1866" t="s">
        <v>1934</v>
      </c>
      <c r="AP24" s="1866" t="s">
        <v>1935</v>
      </c>
      <c r="AQ24" s="1555" t="s">
        <v>1936</v>
      </c>
    </row>
    <row r="25" spans="2:43">
      <c r="X25" s="244"/>
      <c r="Y25" s="244"/>
      <c r="Z25" s="244"/>
      <c r="AA25" s="244"/>
      <c r="AB25" s="262"/>
      <c r="AC25" s="263"/>
      <c r="AD25" s="262"/>
      <c r="AE25" s="264"/>
      <c r="AF25" s="265"/>
      <c r="AG25" s="265"/>
      <c r="AH25" s="265"/>
      <c r="AI25" s="265"/>
      <c r="AJ25" s="265"/>
      <c r="AK25" s="2071"/>
      <c r="AL25" s="1866"/>
      <c r="AM25" s="1866"/>
      <c r="AN25" s="1866"/>
      <c r="AO25" s="1866"/>
      <c r="AP25" s="1866"/>
      <c r="AQ25" s="1555"/>
    </row>
    <row r="26" spans="2:43" ht="38.25">
      <c r="B26" s="165" t="s">
        <v>1154</v>
      </c>
      <c r="X26" s="244"/>
      <c r="Y26" s="244"/>
      <c r="Z26" s="244"/>
      <c r="AA26" s="244"/>
      <c r="AB26" s="262" t="s">
        <v>1155</v>
      </c>
      <c r="AC26" s="263"/>
      <c r="AD26" s="262" t="s">
        <v>1156</v>
      </c>
      <c r="AE26" s="264"/>
      <c r="AF26" s="265" t="s">
        <v>1157</v>
      </c>
      <c r="AG26" s="265" t="s">
        <v>1158</v>
      </c>
      <c r="AH26" s="265" t="s">
        <v>1159</v>
      </c>
      <c r="AI26" s="265" t="s">
        <v>1160</v>
      </c>
      <c r="AJ26" s="265" t="s">
        <v>1161</v>
      </c>
      <c r="AK26" s="2071" t="s">
        <v>1162</v>
      </c>
      <c r="AL26" s="1866" t="s">
        <v>1937</v>
      </c>
      <c r="AM26" s="1866" t="s">
        <v>1938</v>
      </c>
      <c r="AN26" s="1866" t="s">
        <v>1939</v>
      </c>
      <c r="AO26" s="1866" t="s">
        <v>1940</v>
      </c>
      <c r="AP26" s="1866" t="s">
        <v>1941</v>
      </c>
      <c r="AQ26" s="1555" t="s">
        <v>1942</v>
      </c>
    </row>
    <row r="27" spans="2:43" ht="76.5">
      <c r="B27" s="165" t="s">
        <v>1163</v>
      </c>
      <c r="X27" s="244"/>
      <c r="Y27" s="244"/>
      <c r="Z27" s="244"/>
      <c r="AA27" s="244"/>
      <c r="AB27" s="262" t="s">
        <v>1164</v>
      </c>
      <c r="AC27" s="263"/>
      <c r="AD27" s="262" t="s">
        <v>1165</v>
      </c>
      <c r="AE27" s="264"/>
      <c r="AF27" s="265" t="s">
        <v>1157</v>
      </c>
      <c r="AG27" s="265" t="s">
        <v>1158</v>
      </c>
      <c r="AH27" s="265" t="s">
        <v>1159</v>
      </c>
      <c r="AI27" s="265" t="s">
        <v>1160</v>
      </c>
      <c r="AJ27" s="265" t="s">
        <v>1161</v>
      </c>
      <c r="AK27" s="2071" t="s">
        <v>1166</v>
      </c>
      <c r="AL27" s="1866" t="s">
        <v>1943</v>
      </c>
      <c r="AM27" s="1866" t="s">
        <v>1944</v>
      </c>
      <c r="AN27" s="1866" t="s">
        <v>1945</v>
      </c>
      <c r="AO27" s="1866" t="s">
        <v>1946</v>
      </c>
      <c r="AP27" s="1866" t="s">
        <v>1947</v>
      </c>
      <c r="AQ27" s="1555" t="s">
        <v>1948</v>
      </c>
    </row>
    <row r="28" spans="2:43">
      <c r="X28" s="244"/>
      <c r="Y28" s="244"/>
      <c r="Z28" s="244"/>
      <c r="AA28" s="244"/>
      <c r="AB28" s="244"/>
      <c r="AC28" s="244"/>
      <c r="AD28" s="244"/>
      <c r="AE28" s="168"/>
      <c r="AF28" s="244"/>
      <c r="AK28" s="2071"/>
      <c r="AL28" s="1866"/>
      <c r="AM28" s="1866"/>
      <c r="AN28" s="1866"/>
      <c r="AO28" s="1866"/>
      <c r="AP28" s="1866"/>
      <c r="AQ28" s="1555"/>
    </row>
    <row r="29" spans="2:43" ht="24" customHeight="1">
      <c r="B29" s="165" t="s">
        <v>1167</v>
      </c>
      <c r="AK29" s="2071" t="s">
        <v>1168</v>
      </c>
      <c r="AL29" s="1866" t="s">
        <v>1949</v>
      </c>
      <c r="AM29" s="1866" t="s">
        <v>1950</v>
      </c>
      <c r="AN29" s="1866" t="s">
        <v>1951</v>
      </c>
      <c r="AO29" s="1866" t="s">
        <v>1952</v>
      </c>
      <c r="AP29" s="1866" t="s">
        <v>1953</v>
      </c>
      <c r="AQ29" s="1555" t="s">
        <v>1954</v>
      </c>
    </row>
    <row r="30" spans="2:43">
      <c r="AK30" s="2071"/>
      <c r="AL30" s="1866"/>
      <c r="AM30" s="1866"/>
      <c r="AN30" s="1866"/>
      <c r="AO30" s="1866"/>
      <c r="AP30" s="1866"/>
      <c r="AQ30" s="1555"/>
    </row>
    <row r="31" spans="2:43" ht="25.5">
      <c r="B31" s="165" t="s">
        <v>1169</v>
      </c>
      <c r="AK31" s="2071" t="s">
        <v>1170</v>
      </c>
      <c r="AL31" s="1866" t="s">
        <v>1955</v>
      </c>
      <c r="AM31" s="1866" t="s">
        <v>1956</v>
      </c>
      <c r="AN31" s="1866" t="s">
        <v>1957</v>
      </c>
      <c r="AO31" s="1866" t="s">
        <v>1958</v>
      </c>
      <c r="AP31" s="1866" t="s">
        <v>1959</v>
      </c>
      <c r="AQ31" s="1555" t="s">
        <v>1960</v>
      </c>
    </row>
    <row r="32" spans="2:43" ht="51">
      <c r="B32" s="172" t="s">
        <v>1171</v>
      </c>
      <c r="C32" s="172"/>
      <c r="D32" s="172"/>
      <c r="E32" s="172"/>
      <c r="F32" s="172"/>
      <c r="G32" s="172"/>
      <c r="H32" s="172"/>
      <c r="I32" s="172"/>
      <c r="J32" s="172"/>
      <c r="K32" s="172"/>
      <c r="L32" s="172"/>
      <c r="M32" s="172"/>
      <c r="N32" s="172"/>
      <c r="O32" s="172"/>
      <c r="P32" s="172"/>
      <c r="Q32" s="172"/>
      <c r="R32" s="172"/>
      <c r="S32" s="172"/>
      <c r="T32" s="172"/>
      <c r="U32" s="172"/>
      <c r="V32" s="172"/>
      <c r="W32" s="172"/>
      <c r="X32" s="256"/>
      <c r="Y32" s="256"/>
      <c r="Z32" s="256"/>
      <c r="AA32" s="256"/>
      <c r="AB32" s="256"/>
      <c r="AC32" s="256"/>
      <c r="AD32" s="256"/>
      <c r="AE32" s="173"/>
      <c r="AF32" s="256"/>
      <c r="AG32" s="256"/>
      <c r="AH32" s="256"/>
      <c r="AI32" s="256"/>
      <c r="AJ32" s="256"/>
      <c r="AK32" s="2072" t="s">
        <v>1172</v>
      </c>
      <c r="AL32" s="1867" t="s">
        <v>1961</v>
      </c>
      <c r="AM32" s="1867" t="s">
        <v>1962</v>
      </c>
      <c r="AN32" s="2066" t="s">
        <v>1963</v>
      </c>
      <c r="AO32" s="2066" t="s">
        <v>1964</v>
      </c>
      <c r="AP32" s="2066" t="s">
        <v>1965</v>
      </c>
      <c r="AQ32" s="2067" t="s">
        <v>1966</v>
      </c>
    </row>
    <row r="33" spans="2:43">
      <c r="X33" s="166"/>
      <c r="Y33" s="166"/>
      <c r="Z33" s="166"/>
      <c r="AA33" s="166"/>
      <c r="AB33" s="166"/>
      <c r="AC33" s="166"/>
      <c r="AD33" s="166"/>
      <c r="AE33" s="168"/>
      <c r="AF33" s="166"/>
      <c r="AK33" s="2070"/>
      <c r="AQ33" s="75"/>
    </row>
    <row r="34" spans="2:43">
      <c r="AE34" s="168"/>
      <c r="AF34" s="166"/>
      <c r="AK34" s="2070"/>
    </row>
    <row r="35" spans="2:43">
      <c r="B35" s="165" t="s">
        <v>1173</v>
      </c>
      <c r="X35" s="166"/>
      <c r="Y35" s="166"/>
      <c r="Z35" s="166"/>
      <c r="AA35" s="166"/>
      <c r="AB35" s="166" t="s">
        <v>1174</v>
      </c>
      <c r="AC35" s="166"/>
      <c r="AD35" s="166"/>
      <c r="AE35" s="168"/>
      <c r="AF35" s="166"/>
      <c r="AK35" s="2070"/>
    </row>
    <row r="36" spans="2:43" ht="12.75" customHeight="1">
      <c r="B36" s="165" t="s">
        <v>1175</v>
      </c>
      <c r="X36" s="166"/>
      <c r="Y36" s="166"/>
      <c r="Z36" s="166"/>
      <c r="AA36" s="166"/>
      <c r="AB36" s="166"/>
      <c r="AC36" s="166"/>
      <c r="AD36" s="166"/>
      <c r="AE36" s="168"/>
      <c r="AF36" s="166"/>
    </row>
    <row r="37" spans="2:43" ht="12.75" customHeight="1">
      <c r="B37" s="165" t="s">
        <v>1967</v>
      </c>
      <c r="X37" s="166"/>
      <c r="Y37" s="166"/>
      <c r="Z37" s="166"/>
      <c r="AA37" s="166"/>
      <c r="AB37" s="166"/>
      <c r="AC37" s="166"/>
      <c r="AD37" s="166"/>
      <c r="AE37" s="168"/>
      <c r="AF37" s="166"/>
    </row>
    <row r="38" spans="2:43" ht="12.75" customHeight="1">
      <c r="B38" s="165" t="s">
        <v>1968</v>
      </c>
      <c r="X38" s="166"/>
      <c r="Y38" s="166"/>
      <c r="Z38" s="166"/>
      <c r="AA38" s="166"/>
      <c r="AB38" s="166"/>
      <c r="AC38" s="166"/>
      <c r="AD38" s="166"/>
      <c r="AE38" s="168"/>
      <c r="AF38" s="166"/>
      <c r="AM38" s="818"/>
    </row>
    <row r="39" spans="2:43" ht="12.75" customHeight="1">
      <c r="B39" s="165" t="s">
        <v>1176</v>
      </c>
      <c r="X39" s="166"/>
      <c r="Y39" s="166"/>
      <c r="Z39" s="166"/>
      <c r="AA39" s="166"/>
      <c r="AB39" s="166"/>
      <c r="AC39" s="166"/>
      <c r="AD39" s="166"/>
      <c r="AE39" s="168"/>
      <c r="AF39" s="166"/>
    </row>
    <row r="40" spans="2:43" ht="12.75" hidden="1" customHeight="1">
      <c r="X40" s="166"/>
      <c r="Y40" s="166"/>
      <c r="Z40" s="166"/>
      <c r="AA40" s="166"/>
      <c r="AB40" s="166"/>
      <c r="AC40" s="166"/>
      <c r="AD40" s="166"/>
      <c r="AE40" s="168"/>
      <c r="AF40" s="166"/>
    </row>
    <row r="41" spans="2:43" ht="12.75" hidden="1" customHeight="1">
      <c r="X41" s="166"/>
      <c r="Y41" s="166"/>
      <c r="Z41" s="166"/>
      <c r="AA41" s="166"/>
      <c r="AB41" s="166"/>
      <c r="AC41" s="166"/>
      <c r="AD41" s="166"/>
      <c r="AE41" s="168"/>
      <c r="AF41" s="166"/>
    </row>
    <row r="42" spans="2:43" ht="12.75" hidden="1" customHeight="1">
      <c r="X42" s="166"/>
      <c r="Y42" s="166"/>
      <c r="Z42" s="166"/>
      <c r="AA42" s="166"/>
      <c r="AB42" s="166"/>
      <c r="AC42" s="166"/>
      <c r="AD42" s="166"/>
      <c r="AE42" s="168"/>
      <c r="AF42" s="166"/>
    </row>
    <row r="43" spans="2:43" ht="12.75" hidden="1" customHeight="1">
      <c r="X43" s="166"/>
      <c r="Y43" s="166"/>
      <c r="Z43" s="166"/>
      <c r="AA43" s="166"/>
      <c r="AB43" s="166"/>
      <c r="AC43" s="166"/>
      <c r="AD43" s="166"/>
      <c r="AE43" s="168"/>
      <c r="AF43" s="166"/>
    </row>
    <row r="44" spans="2:43" ht="12.75" hidden="1" customHeight="1">
      <c r="X44" s="166"/>
      <c r="Y44" s="166"/>
      <c r="Z44" s="166"/>
      <c r="AA44" s="166"/>
      <c r="AB44" s="166"/>
      <c r="AC44" s="166"/>
      <c r="AD44" s="166"/>
      <c r="AE44" s="168"/>
      <c r="AF44" s="166"/>
    </row>
    <row r="45" spans="2:43" ht="12.75" hidden="1" customHeight="1">
      <c r="X45" s="166"/>
      <c r="Y45" s="166"/>
      <c r="Z45" s="166"/>
      <c r="AA45" s="166"/>
      <c r="AB45" s="166"/>
      <c r="AC45" s="166"/>
      <c r="AD45" s="166"/>
      <c r="AE45" s="168"/>
      <c r="AF45" s="166"/>
    </row>
    <row r="46" spans="2:43" ht="12.75" hidden="1" customHeight="1">
      <c r="X46" s="166"/>
      <c r="Y46" s="166"/>
      <c r="Z46" s="166"/>
      <c r="AA46" s="166"/>
      <c r="AB46" s="166"/>
      <c r="AC46" s="166"/>
      <c r="AD46" s="166"/>
      <c r="AE46" s="168"/>
      <c r="AF46" s="166"/>
    </row>
    <row r="47" spans="2:43" ht="12.75" hidden="1" customHeight="1">
      <c r="X47" s="166"/>
      <c r="Y47" s="166"/>
      <c r="Z47" s="166"/>
      <c r="AA47" s="166"/>
      <c r="AB47" s="166"/>
      <c r="AC47" s="166"/>
      <c r="AD47" s="166"/>
      <c r="AE47" s="168"/>
      <c r="AF47" s="166"/>
    </row>
    <row r="48" spans="2:43" ht="12.75" hidden="1" customHeight="1">
      <c r="X48" s="166"/>
      <c r="Y48" s="166"/>
      <c r="Z48" s="166"/>
      <c r="AA48" s="166"/>
      <c r="AB48" s="166"/>
      <c r="AC48" s="166"/>
      <c r="AD48" s="166"/>
      <c r="AE48" s="168"/>
      <c r="AF48" s="166"/>
    </row>
    <row r="49" spans="2:43" ht="12.75" hidden="1" customHeight="1">
      <c r="X49" s="166"/>
      <c r="Y49" s="166"/>
      <c r="Z49" s="166"/>
      <c r="AA49" s="166"/>
      <c r="AB49" s="166"/>
      <c r="AC49" s="166"/>
      <c r="AD49" s="166"/>
      <c r="AE49" s="168"/>
      <c r="AF49" s="166"/>
    </row>
    <row r="50" spans="2:43" ht="15.75" hidden="1" customHeight="1">
      <c r="X50" s="166"/>
      <c r="Y50" s="166"/>
      <c r="Z50" s="166"/>
      <c r="AA50" s="166"/>
      <c r="AB50" s="166"/>
      <c r="AC50" s="166"/>
      <c r="AD50" s="166"/>
      <c r="AE50" s="168"/>
      <c r="AF50" s="166"/>
    </row>
    <row r="51" spans="2:43" ht="12.75" hidden="1" customHeight="1">
      <c r="X51" s="166"/>
      <c r="Y51" s="166"/>
      <c r="Z51" s="166"/>
      <c r="AA51" s="166"/>
      <c r="AB51" s="166"/>
      <c r="AC51" s="166"/>
      <c r="AD51" s="166"/>
      <c r="AE51" s="168"/>
      <c r="AF51" s="166"/>
    </row>
    <row r="52" spans="2:43" ht="12.75" hidden="1" customHeight="1">
      <c r="X52" s="166"/>
      <c r="Y52" s="166"/>
      <c r="Z52" s="166"/>
      <c r="AA52" s="166"/>
      <c r="AB52" s="166"/>
      <c r="AC52" s="166"/>
      <c r="AD52" s="166"/>
      <c r="AE52" s="168"/>
      <c r="AF52" s="166"/>
    </row>
    <row r="53" spans="2:43" ht="12.75" hidden="1" customHeight="1">
      <c r="B53" s="941"/>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166"/>
      <c r="AB53" s="166"/>
      <c r="AC53" s="166"/>
      <c r="AD53" s="166"/>
      <c r="AE53" s="168"/>
      <c r="AF53" s="166"/>
    </row>
    <row r="54" spans="2:43" ht="12.75" hidden="1" customHeight="1">
      <c r="B54" s="941"/>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166"/>
      <c r="AB54" s="166"/>
      <c r="AC54" s="166"/>
      <c r="AD54" s="166"/>
      <c r="AE54" s="168"/>
      <c r="AF54" s="166"/>
    </row>
    <row r="55" spans="2:43" ht="12.75" hidden="1" customHeight="1">
      <c r="B55" s="941"/>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166"/>
      <c r="AB55" s="166"/>
      <c r="AC55" s="166"/>
      <c r="AD55" s="166"/>
      <c r="AE55" s="168"/>
      <c r="AF55" s="166"/>
    </row>
    <row r="56" spans="2:43" ht="12.75" hidden="1" customHeight="1">
      <c r="B56" s="941"/>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166"/>
      <c r="AB56" s="166"/>
      <c r="AC56" s="166"/>
      <c r="AD56" s="166"/>
      <c r="AE56" s="168"/>
      <c r="AF56" s="166"/>
    </row>
    <row r="57" spans="2:43" hidden="1">
      <c r="X57" s="166"/>
      <c r="Y57" s="166"/>
      <c r="Z57" s="166"/>
      <c r="AA57" s="166"/>
      <c r="AB57" s="166"/>
      <c r="AC57" s="166"/>
      <c r="AD57" s="166"/>
      <c r="AE57" s="168"/>
      <c r="AF57" s="166"/>
    </row>
    <row r="58" spans="2:43" ht="12.75" hidden="1" customHeight="1">
      <c r="X58" s="166"/>
      <c r="Y58" s="166"/>
      <c r="Z58" s="166"/>
      <c r="AA58" s="166"/>
      <c r="AB58" s="166"/>
      <c r="AC58" s="166"/>
      <c r="AD58" s="166"/>
      <c r="AE58" s="168"/>
      <c r="AF58" s="166"/>
    </row>
    <row r="59" spans="2:43" ht="12.75" customHeight="1">
      <c r="X59" s="166"/>
      <c r="Y59" s="166"/>
      <c r="Z59" s="166"/>
      <c r="AA59" s="166"/>
      <c r="AB59" s="166"/>
      <c r="AC59" s="166"/>
      <c r="AD59" s="166"/>
      <c r="AE59" s="168"/>
      <c r="AF59" s="166"/>
    </row>
    <row r="60" spans="2:43" ht="12.75" customHeight="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68"/>
      <c r="AF60" s="171"/>
    </row>
    <row r="61" spans="2:43" ht="12.75" customHeight="1">
      <c r="B61" s="190" t="s">
        <v>1177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68"/>
      <c r="AF61" s="191"/>
    </row>
    <row r="62" spans="2:43" ht="12.75" customHeight="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68"/>
      <c r="AF62" s="196"/>
    </row>
    <row r="63" spans="2:43" ht="12.75" customHeight="1">
      <c r="B63" s="165" t="s">
        <v>1884</v>
      </c>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201"/>
      <c r="AF63" s="202">
        <v>2009</v>
      </c>
      <c r="AG63" s="259">
        <v>2010</v>
      </c>
      <c r="AH63" s="259">
        <v>2011</v>
      </c>
      <c r="AI63" s="259">
        <v>2012</v>
      </c>
      <c r="AJ63" s="259">
        <v>2013</v>
      </c>
      <c r="AK63" s="259">
        <v>2014</v>
      </c>
      <c r="AL63" s="259">
        <v>2015</v>
      </c>
      <c r="AM63" s="259">
        <v>2016</v>
      </c>
      <c r="AN63" s="259">
        <v>2017</v>
      </c>
      <c r="AO63" s="259">
        <v>2018</v>
      </c>
      <c r="AP63" s="259">
        <v>2019</v>
      </c>
      <c r="AQ63" s="259">
        <v>2020</v>
      </c>
    </row>
    <row r="64" spans="2:43" ht="12.75" customHeight="1">
      <c r="B64" s="165" t="s">
        <v>1885</v>
      </c>
      <c r="E64" s="167"/>
      <c r="F64" s="167"/>
      <c r="G64" s="167"/>
      <c r="H64" s="167"/>
      <c r="I64" s="167"/>
      <c r="J64" s="167"/>
      <c r="K64" s="167"/>
      <c r="L64" s="167"/>
      <c r="M64" s="167"/>
      <c r="N64" s="167"/>
      <c r="O64" s="197"/>
      <c r="P64" s="198"/>
      <c r="Q64" s="199"/>
      <c r="R64" s="198"/>
      <c r="S64" s="198"/>
      <c r="T64" s="198"/>
      <c r="U64" s="198"/>
      <c r="V64" s="198"/>
      <c r="W64" s="198"/>
      <c r="Y64" s="203"/>
      <c r="AA64" s="203"/>
      <c r="AC64" s="203"/>
      <c r="AE64" s="203"/>
    </row>
    <row r="65" spans="2:43" ht="12.75" customHeight="1">
      <c r="B65" s="268" t="s">
        <v>28</v>
      </c>
      <c r="C65" s="165" t="s">
        <v>29</v>
      </c>
      <c r="E65" s="167"/>
      <c r="F65" s="167"/>
      <c r="G65" s="167"/>
      <c r="H65" s="167"/>
      <c r="I65" s="167"/>
      <c r="J65" s="167"/>
      <c r="K65" s="167"/>
      <c r="L65" s="167"/>
      <c r="M65" s="167"/>
      <c r="N65" s="167"/>
      <c r="O65" s="197"/>
      <c r="P65" s="198"/>
      <c r="Q65" s="199"/>
      <c r="R65" s="198"/>
      <c r="S65" s="198"/>
      <c r="T65" s="198"/>
      <c r="U65" s="198"/>
      <c r="V65" s="198"/>
      <c r="W65" s="198"/>
      <c r="X65" s="166"/>
      <c r="Z65" s="166"/>
      <c r="AB65" s="166">
        <v>624882</v>
      </c>
      <c r="AC65" s="75">
        <v>664271</v>
      </c>
      <c r="AD65" s="166">
        <v>717367</v>
      </c>
      <c r="AE65" s="166">
        <v>796422</v>
      </c>
      <c r="AF65" s="166">
        <v>846135</v>
      </c>
      <c r="AG65" s="166">
        <v>889658</v>
      </c>
      <c r="AH65" s="166">
        <v>960557</v>
      </c>
      <c r="AI65" s="166">
        <v>997304</v>
      </c>
      <c r="AJ65" s="166">
        <v>1004164</v>
      </c>
      <c r="AK65" s="166">
        <v>1027782</v>
      </c>
      <c r="AL65" s="166">
        <v>1055095</v>
      </c>
      <c r="AM65" s="166">
        <v>1092282</v>
      </c>
      <c r="AN65" s="166">
        <v>1166776</v>
      </c>
      <c r="AO65" s="166">
        <v>1239778</v>
      </c>
      <c r="AP65" s="166">
        <v>1318621</v>
      </c>
      <c r="AQ65" s="168">
        <v>1320611</v>
      </c>
    </row>
    <row r="66" spans="2:43" ht="12.75" customHeight="1">
      <c r="E66" s="167"/>
      <c r="F66" s="167"/>
      <c r="G66" s="167"/>
      <c r="H66" s="167"/>
      <c r="I66" s="167"/>
      <c r="J66" s="167"/>
      <c r="K66" s="167"/>
      <c r="L66" s="167"/>
      <c r="M66" s="167"/>
      <c r="N66" s="167"/>
      <c r="O66" s="197"/>
      <c r="P66" s="198"/>
      <c r="Q66" s="199"/>
      <c r="R66" s="198"/>
      <c r="S66" s="198"/>
      <c r="T66" s="198"/>
      <c r="U66" s="198"/>
      <c r="V66" s="198"/>
      <c r="W66" s="198"/>
      <c r="X66" s="166"/>
      <c r="Z66" s="166"/>
      <c r="AB66" s="166"/>
      <c r="AD66" s="166"/>
      <c r="AE66" s="166"/>
      <c r="AF66" s="166"/>
      <c r="AG66" s="166"/>
      <c r="AH66" s="166"/>
      <c r="AI66" s="166"/>
      <c r="AJ66" s="166"/>
      <c r="AK66" s="166"/>
      <c r="AL66" s="166"/>
      <c r="AM66" s="166"/>
      <c r="AN66" s="166"/>
      <c r="AO66" s="166"/>
      <c r="AP66" s="166"/>
      <c r="AQ66" s="168"/>
    </row>
    <row r="67" spans="2:43" ht="12.75" customHeight="1">
      <c r="B67" s="268" t="s">
        <v>30</v>
      </c>
      <c r="C67" s="165" t="s">
        <v>31</v>
      </c>
      <c r="E67" s="167"/>
      <c r="F67" s="167"/>
      <c r="G67" s="167"/>
      <c r="H67" s="167"/>
      <c r="I67" s="167"/>
      <c r="J67" s="167"/>
      <c r="K67" s="167"/>
      <c r="L67" s="167"/>
      <c r="M67" s="167"/>
      <c r="N67" s="167"/>
      <c r="O67" s="197"/>
      <c r="P67" s="198"/>
      <c r="Q67" s="199"/>
      <c r="R67" s="198"/>
      <c r="S67" s="198"/>
      <c r="T67" s="198"/>
      <c r="U67" s="198"/>
      <c r="V67" s="198"/>
      <c r="W67" s="198"/>
      <c r="X67" s="166"/>
      <c r="Z67" s="166"/>
      <c r="AB67" s="166">
        <v>698178</v>
      </c>
      <c r="AC67" s="75">
        <v>748255</v>
      </c>
      <c r="AD67" s="166">
        <v>809265</v>
      </c>
      <c r="AE67" s="166">
        <v>897373</v>
      </c>
      <c r="AF67" s="166">
        <v>952809</v>
      </c>
      <c r="AG67" s="166">
        <v>1006071</v>
      </c>
      <c r="AH67" s="166">
        <v>1077373</v>
      </c>
      <c r="AI67" s="166">
        <v>1120396</v>
      </c>
      <c r="AJ67" s="166">
        <v>1131642</v>
      </c>
      <c r="AK67" s="166">
        <v>1159828</v>
      </c>
      <c r="AL67" s="166">
        <v>1193545.2</v>
      </c>
      <c r="AM67" s="166">
        <v>1232796</v>
      </c>
      <c r="AN67" s="166">
        <v>1315525</v>
      </c>
      <c r="AO67" s="166">
        <v>1400844</v>
      </c>
      <c r="AP67" s="166">
        <v>1495475</v>
      </c>
      <c r="AQ67" s="168">
        <v>1512121</v>
      </c>
    </row>
    <row r="68" spans="2:43" ht="12.75" customHeight="1">
      <c r="E68" s="167"/>
      <c r="F68" s="167"/>
      <c r="G68" s="167"/>
      <c r="H68" s="167"/>
      <c r="I68" s="167"/>
      <c r="J68" s="167"/>
      <c r="K68" s="167"/>
      <c r="L68" s="167"/>
      <c r="M68" s="167"/>
      <c r="N68" s="167"/>
      <c r="O68" s="197"/>
      <c r="P68" s="198"/>
      <c r="Q68" s="199"/>
      <c r="R68" s="198"/>
      <c r="S68" s="198"/>
      <c r="T68" s="198"/>
      <c r="U68" s="198"/>
      <c r="V68" s="198"/>
      <c r="W68" s="198"/>
      <c r="AE68" s="75"/>
      <c r="AG68" s="166"/>
      <c r="AH68" s="166"/>
      <c r="AI68" s="166"/>
      <c r="AJ68" s="166"/>
      <c r="AK68" s="166"/>
      <c r="AL68" s="166"/>
      <c r="AM68" s="166"/>
      <c r="AN68" s="166"/>
      <c r="AO68" s="166"/>
      <c r="AP68" s="166"/>
      <c r="AQ68" s="168"/>
    </row>
    <row r="69" spans="2:43" ht="12.75" customHeight="1">
      <c r="B69" s="268" t="s">
        <v>32</v>
      </c>
      <c r="C69" s="165" t="s">
        <v>33</v>
      </c>
      <c r="E69" s="167"/>
      <c r="F69" s="167"/>
      <c r="G69" s="167"/>
      <c r="H69" s="167"/>
      <c r="I69" s="167"/>
      <c r="J69" s="167"/>
      <c r="K69" s="167"/>
      <c r="L69" s="167"/>
      <c r="M69" s="167"/>
      <c r="N69" s="167"/>
      <c r="O69" s="197"/>
      <c r="P69" s="198"/>
      <c r="Q69" s="199"/>
      <c r="R69" s="198"/>
      <c r="S69" s="198"/>
      <c r="T69" s="198"/>
      <c r="U69" s="198"/>
      <c r="V69" s="198"/>
      <c r="W69" s="198"/>
      <c r="X69" s="166"/>
      <c r="Z69" s="166"/>
      <c r="AB69" s="166">
        <f t="shared" ref="AB69:AQ69" si="6">SUM(AB71:AB72)</f>
        <v>118268</v>
      </c>
      <c r="AC69" s="75">
        <f t="shared" si="6"/>
        <v>130399</v>
      </c>
      <c r="AD69" s="166">
        <f t="shared" si="6"/>
        <v>147224</v>
      </c>
      <c r="AE69" s="166">
        <f t="shared" si="6"/>
        <v>160382</v>
      </c>
      <c r="AF69" s="166">
        <f t="shared" si="6"/>
        <v>152500</v>
      </c>
      <c r="AG69" s="166">
        <f t="shared" si="6"/>
        <v>171733</v>
      </c>
      <c r="AH69" s="166">
        <f t="shared" si="6"/>
        <v>187698</v>
      </c>
      <c r="AI69" s="166">
        <f t="shared" si="6"/>
        <v>182384</v>
      </c>
      <c r="AJ69" s="166">
        <f t="shared" si="6"/>
        <v>182917</v>
      </c>
      <c r="AK69" s="166">
        <f t="shared" si="6"/>
        <v>189807</v>
      </c>
      <c r="AL69" s="166">
        <f t="shared" si="6"/>
        <v>196527</v>
      </c>
      <c r="AM69" s="166">
        <f t="shared" si="6"/>
        <v>210267</v>
      </c>
      <c r="AN69" s="166">
        <f t="shared" si="6"/>
        <v>233651</v>
      </c>
      <c r="AO69" s="166">
        <f t="shared" si="6"/>
        <v>254404</v>
      </c>
      <c r="AP69" s="166">
        <f t="shared" si="6"/>
        <v>266001</v>
      </c>
      <c r="AQ69" s="168">
        <f t="shared" si="6"/>
        <v>268718</v>
      </c>
    </row>
    <row r="70" spans="2:43" ht="12.75" customHeight="1">
      <c r="E70" s="167"/>
      <c r="F70" s="167"/>
      <c r="G70" s="167"/>
      <c r="H70" s="167"/>
      <c r="I70" s="167"/>
      <c r="J70" s="167"/>
      <c r="K70" s="167"/>
      <c r="L70" s="167"/>
      <c r="M70" s="167"/>
      <c r="N70" s="167"/>
      <c r="O70" s="197"/>
      <c r="P70" s="198"/>
      <c r="Q70" s="199"/>
      <c r="R70" s="198"/>
      <c r="S70" s="198"/>
      <c r="T70" s="198"/>
      <c r="U70" s="198"/>
      <c r="V70" s="198"/>
      <c r="W70" s="198"/>
      <c r="AE70" s="75"/>
      <c r="AG70" s="166"/>
      <c r="AH70" s="166"/>
      <c r="AI70" s="166"/>
      <c r="AJ70" s="166"/>
      <c r="AK70" s="166"/>
      <c r="AL70" s="166"/>
      <c r="AM70" s="166"/>
      <c r="AN70" s="166"/>
      <c r="AO70" s="166"/>
      <c r="AP70" s="166"/>
      <c r="AQ70" s="168"/>
    </row>
    <row r="71" spans="2:43" ht="12.75" customHeight="1">
      <c r="C71" s="165" t="s">
        <v>34</v>
      </c>
      <c r="E71" s="167"/>
      <c r="F71" s="167"/>
      <c r="G71" s="167"/>
      <c r="H71" s="167"/>
      <c r="I71" s="167"/>
      <c r="J71" s="167"/>
      <c r="K71" s="167"/>
      <c r="L71" s="167"/>
      <c r="M71" s="167"/>
      <c r="N71" s="167"/>
      <c r="O71" s="197"/>
      <c r="P71" s="198"/>
      <c r="Q71" s="199"/>
      <c r="R71" s="198"/>
      <c r="S71" s="198"/>
      <c r="T71" s="198"/>
      <c r="U71" s="198"/>
      <c r="V71" s="198"/>
      <c r="W71" s="198"/>
      <c r="X71" s="166"/>
      <c r="Z71" s="166"/>
      <c r="AB71" s="166">
        <v>75783</v>
      </c>
      <c r="AC71" s="75">
        <v>86204</v>
      </c>
      <c r="AD71" s="166">
        <v>97848</v>
      </c>
      <c r="AE71" s="166">
        <v>101876</v>
      </c>
      <c r="AF71" s="166">
        <v>99562</v>
      </c>
      <c r="AG71" s="166">
        <v>109717</v>
      </c>
      <c r="AH71" s="166">
        <v>122647</v>
      </c>
      <c r="AI71" s="166">
        <v>116265</v>
      </c>
      <c r="AJ71" s="166">
        <v>116607</v>
      </c>
      <c r="AK71" s="166">
        <v>122671</v>
      </c>
      <c r="AL71" s="166">
        <v>125895</v>
      </c>
      <c r="AM71" s="166">
        <v>134623</v>
      </c>
      <c r="AN71" s="166">
        <v>154694</v>
      </c>
      <c r="AO71" s="166">
        <v>172264</v>
      </c>
      <c r="AP71" s="166">
        <v>182147</v>
      </c>
      <c r="AQ71" s="168">
        <v>185964</v>
      </c>
    </row>
    <row r="72" spans="2:43" ht="12.75" customHeight="1">
      <c r="C72" s="165" t="s">
        <v>35</v>
      </c>
      <c r="E72" s="167"/>
      <c r="F72" s="167"/>
      <c r="G72" s="167"/>
      <c r="H72" s="167"/>
      <c r="I72" s="167"/>
      <c r="J72" s="167"/>
      <c r="K72" s="167"/>
      <c r="L72" s="167"/>
      <c r="M72" s="167"/>
      <c r="N72" s="167"/>
      <c r="O72" s="197"/>
      <c r="P72" s="198"/>
      <c r="Q72" s="199"/>
      <c r="R72" s="198"/>
      <c r="S72" s="198"/>
      <c r="T72" s="198"/>
      <c r="U72" s="198"/>
      <c r="V72" s="198"/>
      <c r="W72" s="198"/>
      <c r="X72" s="166"/>
      <c r="Z72" s="166"/>
      <c r="AB72" s="166">
        <v>42485</v>
      </c>
      <c r="AC72" s="75">
        <v>44195</v>
      </c>
      <c r="AD72" s="166">
        <v>49376</v>
      </c>
      <c r="AE72" s="166">
        <v>58506</v>
      </c>
      <c r="AF72" s="166">
        <v>52938</v>
      </c>
      <c r="AG72" s="166">
        <v>62016</v>
      </c>
      <c r="AH72" s="166">
        <v>65051</v>
      </c>
      <c r="AI72" s="166">
        <v>66119</v>
      </c>
      <c r="AJ72" s="166">
        <v>66310</v>
      </c>
      <c r="AK72" s="166">
        <v>67136</v>
      </c>
      <c r="AL72" s="166">
        <v>70632</v>
      </c>
      <c r="AM72" s="166">
        <v>75644</v>
      </c>
      <c r="AN72" s="166">
        <v>78957</v>
      </c>
      <c r="AO72" s="166">
        <v>82140</v>
      </c>
      <c r="AP72" s="166">
        <v>83854</v>
      </c>
      <c r="AQ72" s="168">
        <v>82754</v>
      </c>
    </row>
    <row r="73" spans="2:43" ht="12.75" customHeight="1">
      <c r="E73" s="167"/>
      <c r="F73" s="167"/>
      <c r="G73" s="167"/>
      <c r="H73" s="167"/>
      <c r="I73" s="167"/>
      <c r="J73" s="167"/>
      <c r="K73" s="167"/>
      <c r="L73" s="167"/>
      <c r="M73" s="167"/>
      <c r="N73" s="167"/>
      <c r="O73" s="197"/>
      <c r="P73" s="198"/>
      <c r="Q73" s="199"/>
      <c r="R73" s="198"/>
      <c r="S73" s="198"/>
      <c r="T73" s="198"/>
      <c r="U73" s="198"/>
      <c r="V73" s="198"/>
      <c r="W73" s="198"/>
      <c r="X73" s="166"/>
      <c r="Z73" s="166"/>
      <c r="AB73" s="166"/>
      <c r="AD73" s="166"/>
      <c r="AE73" s="166"/>
      <c r="AF73" s="166"/>
      <c r="AG73" s="166"/>
      <c r="AH73" s="166"/>
      <c r="AI73" s="166"/>
      <c r="AJ73" s="166"/>
      <c r="AK73" s="166"/>
      <c r="AL73" s="166"/>
      <c r="AM73" s="166"/>
      <c r="AN73" s="166"/>
      <c r="AO73" s="166"/>
      <c r="AP73" s="166"/>
      <c r="AQ73" s="168"/>
    </row>
    <row r="74" spans="2:43" ht="12.75" customHeight="1">
      <c r="B74" s="268" t="s">
        <v>36</v>
      </c>
      <c r="C74" s="165" t="s">
        <v>37</v>
      </c>
      <c r="E74" s="167"/>
      <c r="F74" s="167"/>
      <c r="G74" s="167"/>
      <c r="H74" s="167"/>
      <c r="I74" s="167"/>
      <c r="J74" s="167"/>
      <c r="K74" s="167"/>
      <c r="L74" s="167"/>
      <c r="M74" s="167"/>
      <c r="N74" s="167"/>
      <c r="O74" s="197"/>
      <c r="P74" s="198"/>
      <c r="Q74" s="199"/>
      <c r="R74" s="198"/>
      <c r="S74" s="198"/>
      <c r="T74" s="198"/>
      <c r="U74" s="198"/>
      <c r="V74" s="198"/>
      <c r="W74" s="198"/>
      <c r="X74" s="166"/>
      <c r="Z74" s="166"/>
      <c r="AB74" s="166">
        <v>121269</v>
      </c>
      <c r="AC74" s="75">
        <v>133429</v>
      </c>
      <c r="AD74" s="166">
        <v>151804</v>
      </c>
      <c r="AE74" s="166">
        <v>165895</v>
      </c>
      <c r="AF74" s="166">
        <v>156923</v>
      </c>
      <c r="AG74" s="166">
        <v>176044</v>
      </c>
      <c r="AH74" s="166">
        <v>192664</v>
      </c>
      <c r="AI74" s="166">
        <v>187573</v>
      </c>
      <c r="AJ74" s="166">
        <v>188331</v>
      </c>
      <c r="AK74" s="166">
        <v>195571</v>
      </c>
      <c r="AL74" s="166">
        <v>206197</v>
      </c>
      <c r="AM74" s="166">
        <v>222565</v>
      </c>
      <c r="AN74" s="166">
        <v>246551</v>
      </c>
      <c r="AO74" s="166">
        <v>268295</v>
      </c>
      <c r="AP74" s="166">
        <v>281787</v>
      </c>
      <c r="AQ74" s="168">
        <v>282511</v>
      </c>
    </row>
    <row r="75" spans="2:43" ht="12.75" customHeight="1">
      <c r="E75" s="167"/>
      <c r="F75" s="167"/>
      <c r="G75" s="167"/>
      <c r="H75" s="167"/>
      <c r="I75" s="167"/>
      <c r="J75" s="167"/>
      <c r="K75" s="167"/>
      <c r="L75" s="167"/>
      <c r="M75" s="167"/>
      <c r="N75" s="167"/>
      <c r="O75" s="197"/>
      <c r="P75" s="198"/>
      <c r="Q75" s="199"/>
      <c r="R75" s="198"/>
      <c r="S75" s="198"/>
      <c r="T75" s="198"/>
      <c r="U75" s="198"/>
      <c r="V75" s="198"/>
      <c r="W75" s="198"/>
      <c r="X75" s="166"/>
      <c r="Z75" s="166"/>
      <c r="AB75" s="166"/>
      <c r="AD75" s="166"/>
      <c r="AE75" s="166"/>
      <c r="AF75" s="166"/>
      <c r="AG75" s="166"/>
      <c r="AH75" s="166"/>
      <c r="AI75" s="166"/>
      <c r="AJ75" s="166"/>
      <c r="AK75" s="166"/>
      <c r="AL75" s="166"/>
      <c r="AM75" s="166"/>
      <c r="AN75" s="166"/>
      <c r="AO75" s="166"/>
      <c r="AP75" s="166"/>
      <c r="AQ75" s="168"/>
    </row>
    <row r="76" spans="2:43" ht="12.75" customHeight="1">
      <c r="B76" s="268" t="s">
        <v>38</v>
      </c>
      <c r="C76" s="165" t="s">
        <v>39</v>
      </c>
      <c r="E76" s="167"/>
      <c r="F76" s="167"/>
      <c r="G76" s="167"/>
      <c r="H76" s="167"/>
      <c r="I76" s="167"/>
      <c r="J76" s="167"/>
      <c r="K76" s="167"/>
      <c r="L76" s="167"/>
      <c r="M76" s="167"/>
      <c r="N76" s="167"/>
      <c r="O76" s="197"/>
      <c r="P76" s="198"/>
      <c r="Q76" s="199"/>
      <c r="R76" s="198"/>
      <c r="S76" s="198"/>
      <c r="T76" s="198"/>
      <c r="U76" s="198"/>
      <c r="V76" s="198"/>
      <c r="W76" s="198"/>
      <c r="X76" s="166"/>
      <c r="Z76" s="166"/>
      <c r="AB76" s="166">
        <v>125163</v>
      </c>
      <c r="AC76" s="75">
        <v>137946</v>
      </c>
      <c r="AD76" s="166">
        <v>156683</v>
      </c>
      <c r="AE76" s="166">
        <v>171378</v>
      </c>
      <c r="AF76" s="166">
        <v>162601</v>
      </c>
      <c r="AG76" s="166">
        <v>182820</v>
      </c>
      <c r="AH76" s="166">
        <v>199566</v>
      </c>
      <c r="AI76" s="166">
        <v>194216</v>
      </c>
      <c r="AJ76" s="166">
        <v>193776</v>
      </c>
      <c r="AK76" s="166">
        <v>202862</v>
      </c>
      <c r="AL76" s="166">
        <v>214162</v>
      </c>
      <c r="AM76" s="166">
        <v>230662</v>
      </c>
      <c r="AN76" s="166">
        <v>253921</v>
      </c>
      <c r="AO76" s="166">
        <v>277278</v>
      </c>
      <c r="AP76" s="166">
        <v>294143</v>
      </c>
      <c r="AQ76" s="168">
        <v>282511</v>
      </c>
    </row>
    <row r="77" spans="2:43" ht="12.75" customHeight="1">
      <c r="B77" s="268"/>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E77" s="166"/>
      <c r="AF77" s="166"/>
      <c r="AG77" s="166"/>
      <c r="AH77" s="166"/>
      <c r="AI77" s="166"/>
      <c r="AJ77" s="166"/>
      <c r="AK77" s="166"/>
      <c r="AL77" s="166"/>
      <c r="AM77" s="166"/>
      <c r="AN77" s="166"/>
    </row>
    <row r="78" spans="2:43" ht="12.75" customHeight="1">
      <c r="B78" s="165" t="s">
        <v>40</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E78" s="166"/>
      <c r="AF78" s="166"/>
      <c r="AG78" s="166"/>
      <c r="AH78" s="166"/>
      <c r="AI78" s="166"/>
      <c r="AJ78" s="166"/>
      <c r="AK78" s="166"/>
      <c r="AL78" s="166"/>
      <c r="AM78" s="166"/>
      <c r="AN78" s="166"/>
    </row>
    <row r="79" spans="2:43" ht="12.75" customHeight="1">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E79" s="166"/>
      <c r="AF79" s="166"/>
      <c r="AG79" s="166"/>
      <c r="AH79" s="166"/>
      <c r="AI79" s="166"/>
      <c r="AJ79" s="166"/>
      <c r="AK79" s="166"/>
      <c r="AL79" s="166"/>
      <c r="AM79" s="166"/>
      <c r="AN79" s="166"/>
    </row>
    <row r="80" spans="2:43" ht="12.75" customHeight="1">
      <c r="B80" s="269"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c r="Y80" s="171"/>
      <c r="Z80" s="207"/>
      <c r="AA80" s="171"/>
      <c r="AB80" s="207">
        <f t="shared" ref="AB80:AQ80" si="7">AB69/AB67</f>
        <v>0.16939519721331808</v>
      </c>
      <c r="AC80" s="171">
        <f t="shared" si="7"/>
        <v>0.17427080340258336</v>
      </c>
      <c r="AD80" s="207">
        <f t="shared" si="7"/>
        <v>0.18192310306265563</v>
      </c>
      <c r="AE80" s="207">
        <f t="shared" si="7"/>
        <v>0.17872389742058209</v>
      </c>
      <c r="AF80" s="207">
        <f t="shared" si="7"/>
        <v>0.16005306415031764</v>
      </c>
      <c r="AG80" s="207">
        <f t="shared" si="7"/>
        <v>0.17069670033228271</v>
      </c>
      <c r="AH80" s="207">
        <f t="shared" si="7"/>
        <v>0.17421821411897273</v>
      </c>
      <c r="AI80" s="207">
        <f t="shared" si="7"/>
        <v>0.16278530091146345</v>
      </c>
      <c r="AJ80" s="207">
        <f t="shared" si="7"/>
        <v>0.16163857474360266</v>
      </c>
      <c r="AK80" s="207">
        <f t="shared" si="7"/>
        <v>0.16365098962949678</v>
      </c>
      <c r="AL80" s="207">
        <f t="shared" si="7"/>
        <v>0.16465819643864346</v>
      </c>
      <c r="AM80" s="207">
        <f t="shared" si="7"/>
        <v>0.17056106606445837</v>
      </c>
      <c r="AN80" s="207">
        <f t="shared" si="7"/>
        <v>0.17761045970240019</v>
      </c>
      <c r="AO80" s="207">
        <f t="shared" si="7"/>
        <v>0.18160765938248655</v>
      </c>
      <c r="AP80" s="207">
        <f t="shared" si="7"/>
        <v>0.17787057623831892</v>
      </c>
      <c r="AQ80" s="556">
        <f t="shared" si="7"/>
        <v>0.17770932352635802</v>
      </c>
    </row>
    <row r="81" spans="2:43" ht="12.75" customHeight="1">
      <c r="E81" s="167"/>
      <c r="F81" s="167"/>
      <c r="G81" s="167"/>
      <c r="H81" s="167"/>
      <c r="I81" s="167"/>
      <c r="J81" s="167"/>
      <c r="K81" s="167"/>
      <c r="L81" s="167"/>
      <c r="M81" s="167"/>
      <c r="N81" s="167"/>
      <c r="O81" s="197"/>
      <c r="P81" s="198"/>
      <c r="Q81" s="199"/>
      <c r="R81" s="198"/>
      <c r="S81" s="198"/>
      <c r="T81" s="198"/>
      <c r="U81" s="198"/>
      <c r="V81" s="198"/>
      <c r="W81" s="198"/>
      <c r="X81" s="166"/>
      <c r="Z81" s="166"/>
      <c r="AB81" s="166"/>
      <c r="AD81" s="166"/>
      <c r="AE81" s="166"/>
      <c r="AF81" s="166"/>
      <c r="AG81" s="166"/>
      <c r="AH81" s="166"/>
      <c r="AI81" s="166"/>
      <c r="AJ81" s="166"/>
      <c r="AK81" s="166"/>
      <c r="AL81" s="166"/>
      <c r="AM81" s="166"/>
      <c r="AN81" s="166"/>
      <c r="AO81" s="208"/>
      <c r="AP81" s="208"/>
      <c r="AQ81" s="555"/>
    </row>
    <row r="82" spans="2:43" ht="12.75" customHeight="1">
      <c r="B82" s="268" t="s">
        <v>43</v>
      </c>
      <c r="C82" s="165" t="s">
        <v>44</v>
      </c>
      <c r="E82" s="167"/>
      <c r="F82" s="167"/>
      <c r="G82" s="167"/>
      <c r="H82" s="167"/>
      <c r="I82" s="167"/>
      <c r="J82" s="167"/>
      <c r="K82" s="167"/>
      <c r="L82" s="167"/>
      <c r="M82" s="167"/>
      <c r="N82" s="167"/>
      <c r="O82" s="197"/>
      <c r="P82" s="198"/>
      <c r="Q82" s="199"/>
      <c r="R82" s="198"/>
      <c r="S82" s="198"/>
      <c r="T82" s="198"/>
      <c r="U82" s="198"/>
      <c r="V82" s="198"/>
      <c r="W82" s="198"/>
      <c r="X82" s="208"/>
      <c r="Z82" s="208"/>
      <c r="AB82" s="208">
        <f t="shared" ref="AB82:AQ82" si="8">AB76/AB67</f>
        <v>0.17927090226274675</v>
      </c>
      <c r="AC82" s="75">
        <f t="shared" si="8"/>
        <v>0.18435693714041337</v>
      </c>
      <c r="AD82" s="208">
        <f t="shared" si="8"/>
        <v>0.19361148696656844</v>
      </c>
      <c r="AE82" s="208">
        <f t="shared" si="8"/>
        <v>0.1909774419332875</v>
      </c>
      <c r="AF82" s="208">
        <f t="shared" si="8"/>
        <v>0.17065434940266097</v>
      </c>
      <c r="AG82" s="208">
        <f t="shared" si="8"/>
        <v>0.18171679732344934</v>
      </c>
      <c r="AH82" s="208">
        <f t="shared" si="8"/>
        <v>0.18523389763805106</v>
      </c>
      <c r="AI82" s="208">
        <f t="shared" si="8"/>
        <v>0.17334585271636099</v>
      </c>
      <c r="AJ82" s="208">
        <f t="shared" si="8"/>
        <v>0.17123436563860303</v>
      </c>
      <c r="AK82" s="208">
        <f t="shared" si="8"/>
        <v>0.17490696896436367</v>
      </c>
      <c r="AL82" s="208">
        <f t="shared" si="8"/>
        <v>0.17943350616298404</v>
      </c>
      <c r="AM82" s="208">
        <f t="shared" si="8"/>
        <v>0.18710476023608125</v>
      </c>
      <c r="AN82" s="208">
        <f t="shared" si="8"/>
        <v>0.19301875677011079</v>
      </c>
      <c r="AO82" s="208">
        <f t="shared" si="8"/>
        <v>0.19793638692102761</v>
      </c>
      <c r="AP82" s="208">
        <f t="shared" si="8"/>
        <v>0.19668867751048999</v>
      </c>
      <c r="AQ82" s="555">
        <f t="shared" si="8"/>
        <v>0.18683094805243761</v>
      </c>
    </row>
    <row r="83" spans="2:43" ht="12.75" customHeight="1">
      <c r="E83" s="167"/>
      <c r="F83" s="167"/>
      <c r="G83" s="167"/>
      <c r="H83" s="167"/>
      <c r="I83" s="167"/>
      <c r="J83" s="167"/>
      <c r="K83" s="167"/>
      <c r="L83" s="167"/>
      <c r="M83" s="167"/>
      <c r="N83" s="167"/>
      <c r="O83" s="197"/>
      <c r="P83" s="198"/>
      <c r="Q83" s="199"/>
      <c r="R83" s="198"/>
      <c r="S83" s="198"/>
      <c r="T83" s="198"/>
      <c r="U83" s="198"/>
      <c r="V83" s="198"/>
      <c r="W83" s="198"/>
      <c r="X83" s="166"/>
      <c r="Z83" s="166"/>
      <c r="AB83" s="166"/>
      <c r="AD83" s="166"/>
      <c r="AE83" s="166"/>
      <c r="AF83" s="166"/>
      <c r="AG83" s="166"/>
      <c r="AH83" s="166"/>
      <c r="AI83" s="166"/>
      <c r="AJ83" s="166"/>
      <c r="AK83" s="166"/>
      <c r="AL83" s="166"/>
      <c r="AM83" s="166"/>
      <c r="AN83" s="166"/>
      <c r="AO83" s="208"/>
      <c r="AP83" s="208"/>
      <c r="AQ83" s="555"/>
    </row>
    <row r="84" spans="2:43" ht="12.75" customHeight="1">
      <c r="B84" s="268" t="s">
        <v>45</v>
      </c>
      <c r="C84" s="165" t="s">
        <v>46</v>
      </c>
      <c r="E84" s="167"/>
      <c r="F84" s="167"/>
      <c r="G84" s="167"/>
      <c r="H84" s="167"/>
      <c r="I84" s="167"/>
      <c r="J84" s="167"/>
      <c r="K84" s="167"/>
      <c r="L84" s="167"/>
      <c r="M84" s="167"/>
      <c r="N84" s="167"/>
      <c r="O84" s="197"/>
      <c r="P84" s="198"/>
      <c r="Q84" s="199"/>
      <c r="R84" s="198"/>
      <c r="S84" s="198"/>
      <c r="T84" s="198"/>
      <c r="U84" s="198"/>
      <c r="V84" s="198"/>
      <c r="W84" s="198"/>
      <c r="X84" s="208"/>
      <c r="Z84" s="208"/>
      <c r="AB84" s="208">
        <f t="shared" ref="AB84:AQ84" si="9">AB76/AB65</f>
        <v>0.2002986163787723</v>
      </c>
      <c r="AC84" s="75">
        <f t="shared" si="9"/>
        <v>0.20766524505811634</v>
      </c>
      <c r="AD84" s="208">
        <f t="shared" si="9"/>
        <v>0.21841400566237365</v>
      </c>
      <c r="AE84" s="208">
        <f t="shared" si="9"/>
        <v>0.21518491453023647</v>
      </c>
      <c r="AF84" s="208">
        <f t="shared" si="9"/>
        <v>0.19216909831173512</v>
      </c>
      <c r="AG84" s="208">
        <f t="shared" si="9"/>
        <v>0.20549469571453299</v>
      </c>
      <c r="AH84" s="208">
        <f t="shared" si="9"/>
        <v>0.20776070550732545</v>
      </c>
      <c r="AI84" s="208">
        <f t="shared" si="9"/>
        <v>0.19474102179475866</v>
      </c>
      <c r="AJ84" s="208">
        <f t="shared" si="9"/>
        <v>0.19297246266546103</v>
      </c>
      <c r="AK84" s="208">
        <f t="shared" si="9"/>
        <v>0.19737843239130476</v>
      </c>
      <c r="AL84" s="208">
        <f t="shared" si="9"/>
        <v>0.20297887867917108</v>
      </c>
      <c r="AM84" s="208">
        <f t="shared" si="9"/>
        <v>0.21117440367963586</v>
      </c>
      <c r="AN84" s="208">
        <f t="shared" si="9"/>
        <v>0.21762617674686485</v>
      </c>
      <c r="AO84" s="208">
        <f t="shared" si="9"/>
        <v>0.22365133112541116</v>
      </c>
      <c r="AP84" s="208">
        <f t="shared" si="9"/>
        <v>0.2230686451982791</v>
      </c>
      <c r="AQ84" s="555">
        <f t="shared" si="9"/>
        <v>0.21392446375200569</v>
      </c>
    </row>
    <row r="85" spans="2:43" ht="15.75" customHeight="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c r="E86" s="167"/>
      <c r="F86" s="167"/>
      <c r="G86" s="167"/>
      <c r="H86" s="167"/>
      <c r="I86" s="167"/>
      <c r="J86" s="167"/>
      <c r="K86" s="167"/>
      <c r="L86" s="167"/>
      <c r="M86" s="167"/>
      <c r="N86" s="167"/>
      <c r="O86" s="197"/>
      <c r="P86" s="198"/>
      <c r="Q86" s="199"/>
      <c r="R86" s="198"/>
      <c r="S86" s="198"/>
      <c r="T86" s="198"/>
      <c r="U86" s="198"/>
      <c r="V86" s="198"/>
      <c r="W86" s="198"/>
      <c r="AE86" s="75"/>
      <c r="AG86" s="75"/>
    </row>
    <row r="87" spans="2:43" ht="15">
      <c r="B87" s="270"/>
      <c r="C87" s="835"/>
      <c r="D87" s="835"/>
      <c r="E87" s="835"/>
      <c r="F87" s="835"/>
      <c r="G87" s="835"/>
      <c r="H87" s="835"/>
      <c r="I87" s="835"/>
      <c r="J87" s="835"/>
      <c r="K87" s="835"/>
      <c r="L87" s="835"/>
      <c r="M87" s="835"/>
      <c r="N87" s="835"/>
      <c r="O87" s="835"/>
      <c r="P87" s="835"/>
      <c r="Q87" s="835"/>
      <c r="R87" s="835"/>
      <c r="S87" s="835"/>
      <c r="T87" s="835"/>
      <c r="U87" s="835"/>
      <c r="V87" s="835"/>
      <c r="W87" s="835"/>
      <c r="X87" s="835"/>
      <c r="Y87" s="835"/>
      <c r="Z87" s="835"/>
      <c r="AA87" s="835"/>
      <c r="AB87" s="835"/>
      <c r="AC87" s="835"/>
      <c r="AD87" s="835"/>
      <c r="AE87" s="168"/>
      <c r="AF87" s="165"/>
      <c r="AH87" s="165"/>
    </row>
    <row r="88" spans="2:43">
      <c r="X88" s="166"/>
      <c r="Y88" s="166"/>
      <c r="Z88" s="166"/>
      <c r="AA88" s="166"/>
      <c r="AB88" s="166"/>
      <c r="AC88" s="166"/>
      <c r="AD88" s="166"/>
      <c r="AE88" s="168"/>
      <c r="AF88" s="166"/>
    </row>
    <row r="89" spans="2:43">
      <c r="X89" s="166"/>
      <c r="Y89" s="166"/>
      <c r="Z89" s="166"/>
      <c r="AA89" s="166"/>
      <c r="AB89" s="166"/>
      <c r="AC89" s="166"/>
      <c r="AD89" s="166"/>
      <c r="AE89" s="168"/>
      <c r="AF89" s="166"/>
    </row>
    <row r="90" spans="2:43">
      <c r="B90" s="170" t="s">
        <v>1178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68"/>
      <c r="AF90" s="171"/>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6"/>
      <c r="AE91" s="168"/>
      <c r="AF91" s="196"/>
    </row>
    <row r="92" spans="2:43" ht="51">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71" t="s">
        <v>1179</v>
      </c>
      <c r="AC92" s="196"/>
      <c r="AD92" s="271" t="s">
        <v>1180</v>
      </c>
      <c r="AE92" s="260"/>
      <c r="AF92" s="271" t="s">
        <v>1181</v>
      </c>
      <c r="AG92" s="272" t="s">
        <v>1182</v>
      </c>
      <c r="AH92" s="272" t="s">
        <v>1183</v>
      </c>
      <c r="AI92" s="272" t="s">
        <v>1184</v>
      </c>
      <c r="AJ92" s="272" t="s">
        <v>1185</v>
      </c>
      <c r="AK92" s="817" t="s">
        <v>1186</v>
      </c>
      <c r="AL92" s="817" t="s">
        <v>1187</v>
      </c>
      <c r="AM92" s="817" t="s">
        <v>1188</v>
      </c>
      <c r="AN92" s="1872" t="s">
        <v>1969</v>
      </c>
      <c r="AO92" s="1872" t="s">
        <v>1970</v>
      </c>
      <c r="AP92" s="1872" t="s">
        <v>1971</v>
      </c>
      <c r="AQ92" s="2073" t="s">
        <v>1972</v>
      </c>
    </row>
    <row r="93" spans="2:43">
      <c r="R93" s="261"/>
      <c r="S93" s="261"/>
      <c r="T93" s="261"/>
      <c r="U93" s="261"/>
      <c r="V93" s="261"/>
      <c r="W93" s="261"/>
      <c r="X93" s="244"/>
      <c r="Y93" s="244"/>
      <c r="Z93" s="244"/>
      <c r="AA93" s="244"/>
      <c r="AB93" s="244"/>
      <c r="AC93" s="244"/>
      <c r="AD93" s="244"/>
      <c r="AE93" s="168"/>
      <c r="AF93" s="244"/>
      <c r="AG93" s="75"/>
      <c r="AI93" s="75"/>
      <c r="AJ93" s="75"/>
    </row>
    <row r="94" spans="2:43">
      <c r="B94" s="217" t="s">
        <v>49</v>
      </c>
      <c r="X94" s="273">
        <f>SUM(X99:X104)</f>
        <v>0</v>
      </c>
      <c r="Y94" s="273"/>
      <c r="Z94" s="273">
        <f>SUM(Z99:Z104)</f>
        <v>0</v>
      </c>
      <c r="AA94" s="273"/>
      <c r="AB94" s="273">
        <f>SUM(AB99:AB104)</f>
        <v>676</v>
      </c>
      <c r="AC94" s="273"/>
      <c r="AD94" s="273">
        <f>SUM(AD99:AD104)</f>
        <v>1000</v>
      </c>
      <c r="AE94" s="168"/>
      <c r="AF94" s="273">
        <f t="shared" ref="AF94:AK94" si="10">SUM(AF99:AF104)</f>
        <v>7523</v>
      </c>
      <c r="AG94" s="273">
        <f t="shared" si="10"/>
        <v>6894</v>
      </c>
      <c r="AH94" s="273">
        <f t="shared" si="10"/>
        <v>6930</v>
      </c>
      <c r="AI94" s="273">
        <f t="shared" si="10"/>
        <v>7062</v>
      </c>
      <c r="AJ94" s="273">
        <f t="shared" si="10"/>
        <v>7076</v>
      </c>
      <c r="AK94" s="273">
        <f>SUM(AK99:AK104)</f>
        <v>8324.2245670000011</v>
      </c>
      <c r="AL94" s="273">
        <f>SUM(AL99:AL104)</f>
        <v>8517.2377510000006</v>
      </c>
      <c r="AM94" s="273">
        <f>SUM(AM99:AM104)</f>
        <v>8519.4093300000004</v>
      </c>
      <c r="AN94" s="273">
        <f t="shared" ref="AN94:AQ94" si="11">SUM(AN99:AN104)</f>
        <v>8527.2582838899998</v>
      </c>
      <c r="AO94" s="273">
        <f t="shared" si="11"/>
        <v>8817.51176562</v>
      </c>
      <c r="AP94" s="273">
        <f t="shared" si="11"/>
        <v>9147.3929632300005</v>
      </c>
      <c r="AQ94" s="273">
        <f t="shared" si="11"/>
        <v>9403.9958353700003</v>
      </c>
    </row>
    <row r="95" spans="2:43">
      <c r="B95" s="217"/>
      <c r="X95" s="273"/>
      <c r="Y95" s="273"/>
      <c r="Z95" s="273"/>
      <c r="AA95" s="273"/>
      <c r="AB95" s="273"/>
      <c r="AC95" s="273"/>
      <c r="AD95" s="273"/>
      <c r="AE95" s="168"/>
      <c r="AF95" s="273"/>
      <c r="AG95" s="274"/>
      <c r="AH95" s="274"/>
    </row>
    <row r="96" spans="2:43">
      <c r="B96" s="217"/>
      <c r="X96" s="273"/>
      <c r="Y96" s="273"/>
      <c r="Z96" s="273"/>
      <c r="AA96" s="273"/>
      <c r="AB96" s="273"/>
      <c r="AC96" s="273"/>
      <c r="AD96" s="273"/>
      <c r="AE96" s="168"/>
      <c r="AF96" s="273"/>
      <c r="AG96" s="274"/>
      <c r="AH96" s="274"/>
    </row>
    <row r="97" spans="2:43">
      <c r="B97" s="217"/>
      <c r="X97" s="273"/>
      <c r="Y97" s="273"/>
      <c r="Z97" s="273"/>
      <c r="AA97" s="273"/>
      <c r="AB97" s="273"/>
      <c r="AC97" s="273"/>
      <c r="AD97" s="273"/>
      <c r="AE97" s="168"/>
      <c r="AF97" s="273"/>
      <c r="AG97" s="274"/>
      <c r="AH97" s="274"/>
    </row>
    <row r="98" spans="2:43">
      <c r="B98" s="217" t="s">
        <v>50</v>
      </c>
      <c r="X98" s="273"/>
      <c r="Y98" s="273"/>
      <c r="Z98" s="273"/>
      <c r="AA98" s="273"/>
      <c r="AB98" s="273"/>
      <c r="AC98" s="273"/>
      <c r="AD98" s="273"/>
      <c r="AE98" s="168"/>
      <c r="AF98" s="273"/>
      <c r="AG98" s="274"/>
      <c r="AH98" s="274"/>
    </row>
    <row r="99" spans="2:43">
      <c r="B99" s="165" t="s">
        <v>1189</v>
      </c>
      <c r="X99" s="166"/>
      <c r="Y99" s="166"/>
      <c r="Z99" s="166"/>
      <c r="AA99" s="166"/>
      <c r="AB99" s="166">
        <v>337</v>
      </c>
      <c r="AC99" s="166"/>
      <c r="AD99" s="166">
        <v>473</v>
      </c>
      <c r="AE99" s="168"/>
      <c r="AF99" s="231">
        <v>554</v>
      </c>
      <c r="AG99" s="166">
        <v>385</v>
      </c>
      <c r="AH99" s="166">
        <v>334</v>
      </c>
      <c r="AI99" s="75">
        <v>335</v>
      </c>
      <c r="AJ99" s="75">
        <v>397</v>
      </c>
      <c r="AK99" s="1498">
        <v>391</v>
      </c>
      <c r="AL99" s="1498">
        <v>424</v>
      </c>
      <c r="AM99" s="1498">
        <v>407</v>
      </c>
      <c r="AN99" s="1498">
        <v>417</v>
      </c>
      <c r="AO99" s="2074">
        <v>490</v>
      </c>
      <c r="AP99" s="2074">
        <v>558</v>
      </c>
      <c r="AQ99" s="2074">
        <v>573</v>
      </c>
    </row>
    <row r="100" spans="2:43">
      <c r="B100" s="165" t="s">
        <v>1190</v>
      </c>
      <c r="X100" s="166"/>
      <c r="Y100" s="166"/>
      <c r="Z100" s="166"/>
      <c r="AA100" s="166"/>
      <c r="AB100" s="166" t="s">
        <v>1191</v>
      </c>
      <c r="AC100" s="166"/>
      <c r="AD100" s="275" t="s">
        <v>269</v>
      </c>
      <c r="AE100" s="168"/>
      <c r="AF100" s="231">
        <v>6044</v>
      </c>
      <c r="AG100" s="166">
        <v>5633</v>
      </c>
      <c r="AH100" s="166">
        <v>5684</v>
      </c>
      <c r="AI100" s="166">
        <v>5740</v>
      </c>
      <c r="AJ100" s="166">
        <v>5699</v>
      </c>
      <c r="AK100" s="2074">
        <v>6950.0359870000002</v>
      </c>
      <c r="AL100" s="2074">
        <v>6998.8108310000007</v>
      </c>
      <c r="AM100" s="2074">
        <v>6948.9613300000001</v>
      </c>
      <c r="AN100" s="2074">
        <v>6897.0696930000004</v>
      </c>
      <c r="AO100" s="2074">
        <v>6924.2349679999998</v>
      </c>
      <c r="AP100" s="2074">
        <v>6986</v>
      </c>
      <c r="AQ100" s="2074">
        <v>7106</v>
      </c>
    </row>
    <row r="101" spans="2:43">
      <c r="B101" s="206" t="s">
        <v>532</v>
      </c>
      <c r="X101" s="166"/>
      <c r="Y101" s="166"/>
      <c r="Z101" s="166"/>
      <c r="AA101" s="166"/>
      <c r="AB101" s="166"/>
      <c r="AC101" s="166"/>
      <c r="AD101" s="166"/>
      <c r="AE101" s="168"/>
      <c r="AF101" s="231"/>
      <c r="AG101" s="274"/>
      <c r="AH101" s="274"/>
      <c r="AI101" s="75"/>
      <c r="AJ101" s="75"/>
      <c r="AL101" s="1868"/>
      <c r="AM101" s="1868"/>
    </row>
    <row r="102" spans="2:43">
      <c r="B102" s="165" t="s">
        <v>1192</v>
      </c>
      <c r="X102" s="166"/>
      <c r="Y102" s="166"/>
      <c r="Z102" s="166"/>
      <c r="AA102" s="166"/>
      <c r="AB102" s="166">
        <v>10</v>
      </c>
      <c r="AC102" s="166"/>
      <c r="AD102" s="166">
        <v>105</v>
      </c>
      <c r="AE102" s="168"/>
      <c r="AF102" s="231">
        <v>382</v>
      </c>
      <c r="AG102" s="166">
        <v>361</v>
      </c>
      <c r="AH102" s="166">
        <v>404</v>
      </c>
      <c r="AI102" s="75">
        <v>459</v>
      </c>
      <c r="AJ102" s="75">
        <v>482</v>
      </c>
      <c r="AK102" s="1773">
        <v>507</v>
      </c>
      <c r="AL102" s="1868">
        <v>557.6</v>
      </c>
      <c r="AM102" s="1868">
        <v>617.5</v>
      </c>
      <c r="AN102" s="2074">
        <v>660.18859088999898</v>
      </c>
      <c r="AO102" s="2074">
        <v>761.27679762000002</v>
      </c>
      <c r="AP102" s="2074">
        <v>874.39296322999996</v>
      </c>
      <c r="AQ102" s="2074">
        <v>906.99583537000001</v>
      </c>
    </row>
    <row r="103" spans="2:43">
      <c r="B103" s="165" t="s">
        <v>1193</v>
      </c>
      <c r="X103" s="166"/>
      <c r="Y103" s="166"/>
      <c r="Z103" s="166"/>
      <c r="AA103" s="166"/>
      <c r="AB103" s="166">
        <v>27</v>
      </c>
      <c r="AC103" s="166"/>
      <c r="AD103" s="166">
        <v>71</v>
      </c>
      <c r="AE103" s="168"/>
      <c r="AF103" s="231">
        <v>86</v>
      </c>
      <c r="AG103" s="166">
        <v>83</v>
      </c>
      <c r="AH103" s="166">
        <v>43</v>
      </c>
      <c r="AI103" s="75">
        <v>68</v>
      </c>
      <c r="AJ103" s="75">
        <v>86</v>
      </c>
      <c r="AK103" s="1868">
        <f>74188.58/1000</f>
        <v>74.188580000000002</v>
      </c>
      <c r="AL103" s="1868">
        <f>80826.92/1000</f>
        <v>80.826920000000001</v>
      </c>
      <c r="AM103" s="1868">
        <f>86948/1000</f>
        <v>86.947999999999993</v>
      </c>
      <c r="AN103" s="2074">
        <v>97</v>
      </c>
      <c r="AO103" s="2074">
        <v>107</v>
      </c>
      <c r="AP103" s="2074">
        <v>127</v>
      </c>
      <c r="AQ103" s="2074">
        <v>160</v>
      </c>
    </row>
    <row r="104" spans="2:43">
      <c r="B104" s="165" t="s">
        <v>1194</v>
      </c>
      <c r="X104" s="166"/>
      <c r="Y104" s="166"/>
      <c r="Z104" s="166"/>
      <c r="AA104" s="166"/>
      <c r="AB104" s="166">
        <v>302</v>
      </c>
      <c r="AC104" s="166"/>
      <c r="AD104" s="166">
        <v>351</v>
      </c>
      <c r="AE104" s="168"/>
      <c r="AF104" s="231">
        <v>457</v>
      </c>
      <c r="AG104" s="166">
        <v>432</v>
      </c>
      <c r="AH104" s="166">
        <v>465</v>
      </c>
      <c r="AI104" s="75">
        <v>460</v>
      </c>
      <c r="AJ104" s="75">
        <v>412</v>
      </c>
      <c r="AK104" s="1773">
        <v>402</v>
      </c>
      <c r="AL104" s="1868">
        <v>456</v>
      </c>
      <c r="AM104" s="1868">
        <v>459</v>
      </c>
      <c r="AN104" s="2074">
        <v>456</v>
      </c>
      <c r="AO104" s="2074">
        <v>535</v>
      </c>
      <c r="AP104" s="2074">
        <v>602</v>
      </c>
      <c r="AQ104" s="2074">
        <v>658</v>
      </c>
    </row>
    <row r="105" spans="2:43">
      <c r="X105" s="165"/>
      <c r="Y105" s="165"/>
      <c r="Z105" s="165"/>
      <c r="AA105" s="165"/>
      <c r="AB105" s="165"/>
      <c r="AC105" s="165"/>
      <c r="AD105" s="165"/>
      <c r="AF105" s="165"/>
      <c r="AG105" s="274"/>
    </row>
    <row r="106" spans="2:43">
      <c r="AF106" s="229"/>
    </row>
    <row r="107" spans="2:43">
      <c r="B107" s="217" t="s">
        <v>78</v>
      </c>
      <c r="X107" s="273">
        <f>SUM(X108:X108)</f>
        <v>0</v>
      </c>
      <c r="Y107" s="273"/>
      <c r="Z107" s="273">
        <f>SUM(Z108:Z108)</f>
        <v>0</v>
      </c>
      <c r="AA107" s="273"/>
      <c r="AB107" s="273">
        <f>SUM(AB108:AB108)</f>
        <v>0</v>
      </c>
      <c r="AC107" s="273"/>
      <c r="AD107" s="273">
        <f>SUM(AD108:AD108)</f>
        <v>0</v>
      </c>
      <c r="AE107" s="168"/>
      <c r="AF107" s="243">
        <f>SUM(AF108:AF108)</f>
        <v>0</v>
      </c>
      <c r="AG107" s="243">
        <f t="shared" ref="AG107:AQ107" si="12">SUM(AG108:AG108)</f>
        <v>0</v>
      </c>
      <c r="AH107" s="243">
        <f t="shared" si="12"/>
        <v>0</v>
      </c>
      <c r="AI107" s="243">
        <f t="shared" si="12"/>
        <v>0</v>
      </c>
      <c r="AJ107" s="243">
        <f t="shared" si="12"/>
        <v>0</v>
      </c>
      <c r="AK107" s="243">
        <f t="shared" si="12"/>
        <v>0</v>
      </c>
      <c r="AL107" s="243">
        <f t="shared" si="12"/>
        <v>0</v>
      </c>
      <c r="AM107" s="243">
        <f t="shared" si="12"/>
        <v>0</v>
      </c>
      <c r="AN107" s="243">
        <f t="shared" si="12"/>
        <v>0</v>
      </c>
      <c r="AO107" s="243">
        <f t="shared" si="12"/>
        <v>0</v>
      </c>
      <c r="AP107" s="243">
        <f t="shared" si="12"/>
        <v>0</v>
      </c>
      <c r="AQ107" s="243">
        <f t="shared" si="12"/>
        <v>0</v>
      </c>
    </row>
    <row r="108" spans="2:43">
      <c r="X108" s="166"/>
      <c r="Y108" s="166"/>
      <c r="Z108" s="166"/>
      <c r="AA108" s="166"/>
      <c r="AB108" s="166"/>
      <c r="AC108" s="166"/>
      <c r="AD108" s="166"/>
      <c r="AE108" s="168"/>
      <c r="AF108" s="231"/>
    </row>
    <row r="109" spans="2:43">
      <c r="X109" s="166"/>
      <c r="Y109" s="166"/>
      <c r="Z109" s="166"/>
      <c r="AA109" s="166"/>
      <c r="AB109" s="166"/>
      <c r="AC109" s="166"/>
      <c r="AD109" s="166"/>
      <c r="AE109" s="168"/>
      <c r="AF109" s="231"/>
    </row>
    <row r="110" spans="2:43" ht="13.5">
      <c r="B110" s="220" t="s">
        <v>240</v>
      </c>
      <c r="X110" s="166"/>
      <c r="Y110" s="166"/>
      <c r="Z110" s="166"/>
      <c r="AA110" s="166"/>
      <c r="AB110" s="166"/>
      <c r="AC110" s="166"/>
      <c r="AD110" s="166"/>
      <c r="AE110" s="168"/>
      <c r="AF110" s="231"/>
    </row>
    <row r="111" spans="2:43">
      <c r="B111" s="206" t="s">
        <v>91</v>
      </c>
      <c r="J111" s="168"/>
      <c r="K111" s="168"/>
      <c r="L111" s="168"/>
      <c r="M111" s="168"/>
      <c r="N111" s="168"/>
      <c r="O111" s="168"/>
      <c r="P111" s="168"/>
      <c r="Q111" s="168"/>
      <c r="R111" s="168"/>
      <c r="S111" s="168"/>
      <c r="T111" s="168"/>
      <c r="U111" s="168"/>
      <c r="V111" s="168"/>
      <c r="W111" s="168"/>
      <c r="X111" s="273">
        <v>0</v>
      </c>
      <c r="Y111" s="166"/>
      <c r="Z111" s="273">
        <v>0</v>
      </c>
      <c r="AA111" s="166"/>
      <c r="AB111" s="273">
        <f>AB113</f>
        <v>1963</v>
      </c>
      <c r="AC111" s="166"/>
      <c r="AD111" s="273" t="str">
        <f>AD113</f>
        <v>..</v>
      </c>
      <c r="AE111" s="168"/>
      <c r="AF111" s="243" t="str">
        <f>AF113</f>
        <v>..</v>
      </c>
      <c r="AG111" s="243" t="str">
        <f>AG113</f>
        <v>..</v>
      </c>
      <c r="AH111" s="243" t="str">
        <f>AH113</f>
        <v>..</v>
      </c>
    </row>
    <row r="112" spans="2:43">
      <c r="J112" s="168"/>
      <c r="K112" s="168"/>
      <c r="L112" s="168"/>
      <c r="M112" s="168"/>
      <c r="N112" s="168"/>
      <c r="O112" s="168"/>
      <c r="P112" s="168"/>
      <c r="Q112" s="168"/>
      <c r="R112" s="168"/>
      <c r="S112" s="168"/>
      <c r="T112" s="168"/>
      <c r="U112" s="168"/>
      <c r="V112" s="168"/>
      <c r="W112" s="168"/>
      <c r="X112" s="166"/>
      <c r="Y112" s="166"/>
      <c r="Z112" s="166"/>
      <c r="AA112" s="166"/>
      <c r="AB112" s="166"/>
      <c r="AC112" s="166"/>
      <c r="AD112" s="166"/>
      <c r="AE112" s="168"/>
      <c r="AF112" s="231"/>
      <c r="AG112" s="75"/>
    </row>
    <row r="113" spans="2:44">
      <c r="B113" s="165" t="s">
        <v>94</v>
      </c>
      <c r="J113" s="168"/>
      <c r="K113" s="168"/>
      <c r="L113" s="168"/>
      <c r="M113" s="168"/>
      <c r="N113" s="168"/>
      <c r="O113" s="168"/>
      <c r="P113" s="168"/>
      <c r="Q113" s="168"/>
      <c r="R113" s="168"/>
      <c r="S113" s="168"/>
      <c r="T113" s="168"/>
      <c r="U113" s="168"/>
      <c r="V113" s="168"/>
      <c r="W113" s="168"/>
      <c r="X113" s="166"/>
      <c r="Y113" s="166"/>
      <c r="Z113" s="166"/>
      <c r="AA113" s="166"/>
      <c r="AB113" s="166">
        <v>1963</v>
      </c>
      <c r="AC113" s="166"/>
      <c r="AD113" s="166" t="s">
        <v>237</v>
      </c>
      <c r="AE113" s="168"/>
      <c r="AF113" s="231" t="s">
        <v>237</v>
      </c>
      <c r="AG113" s="75" t="s">
        <v>237</v>
      </c>
      <c r="AH113" s="75" t="s">
        <v>237</v>
      </c>
    </row>
    <row r="114" spans="2:44">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200"/>
      <c r="Y114" s="200"/>
      <c r="Z114" s="200"/>
      <c r="AA114" s="200"/>
      <c r="AB114" s="200"/>
      <c r="AC114" s="200"/>
      <c r="AD114" s="200"/>
      <c r="AE114" s="172"/>
      <c r="AF114" s="200"/>
      <c r="AG114" s="200"/>
      <c r="AH114" s="200"/>
      <c r="AI114" s="200"/>
      <c r="AJ114" s="200"/>
      <c r="AK114" s="200"/>
      <c r="AL114" s="200"/>
      <c r="AM114" s="200"/>
      <c r="AN114" s="200"/>
      <c r="AO114" s="200"/>
      <c r="AP114" s="200"/>
      <c r="AQ114" s="200"/>
      <c r="AR114" s="200"/>
    </row>
    <row r="115" spans="2:44">
      <c r="B115" s="165" t="s">
        <v>1973</v>
      </c>
    </row>
    <row r="116" spans="2:44">
      <c r="B116" s="165" t="s">
        <v>1176</v>
      </c>
    </row>
  </sheetData>
  <mergeCells count="2">
    <mergeCell ref="AG22:AJ22"/>
    <mergeCell ref="B15:AQ15"/>
  </mergeCells>
  <pageMargins left="0.70866141732283472" right="0.70866141732283472" top="0.74803149606299213" bottom="0.74803149606299213" header="0.31496062992125984" footer="0.31496062992125984"/>
  <pageSetup paperSize="9" scale="39"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Y150"/>
  <sheetViews>
    <sheetView topLeftCell="B15" zoomScale="87" workbookViewId="0">
      <selection activeCell="AF132" sqref="AF132"/>
    </sheetView>
  </sheetViews>
  <sheetFormatPr defaultColWidth="8.88671875" defaultRowHeight="12.75" outlineLevelRow="1"/>
  <cols>
    <col min="1" max="1" width="0" style="165" hidden="1" customWidth="1"/>
    <col min="2" max="2" width="3.6640625" style="165" customWidth="1"/>
    <col min="3" max="3" width="3.109375" style="165" customWidth="1"/>
    <col min="4" max="4" width="56.6640625" style="165" customWidth="1"/>
    <col min="5" max="15" width="2.33203125" style="165" hidden="1" customWidth="1"/>
    <col min="16" max="16" width="4.109375" style="165" hidden="1" customWidth="1"/>
    <col min="17" max="17" width="1.44140625" style="165" hidden="1" customWidth="1"/>
    <col min="18" max="18" width="4.44140625" style="165" hidden="1" customWidth="1"/>
    <col min="19" max="19" width="1.44140625" style="165" hidden="1" customWidth="1"/>
    <col min="20" max="20" width="4.44140625" style="165" hidden="1" customWidth="1"/>
    <col min="21" max="21" width="1.44140625" style="165" hidden="1" customWidth="1"/>
    <col min="22" max="22" width="4.44140625" style="165" hidden="1" customWidth="1"/>
    <col min="23" max="23" width="1.44140625" style="165" hidden="1" customWidth="1"/>
    <col min="24" max="24" width="6.6640625" style="75" bestFit="1" customWidth="1"/>
    <col min="25" max="25" width="2.44140625" style="75" hidden="1" customWidth="1"/>
    <col min="26" max="26" width="6.6640625" style="75" customWidth="1"/>
    <col min="27" max="27" width="2.33203125" style="75" hidden="1" customWidth="1"/>
    <col min="28" max="28" width="7.5546875" style="75" customWidth="1"/>
    <col min="29" max="29" width="2.109375" style="75" hidden="1" customWidth="1"/>
    <col min="30" max="30" width="6.6640625" style="75" customWidth="1"/>
    <col min="31" max="31" width="2.109375" style="165" hidden="1" customWidth="1"/>
    <col min="32" max="35" width="8.33203125" style="75" customWidth="1"/>
    <col min="36" max="44" width="8.33203125" style="165" customWidth="1"/>
    <col min="45" max="51" width="0" style="165" hidden="1" customWidth="1"/>
    <col min="52" max="16384" width="8.88671875" style="165"/>
  </cols>
  <sheetData>
    <row r="1" spans="1:44" ht="37.5" hidden="1" customHeight="1" outlineLevel="1">
      <c r="B1" s="165" t="s">
        <v>866</v>
      </c>
    </row>
    <row r="2" spans="1:44" hidden="1" outlineLevel="1"/>
    <row r="3" spans="1:44" hidden="1" outlineLevel="1"/>
    <row r="4" spans="1:44" hidden="1" outlineLevel="1">
      <c r="B4" s="966" t="s">
        <v>867</v>
      </c>
      <c r="C4" s="966"/>
      <c r="D4" s="966"/>
      <c r="P4" s="165">
        <v>1993</v>
      </c>
      <c r="R4" s="165">
        <v>1995</v>
      </c>
      <c r="T4" s="165">
        <v>1997</v>
      </c>
      <c r="V4" s="165">
        <v>1999</v>
      </c>
      <c r="X4" s="202">
        <v>2001</v>
      </c>
      <c r="Y4" s="202"/>
      <c r="Z4" s="202">
        <v>2003</v>
      </c>
      <c r="AA4" s="202"/>
      <c r="AB4" s="202">
        <v>2005</v>
      </c>
      <c r="AC4" s="202"/>
      <c r="AD4" s="202">
        <v>2007</v>
      </c>
      <c r="AE4" s="896"/>
      <c r="AF4" s="202">
        <v>2009</v>
      </c>
      <c r="AG4" s="202">
        <v>2010</v>
      </c>
      <c r="AH4" s="202">
        <v>2011</v>
      </c>
      <c r="AI4" s="202">
        <v>2012</v>
      </c>
      <c r="AJ4" s="202">
        <v>2013</v>
      </c>
      <c r="AK4" s="202">
        <v>2014</v>
      </c>
      <c r="AL4" s="202">
        <v>2015</v>
      </c>
      <c r="AM4" s="202">
        <v>2016</v>
      </c>
      <c r="AN4" s="202">
        <v>2017</v>
      </c>
      <c r="AO4" s="202">
        <v>2018</v>
      </c>
      <c r="AP4" s="202">
        <v>2019</v>
      </c>
      <c r="AQ4" s="202">
        <v>2020</v>
      </c>
      <c r="AR4" s="203"/>
    </row>
    <row r="5" spans="1:44" ht="21.75" hidden="1" customHeight="1" outlineLevel="1"/>
    <row r="6" spans="1:44" hidden="1" outlineLevel="1">
      <c r="A6" s="165" t="s">
        <v>2</v>
      </c>
      <c r="B6" s="165" t="s">
        <v>3</v>
      </c>
      <c r="X6" s="166">
        <f>X94</f>
        <v>109.68266613556395</v>
      </c>
      <c r="Y6" s="166"/>
      <c r="Z6" s="166">
        <f>Z94</f>
        <v>210.75881298546105</v>
      </c>
      <c r="AA6" s="166">
        <f>AA94</f>
        <v>0</v>
      </c>
      <c r="AB6" s="166">
        <f>AB94</f>
        <v>0</v>
      </c>
      <c r="AC6" s="166">
        <f t="shared" ref="AC6:AP6" si="0">AC94</f>
        <v>0</v>
      </c>
      <c r="AD6" s="166">
        <f t="shared" si="0"/>
        <v>251.92129933193885</v>
      </c>
      <c r="AE6" s="166">
        <f t="shared" si="0"/>
        <v>0</v>
      </c>
      <c r="AF6" s="166">
        <f t="shared" si="0"/>
        <v>258.4877994929783</v>
      </c>
      <c r="AG6" s="166">
        <f t="shared" si="0"/>
        <v>254.80422062614852</v>
      </c>
      <c r="AH6" s="166">
        <f t="shared" si="0"/>
        <v>258.1923329356876</v>
      </c>
      <c r="AI6" s="166">
        <f t="shared" si="0"/>
        <v>260.72899999999998</v>
      </c>
      <c r="AJ6" s="166">
        <f t="shared" si="0"/>
        <v>261.77932877000001</v>
      </c>
      <c r="AK6" s="166">
        <f t="shared" si="0"/>
        <v>261.65009847203908</v>
      </c>
      <c r="AL6" s="166">
        <f t="shared" si="0"/>
        <v>260.40678188042455</v>
      </c>
      <c r="AM6" s="166">
        <f t="shared" si="0"/>
        <v>263.59668048999993</v>
      </c>
      <c r="AN6" s="166">
        <f t="shared" si="0"/>
        <v>266.31000113914001</v>
      </c>
      <c r="AO6" s="166">
        <f t="shared" si="0"/>
        <v>268.15073868000002</v>
      </c>
      <c r="AP6" s="166">
        <f t="shared" si="0"/>
        <v>332.86940272999999</v>
      </c>
      <c r="AQ6" s="166">
        <f>AQ94</f>
        <v>364.2635067758975</v>
      </c>
      <c r="AR6" s="166"/>
    </row>
    <row r="7" spans="1:44" hidden="1" outlineLevel="1">
      <c r="A7" s="165" t="s">
        <v>4</v>
      </c>
      <c r="B7" s="165" t="s">
        <v>5</v>
      </c>
      <c r="X7" s="166">
        <f>X112</f>
        <v>22.624975104560839</v>
      </c>
      <c r="Y7" s="166"/>
      <c r="Z7" s="166">
        <f>Z112</f>
        <v>54.43736307508464</v>
      </c>
      <c r="AA7" s="166"/>
      <c r="AB7" s="166">
        <f>AB112</f>
        <v>30.87034455287791</v>
      </c>
      <c r="AC7" s="166"/>
      <c r="AD7" s="166">
        <f>AD112</f>
        <v>42.125092611033658</v>
      </c>
      <c r="AE7" s="168"/>
      <c r="AF7" s="166">
        <f t="shared" ref="AF7:AP7" si="1">AF112</f>
        <v>55.180237470000002</v>
      </c>
      <c r="AG7" s="166">
        <f t="shared" si="1"/>
        <v>44.144775980000013</v>
      </c>
      <c r="AH7" s="166">
        <f t="shared" si="1"/>
        <v>41.97</v>
      </c>
      <c r="AI7" s="166">
        <f t="shared" si="1"/>
        <v>44.694515289999998</v>
      </c>
      <c r="AJ7" s="166">
        <f t="shared" si="1"/>
        <v>46.706631560000005</v>
      </c>
      <c r="AK7" s="166">
        <f t="shared" si="1"/>
        <v>52.205276189999999</v>
      </c>
      <c r="AL7" s="166">
        <f t="shared" si="1"/>
        <v>56.949058280000003</v>
      </c>
      <c r="AM7" s="166">
        <f t="shared" si="1"/>
        <v>61.63101837</v>
      </c>
      <c r="AN7" s="166">
        <f t="shared" si="1"/>
        <v>63.428736020000002</v>
      </c>
      <c r="AO7" s="166">
        <f t="shared" si="1"/>
        <v>68.343044579999997</v>
      </c>
      <c r="AP7" s="166">
        <f t="shared" si="1"/>
        <v>73.071422530000007</v>
      </c>
      <c r="AQ7" s="166">
        <f>AQ112</f>
        <v>53.391754339999999</v>
      </c>
      <c r="AR7" s="166"/>
    </row>
    <row r="8" spans="1:44" hidden="1" outlineLevel="1">
      <c r="A8" s="165" t="s">
        <v>6</v>
      </c>
      <c r="X8" s="1844">
        <f>X6+X7</f>
        <v>132.30764124012478</v>
      </c>
      <c r="Y8" s="1844"/>
      <c r="Z8" s="1844">
        <f>Z6+Z7</f>
        <v>265.19617606054567</v>
      </c>
      <c r="AA8" s="1844"/>
      <c r="AB8" s="1844">
        <f>AB6+AB7</f>
        <v>30.87034455287791</v>
      </c>
      <c r="AC8" s="1844"/>
      <c r="AD8" s="1844">
        <f>AD6+AD7</f>
        <v>294.04639194297249</v>
      </c>
      <c r="AE8" s="260"/>
      <c r="AF8" s="1844">
        <f t="shared" ref="AF8:AQ8" si="2">AF6+AF7</f>
        <v>313.66803696297831</v>
      </c>
      <c r="AG8" s="1844">
        <f t="shared" si="2"/>
        <v>298.94899660614851</v>
      </c>
      <c r="AH8" s="1844">
        <f t="shared" si="2"/>
        <v>300.16233293568757</v>
      </c>
      <c r="AI8" s="1844">
        <f t="shared" si="2"/>
        <v>305.42351528999995</v>
      </c>
      <c r="AJ8" s="1844">
        <f t="shared" si="2"/>
        <v>308.48596033000001</v>
      </c>
      <c r="AK8" s="1844">
        <f t="shared" si="2"/>
        <v>313.85537466203908</v>
      </c>
      <c r="AL8" s="1844">
        <f t="shared" si="2"/>
        <v>317.35584016042458</v>
      </c>
      <c r="AM8" s="1844">
        <f t="shared" si="2"/>
        <v>325.22769885999992</v>
      </c>
      <c r="AN8" s="1844">
        <f t="shared" si="2"/>
        <v>329.73873715913999</v>
      </c>
      <c r="AO8" s="1844">
        <f t="shared" si="2"/>
        <v>336.49378325999999</v>
      </c>
      <c r="AP8" s="1844">
        <f t="shared" si="2"/>
        <v>405.94082526</v>
      </c>
      <c r="AQ8" s="1844">
        <f t="shared" si="2"/>
        <v>417.65526111589747</v>
      </c>
      <c r="AR8" s="166"/>
    </row>
    <row r="9" spans="1:44" hidden="1" outlineLevel="1">
      <c r="X9" s="166"/>
      <c r="Y9" s="166"/>
      <c r="Z9" s="166"/>
      <c r="AA9" s="166"/>
      <c r="AB9" s="166"/>
      <c r="AC9" s="166"/>
      <c r="AD9" s="166"/>
      <c r="AE9" s="168"/>
      <c r="AF9" s="166"/>
      <c r="AG9" s="166"/>
      <c r="AH9" s="166"/>
      <c r="AI9" s="166"/>
      <c r="AJ9" s="166"/>
      <c r="AK9" s="166"/>
      <c r="AL9" s="166"/>
      <c r="AM9" s="166"/>
      <c r="AN9" s="166"/>
      <c r="AO9" s="166"/>
      <c r="AP9" s="166"/>
      <c r="AQ9" s="166"/>
      <c r="AR9" s="166"/>
    </row>
    <row r="10" spans="1:44" hidden="1" outlineLevel="1">
      <c r="B10" s="165" t="s">
        <v>110</v>
      </c>
      <c r="X10" s="166">
        <f>X131</f>
        <v>31.17240921463188</v>
      </c>
      <c r="Y10" s="166"/>
      <c r="Z10" s="166">
        <f>Z131</f>
        <v>13.433578968333</v>
      </c>
      <c r="AA10" s="166"/>
      <c r="AB10" s="166">
        <f>AB131</f>
        <v>76.180043815972908</v>
      </c>
      <c r="AC10" s="166"/>
      <c r="AD10" s="166">
        <f>AD131</f>
        <v>65.898110947423262</v>
      </c>
      <c r="AE10" s="168"/>
      <c r="AF10" s="166">
        <f t="shared" ref="AF10:AP10" si="3">AF131</f>
        <v>64.803858141524273</v>
      </c>
      <c r="AG10" s="166">
        <f t="shared" si="3"/>
        <v>67.693816508261108</v>
      </c>
      <c r="AH10" s="166">
        <f t="shared" si="3"/>
        <v>52.844829279525712</v>
      </c>
      <c r="AI10" s="166" t="str">
        <f t="shared" si="3"/>
        <v xml:space="preserve"> - </v>
      </c>
      <c r="AJ10" s="166" t="str">
        <f t="shared" si="3"/>
        <v xml:space="preserve"> - </v>
      </c>
      <c r="AK10" s="166">
        <f t="shared" si="3"/>
        <v>0.59452483140000001</v>
      </c>
      <c r="AL10" s="166">
        <f t="shared" si="3"/>
        <v>1.3053981103000001</v>
      </c>
      <c r="AM10" s="166">
        <f t="shared" si="3"/>
        <v>2.2645137326999993</v>
      </c>
      <c r="AN10" s="166">
        <f t="shared" si="3"/>
        <v>2.9688365106100005</v>
      </c>
      <c r="AO10" s="166">
        <f t="shared" si="3"/>
        <v>4.27520120392</v>
      </c>
      <c r="AP10" s="166">
        <f t="shared" si="3"/>
        <v>5.1413920275999994</v>
      </c>
      <c r="AQ10" s="166">
        <f>AQ131</f>
        <v>5.6548855924999994</v>
      </c>
      <c r="AR10" s="166"/>
    </row>
    <row r="11" spans="1:44" hidden="1" outlineLevel="1">
      <c r="X11" s="166"/>
      <c r="Y11" s="166"/>
      <c r="Z11" s="166"/>
      <c r="AA11" s="166"/>
      <c r="AB11" s="166"/>
      <c r="AC11" s="166"/>
      <c r="AD11" s="166"/>
      <c r="AE11" s="168"/>
      <c r="AF11" s="166"/>
      <c r="AG11" s="166"/>
      <c r="AH11" s="166"/>
      <c r="AI11" s="244"/>
    </row>
    <row r="12" spans="1:44" ht="27" hidden="1" customHeight="1" outlineLevel="1">
      <c r="B12" s="165" t="s">
        <v>8</v>
      </c>
      <c r="X12" s="166">
        <f>X100</f>
        <v>100.86304189072561</v>
      </c>
      <c r="Y12" s="166"/>
      <c r="Z12" s="166">
        <f>Z100</f>
        <v>200.48463121556131</v>
      </c>
      <c r="AA12" s="166"/>
      <c r="AB12" s="285">
        <f>AS102</f>
        <v>194.27072960233684</v>
      </c>
      <c r="AC12" s="285" t="str">
        <f>AT102</f>
        <v>in 2005 - already in ESSPROS</v>
      </c>
      <c r="AD12" s="285">
        <f>AD102</f>
        <v>251.92129933193885</v>
      </c>
      <c r="AE12" s="285">
        <f t="shared" ref="AE12:AQ12" si="4">AE102</f>
        <v>0</v>
      </c>
      <c r="AF12" s="285">
        <f t="shared" si="4"/>
        <v>258.4877994929783</v>
      </c>
      <c r="AG12" s="285">
        <f t="shared" si="4"/>
        <v>254.80422062614852</v>
      </c>
      <c r="AH12" s="285">
        <f t="shared" si="4"/>
        <v>258.1923329356876</v>
      </c>
      <c r="AI12" s="285">
        <f t="shared" si="4"/>
        <v>260.72899999999998</v>
      </c>
      <c r="AJ12" s="285">
        <f t="shared" si="4"/>
        <v>261.77932877000001</v>
      </c>
      <c r="AK12" s="285">
        <f t="shared" si="4"/>
        <v>261.65009847203908</v>
      </c>
      <c r="AL12" s="285">
        <f t="shared" si="4"/>
        <v>260.40678188042455</v>
      </c>
      <c r="AM12" s="285">
        <f t="shared" si="4"/>
        <v>263.59668048999993</v>
      </c>
      <c r="AN12" s="285">
        <f t="shared" si="4"/>
        <v>266.31000113914001</v>
      </c>
      <c r="AO12" s="285">
        <f t="shared" si="4"/>
        <v>268.15073868000002</v>
      </c>
      <c r="AP12" s="285">
        <f t="shared" si="4"/>
        <v>332.86940272999999</v>
      </c>
      <c r="AQ12" s="285">
        <f t="shared" si="4"/>
        <v>364.2635067758975</v>
      </c>
      <c r="AR12" s="285"/>
    </row>
    <row r="13" spans="1:44" hidden="1" outlineLevel="1">
      <c r="X13" s="244"/>
      <c r="Y13" s="244"/>
      <c r="Z13" s="244"/>
      <c r="AA13" s="244"/>
      <c r="AB13" s="244"/>
      <c r="AC13" s="244"/>
      <c r="AD13" s="244"/>
      <c r="AE13" s="261"/>
      <c r="AF13" s="244"/>
      <c r="AG13" s="244"/>
      <c r="AH13" s="244"/>
      <c r="AI13" s="244"/>
    </row>
    <row r="14" spans="1:44" hidden="1" outlineLevel="1">
      <c r="X14" s="244"/>
      <c r="Y14" s="244"/>
      <c r="Z14" s="244"/>
      <c r="AA14" s="244"/>
      <c r="AB14" s="244"/>
      <c r="AC14" s="244"/>
      <c r="AD14" s="244"/>
      <c r="AE14" s="261"/>
      <c r="AF14" s="244"/>
      <c r="AG14" s="244"/>
      <c r="AH14" s="244"/>
      <c r="AI14" s="244"/>
    </row>
    <row r="15" spans="1:44" ht="27" customHeight="1" collapsed="1">
      <c r="B15" s="1924" t="s">
        <v>697</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c r="AR15" s="833"/>
    </row>
    <row r="16" spans="1:44">
      <c r="O16" s="168"/>
      <c r="P16" s="168"/>
      <c r="Q16" s="168"/>
      <c r="R16" s="168"/>
      <c r="S16" s="168"/>
      <c r="T16" s="168"/>
      <c r="U16" s="168"/>
      <c r="V16" s="168"/>
      <c r="W16" s="168"/>
      <c r="X16" s="169"/>
      <c r="Y16" s="166"/>
      <c r="Z16" s="166"/>
      <c r="AA16" s="166"/>
      <c r="AB16" s="166"/>
      <c r="AC16" s="166"/>
      <c r="AD16" s="166"/>
      <c r="AE16" s="261"/>
      <c r="AF16" s="166"/>
      <c r="AG16" s="166"/>
      <c r="AH16" s="166"/>
      <c r="AI16" s="166"/>
    </row>
    <row r="17" spans="2:35">
      <c r="B17" s="170" t="s">
        <v>866</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261"/>
      <c r="AF17" s="171"/>
      <c r="AG17" s="171"/>
      <c r="AH17" s="171"/>
      <c r="AI17" s="171"/>
    </row>
    <row r="18" spans="2:35">
      <c r="O18" s="168"/>
      <c r="P18" s="168"/>
      <c r="Q18" s="168"/>
      <c r="R18" s="168"/>
      <c r="S18" s="168"/>
      <c r="T18" s="168"/>
      <c r="U18" s="168"/>
      <c r="V18" s="168"/>
      <c r="W18" s="168"/>
      <c r="X18" s="169"/>
      <c r="Y18" s="166"/>
      <c r="Z18" s="166"/>
      <c r="AA18" s="166"/>
      <c r="AB18" s="166"/>
      <c r="AC18" s="166"/>
      <c r="AD18" s="166"/>
      <c r="AE18" s="261"/>
      <c r="AF18" s="166"/>
      <c r="AG18" s="166"/>
      <c r="AH18" s="166"/>
      <c r="AI18" s="166"/>
    </row>
    <row r="19" spans="2:35">
      <c r="B19" s="170" t="s">
        <v>868</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261"/>
      <c r="AF19" s="171"/>
      <c r="AG19" s="171"/>
      <c r="AH19" s="171"/>
      <c r="AI19" s="171"/>
    </row>
    <row r="20" spans="2:35">
      <c r="T20" s="168"/>
      <c r="U20" s="168"/>
      <c r="V20" s="168"/>
      <c r="W20" s="168"/>
      <c r="X20" s="166"/>
      <c r="Y20" s="166"/>
      <c r="Z20" s="166"/>
      <c r="AA20" s="166"/>
      <c r="AB20" s="166"/>
      <c r="AC20" s="166"/>
      <c r="AD20" s="166"/>
      <c r="AE20" s="261"/>
      <c r="AF20" s="166"/>
      <c r="AG20" s="166"/>
      <c r="AH20" s="166"/>
      <c r="AI20" s="166"/>
    </row>
    <row r="21" spans="2:35">
      <c r="B21" s="165" t="s">
        <v>869</v>
      </c>
      <c r="T21" s="168"/>
      <c r="U21" s="168"/>
      <c r="V21" s="168"/>
      <c r="W21" s="168"/>
      <c r="X21" s="1868"/>
      <c r="Y21" s="1868"/>
      <c r="Z21" s="1868"/>
      <c r="AA21" s="1868"/>
      <c r="AB21" s="1868"/>
      <c r="AC21" s="1868"/>
      <c r="AD21" s="1868"/>
      <c r="AE21" s="261"/>
      <c r="AF21" s="1868"/>
      <c r="AG21" s="1868"/>
      <c r="AH21" s="1868"/>
      <c r="AI21" s="1868"/>
    </row>
    <row r="22" spans="2:35">
      <c r="T22" s="168"/>
      <c r="U22" s="168"/>
      <c r="V22" s="168"/>
      <c r="W22" s="168"/>
      <c r="X22" s="166"/>
      <c r="Y22" s="166"/>
      <c r="Z22" s="166"/>
      <c r="AA22" s="166"/>
      <c r="AB22" s="166"/>
      <c r="AC22" s="166"/>
      <c r="AD22" s="166"/>
      <c r="AE22" s="261"/>
      <c r="AF22" s="166"/>
      <c r="AG22" s="166"/>
      <c r="AH22" s="166"/>
      <c r="AI22" s="166"/>
    </row>
    <row r="23" spans="2:35" hidden="1">
      <c r="T23" s="168"/>
      <c r="U23" s="168"/>
      <c r="V23" s="168"/>
      <c r="W23" s="168"/>
      <c r="X23" s="166"/>
      <c r="Y23" s="166"/>
      <c r="Z23" s="166"/>
      <c r="AA23" s="166"/>
      <c r="AB23" s="166"/>
      <c r="AC23" s="166"/>
      <c r="AD23" s="166"/>
      <c r="AE23" s="261"/>
      <c r="AF23" s="166"/>
      <c r="AG23" s="166"/>
      <c r="AH23" s="166"/>
      <c r="AI23" s="166"/>
    </row>
    <row r="24" spans="2:35" hidden="1">
      <c r="T24" s="168"/>
      <c r="U24" s="168"/>
      <c r="V24" s="168"/>
      <c r="W24" s="168"/>
      <c r="X24" s="166"/>
      <c r="Y24" s="166"/>
      <c r="Z24" s="166"/>
      <c r="AA24" s="166"/>
      <c r="AB24" s="166"/>
      <c r="AC24" s="166"/>
      <c r="AD24" s="166"/>
      <c r="AE24" s="261"/>
      <c r="AF24" s="166"/>
      <c r="AG24" s="166"/>
      <c r="AH24" s="166"/>
      <c r="AI24" s="166"/>
    </row>
    <row r="25" spans="2:35" hidden="1">
      <c r="T25" s="168"/>
      <c r="U25" s="168"/>
      <c r="V25" s="168"/>
      <c r="W25" s="168"/>
      <c r="X25" s="166"/>
      <c r="Y25" s="166"/>
      <c r="Z25" s="166"/>
      <c r="AA25" s="166"/>
      <c r="AB25" s="166"/>
      <c r="AC25" s="166"/>
      <c r="AD25" s="166"/>
      <c r="AE25" s="261"/>
      <c r="AF25" s="166"/>
      <c r="AG25" s="166"/>
      <c r="AH25" s="166"/>
      <c r="AI25" s="166"/>
    </row>
    <row r="26" spans="2:35" hidden="1">
      <c r="T26" s="168"/>
      <c r="U26" s="168"/>
      <c r="V26" s="168"/>
      <c r="W26" s="168"/>
      <c r="X26" s="166"/>
      <c r="Y26" s="166"/>
      <c r="Z26" s="166"/>
      <c r="AA26" s="166"/>
      <c r="AB26" s="166"/>
      <c r="AC26" s="166"/>
      <c r="AD26" s="166"/>
      <c r="AE26" s="261"/>
      <c r="AF26" s="166"/>
      <c r="AG26" s="166"/>
      <c r="AH26" s="166"/>
      <c r="AI26" s="166"/>
    </row>
    <row r="27" spans="2:35" hidden="1">
      <c r="T27" s="168"/>
      <c r="U27" s="168"/>
      <c r="V27" s="168"/>
      <c r="W27" s="168"/>
      <c r="X27" s="166"/>
      <c r="Y27" s="166"/>
      <c r="Z27" s="166"/>
      <c r="AA27" s="166"/>
      <c r="AB27" s="166"/>
      <c r="AC27" s="166"/>
      <c r="AD27" s="166"/>
      <c r="AE27" s="261"/>
      <c r="AF27" s="166"/>
      <c r="AG27" s="166"/>
      <c r="AH27" s="166"/>
      <c r="AI27" s="166"/>
    </row>
    <row r="28" spans="2:35" hidden="1">
      <c r="T28" s="168"/>
      <c r="U28" s="168"/>
      <c r="V28" s="168"/>
      <c r="W28" s="168"/>
      <c r="X28" s="166"/>
      <c r="Y28" s="166"/>
      <c r="Z28" s="166"/>
      <c r="AA28" s="166"/>
      <c r="AB28" s="166"/>
      <c r="AC28" s="166"/>
      <c r="AD28" s="166"/>
      <c r="AE28" s="261"/>
      <c r="AF28" s="166"/>
      <c r="AG28" s="166"/>
      <c r="AH28" s="166"/>
      <c r="AI28" s="166"/>
    </row>
    <row r="29" spans="2:35" hidden="1">
      <c r="T29" s="168"/>
      <c r="U29" s="168"/>
      <c r="V29" s="168"/>
      <c r="W29" s="168"/>
      <c r="X29" s="166"/>
      <c r="Y29" s="166"/>
      <c r="Z29" s="166"/>
      <c r="AA29" s="166"/>
      <c r="AB29" s="166"/>
      <c r="AC29" s="166"/>
      <c r="AD29" s="166"/>
      <c r="AE29" s="261"/>
      <c r="AF29" s="166"/>
      <c r="AG29" s="166"/>
      <c r="AH29" s="166"/>
      <c r="AI29" s="166"/>
    </row>
    <row r="30" spans="2:35" hidden="1">
      <c r="T30" s="168"/>
      <c r="U30" s="168"/>
      <c r="V30" s="168"/>
      <c r="W30" s="168"/>
      <c r="X30" s="166"/>
      <c r="Y30" s="166"/>
      <c r="Z30" s="166"/>
      <c r="AA30" s="166"/>
      <c r="AB30" s="166"/>
      <c r="AC30" s="166"/>
      <c r="AD30" s="166"/>
      <c r="AE30" s="261"/>
      <c r="AF30" s="166"/>
      <c r="AG30" s="166"/>
      <c r="AH30" s="166"/>
      <c r="AI30" s="166"/>
    </row>
    <row r="31" spans="2:35" hidden="1">
      <c r="T31" s="168"/>
      <c r="U31" s="168"/>
      <c r="V31" s="168"/>
      <c r="W31" s="168"/>
      <c r="X31" s="166"/>
      <c r="Y31" s="166"/>
      <c r="Z31" s="166"/>
      <c r="AA31" s="166"/>
      <c r="AB31" s="166"/>
      <c r="AC31" s="166"/>
      <c r="AD31" s="166"/>
      <c r="AE31" s="261"/>
      <c r="AF31" s="166"/>
      <c r="AG31" s="166"/>
      <c r="AH31" s="166"/>
      <c r="AI31" s="166"/>
    </row>
    <row r="32" spans="2:35" hidden="1">
      <c r="T32" s="168"/>
      <c r="U32" s="168"/>
      <c r="V32" s="168"/>
      <c r="W32" s="168"/>
      <c r="X32" s="166"/>
      <c r="Y32" s="166"/>
      <c r="Z32" s="166"/>
      <c r="AA32" s="166"/>
      <c r="AB32" s="166"/>
      <c r="AC32" s="166"/>
      <c r="AD32" s="166"/>
      <c r="AE32" s="261"/>
      <c r="AF32" s="166"/>
      <c r="AG32" s="166"/>
      <c r="AH32" s="166"/>
      <c r="AI32" s="166"/>
    </row>
    <row r="33" spans="20:35" hidden="1">
      <c r="T33" s="168"/>
      <c r="U33" s="168"/>
      <c r="V33" s="168"/>
      <c r="W33" s="168"/>
      <c r="X33" s="166"/>
      <c r="Y33" s="166"/>
      <c r="Z33" s="166"/>
      <c r="AA33" s="166"/>
      <c r="AB33" s="166"/>
      <c r="AC33" s="166"/>
      <c r="AD33" s="166"/>
      <c r="AE33" s="261"/>
      <c r="AF33" s="166"/>
      <c r="AG33" s="166"/>
      <c r="AH33" s="166"/>
      <c r="AI33" s="166"/>
    </row>
    <row r="34" spans="20:35" hidden="1">
      <c r="T34" s="168"/>
      <c r="U34" s="168"/>
      <c r="V34" s="168"/>
      <c r="W34" s="168"/>
      <c r="X34" s="166"/>
      <c r="Y34" s="166"/>
      <c r="Z34" s="166"/>
      <c r="AA34" s="166"/>
      <c r="AB34" s="166"/>
      <c r="AC34" s="166"/>
      <c r="AD34" s="166"/>
      <c r="AE34" s="261"/>
      <c r="AF34" s="166"/>
      <c r="AG34" s="166"/>
      <c r="AH34" s="166"/>
      <c r="AI34" s="166"/>
    </row>
    <row r="35" spans="20:35" hidden="1">
      <c r="T35" s="168"/>
      <c r="U35" s="168"/>
      <c r="V35" s="168"/>
      <c r="W35" s="168"/>
      <c r="X35" s="166"/>
      <c r="Y35" s="166"/>
      <c r="Z35" s="166"/>
      <c r="AA35" s="166"/>
      <c r="AB35" s="166"/>
      <c r="AC35" s="166"/>
      <c r="AD35" s="166"/>
      <c r="AE35" s="261"/>
      <c r="AF35" s="166"/>
      <c r="AG35" s="166"/>
      <c r="AH35" s="166"/>
      <c r="AI35" s="166"/>
    </row>
    <row r="36" spans="20:35" hidden="1">
      <c r="T36" s="168"/>
      <c r="U36" s="168"/>
      <c r="V36" s="168"/>
      <c r="W36" s="168"/>
      <c r="X36" s="166"/>
      <c r="Y36" s="166"/>
      <c r="Z36" s="166"/>
      <c r="AA36" s="166"/>
      <c r="AB36" s="166"/>
      <c r="AC36" s="166"/>
      <c r="AD36" s="166"/>
      <c r="AE36" s="261"/>
      <c r="AF36" s="166"/>
      <c r="AG36" s="166"/>
      <c r="AH36" s="166"/>
      <c r="AI36" s="166"/>
    </row>
    <row r="37" spans="20:35" hidden="1">
      <c r="T37" s="168"/>
      <c r="U37" s="168"/>
      <c r="V37" s="168"/>
      <c r="W37" s="168"/>
      <c r="X37" s="166"/>
      <c r="Y37" s="166"/>
      <c r="Z37" s="166"/>
      <c r="AA37" s="166"/>
      <c r="AB37" s="166"/>
      <c r="AC37" s="166"/>
      <c r="AD37" s="166"/>
      <c r="AE37" s="261"/>
      <c r="AF37" s="166"/>
      <c r="AG37" s="166"/>
      <c r="AH37" s="166"/>
      <c r="AI37" s="166"/>
    </row>
    <row r="38" spans="20:35" hidden="1">
      <c r="T38" s="168"/>
      <c r="U38" s="168"/>
      <c r="V38" s="168"/>
      <c r="W38" s="168"/>
      <c r="X38" s="166"/>
      <c r="Y38" s="166"/>
      <c r="Z38" s="166"/>
      <c r="AA38" s="166"/>
      <c r="AB38" s="166"/>
      <c r="AC38" s="166"/>
      <c r="AD38" s="166"/>
      <c r="AE38" s="261"/>
      <c r="AF38" s="166"/>
      <c r="AG38" s="166"/>
      <c r="AH38" s="166"/>
      <c r="AI38" s="166"/>
    </row>
    <row r="39" spans="20:35" hidden="1">
      <c r="T39" s="168"/>
      <c r="U39" s="168"/>
      <c r="V39" s="168"/>
      <c r="W39" s="168"/>
      <c r="X39" s="166"/>
      <c r="Y39" s="166"/>
      <c r="Z39" s="166"/>
      <c r="AA39" s="166"/>
      <c r="AB39" s="166"/>
      <c r="AC39" s="166"/>
      <c r="AD39" s="166"/>
      <c r="AE39" s="261"/>
      <c r="AF39" s="166"/>
      <c r="AG39" s="166"/>
      <c r="AH39" s="166"/>
      <c r="AI39" s="166"/>
    </row>
    <row r="40" spans="20:35" hidden="1">
      <c r="T40" s="168"/>
      <c r="U40" s="168"/>
      <c r="V40" s="168"/>
      <c r="W40" s="168"/>
      <c r="X40" s="166"/>
      <c r="Y40" s="166"/>
      <c r="Z40" s="166"/>
      <c r="AA40" s="166"/>
      <c r="AB40" s="166"/>
      <c r="AC40" s="166"/>
      <c r="AD40" s="166"/>
      <c r="AE40" s="261"/>
      <c r="AF40" s="166"/>
      <c r="AG40" s="166"/>
      <c r="AH40" s="166"/>
      <c r="AI40" s="166"/>
    </row>
    <row r="41" spans="20:35" hidden="1">
      <c r="T41" s="168"/>
      <c r="U41" s="168"/>
      <c r="V41" s="168"/>
      <c r="W41" s="168"/>
      <c r="X41" s="166"/>
      <c r="Y41" s="166"/>
      <c r="Z41" s="166"/>
      <c r="AA41" s="166"/>
      <c r="AB41" s="166"/>
      <c r="AC41" s="166"/>
      <c r="AD41" s="166"/>
      <c r="AE41" s="261"/>
      <c r="AF41" s="166"/>
      <c r="AG41" s="166"/>
      <c r="AH41" s="166"/>
      <c r="AI41" s="166"/>
    </row>
    <row r="42" spans="20:35" hidden="1">
      <c r="T42" s="168"/>
      <c r="U42" s="168"/>
      <c r="V42" s="168"/>
      <c r="W42" s="168"/>
      <c r="X42" s="166"/>
      <c r="Y42" s="166"/>
      <c r="Z42" s="166"/>
      <c r="AA42" s="166"/>
      <c r="AB42" s="166"/>
      <c r="AC42" s="166"/>
      <c r="AD42" s="166"/>
      <c r="AE42" s="261"/>
      <c r="AF42" s="166"/>
      <c r="AG42" s="166"/>
      <c r="AH42" s="166"/>
      <c r="AI42" s="166"/>
    </row>
    <row r="43" spans="20:35" hidden="1">
      <c r="T43" s="168"/>
      <c r="U43" s="168"/>
      <c r="V43" s="168"/>
      <c r="W43" s="168"/>
      <c r="X43" s="166"/>
      <c r="Y43" s="166"/>
      <c r="Z43" s="166"/>
      <c r="AA43" s="166"/>
      <c r="AB43" s="166"/>
      <c r="AC43" s="166"/>
      <c r="AD43" s="166"/>
      <c r="AE43" s="261"/>
      <c r="AF43" s="166"/>
      <c r="AG43" s="166"/>
      <c r="AH43" s="166"/>
      <c r="AI43" s="166"/>
    </row>
    <row r="44" spans="20:35" hidden="1">
      <c r="T44" s="168"/>
      <c r="U44" s="168"/>
      <c r="V44" s="168"/>
      <c r="W44" s="168"/>
      <c r="X44" s="166"/>
      <c r="Y44" s="166"/>
      <c r="Z44" s="166"/>
      <c r="AA44" s="166"/>
      <c r="AB44" s="166"/>
      <c r="AC44" s="166"/>
      <c r="AD44" s="166"/>
      <c r="AE44" s="261"/>
      <c r="AF44" s="166"/>
      <c r="AG44" s="166"/>
      <c r="AH44" s="166"/>
      <c r="AI44" s="166"/>
    </row>
    <row r="45" spans="20:35" hidden="1">
      <c r="T45" s="168"/>
      <c r="U45" s="168"/>
      <c r="V45" s="168"/>
      <c r="W45" s="168"/>
      <c r="X45" s="166"/>
      <c r="Y45" s="166"/>
      <c r="Z45" s="166"/>
      <c r="AA45" s="166"/>
      <c r="AB45" s="166"/>
      <c r="AC45" s="166"/>
      <c r="AD45" s="166"/>
      <c r="AE45" s="261"/>
      <c r="AF45" s="166"/>
      <c r="AG45" s="166"/>
      <c r="AH45" s="166"/>
      <c r="AI45" s="166"/>
    </row>
    <row r="46" spans="20:35" hidden="1">
      <c r="T46" s="168"/>
      <c r="U46" s="168"/>
      <c r="V46" s="168"/>
      <c r="W46" s="168"/>
      <c r="X46" s="166"/>
      <c r="Y46" s="166"/>
      <c r="Z46" s="166"/>
      <c r="AA46" s="166"/>
      <c r="AB46" s="166"/>
      <c r="AC46" s="166"/>
      <c r="AD46" s="166"/>
      <c r="AE46" s="261"/>
      <c r="AF46" s="166"/>
      <c r="AG46" s="166"/>
      <c r="AH46" s="166"/>
      <c r="AI46" s="166"/>
    </row>
    <row r="47" spans="20:35" hidden="1">
      <c r="T47" s="168"/>
      <c r="U47" s="168"/>
      <c r="V47" s="168"/>
      <c r="W47" s="168"/>
      <c r="X47" s="166"/>
      <c r="Y47" s="166"/>
      <c r="Z47" s="166"/>
      <c r="AA47" s="166"/>
      <c r="AB47" s="166"/>
      <c r="AC47" s="166"/>
      <c r="AD47" s="166"/>
      <c r="AE47" s="261"/>
      <c r="AF47" s="166"/>
      <c r="AG47" s="166"/>
      <c r="AH47" s="166"/>
      <c r="AI47" s="166"/>
    </row>
    <row r="48" spans="20:35" hidden="1">
      <c r="T48" s="168"/>
      <c r="U48" s="168"/>
      <c r="V48" s="168"/>
      <c r="W48" s="168"/>
      <c r="X48" s="166"/>
      <c r="Y48" s="166"/>
      <c r="Z48" s="166"/>
      <c r="AA48" s="166"/>
      <c r="AB48" s="166"/>
      <c r="AC48" s="166"/>
      <c r="AD48" s="166"/>
      <c r="AE48" s="261"/>
      <c r="AF48" s="166"/>
      <c r="AG48" s="166"/>
      <c r="AH48" s="166"/>
      <c r="AI48" s="166"/>
    </row>
    <row r="49" spans="2:44" hidden="1">
      <c r="T49" s="168"/>
      <c r="U49" s="168"/>
      <c r="V49" s="168"/>
      <c r="W49" s="168"/>
      <c r="X49" s="166"/>
      <c r="Y49" s="166"/>
      <c r="Z49" s="166"/>
      <c r="AA49" s="166"/>
      <c r="AB49" s="166"/>
      <c r="AC49" s="166"/>
      <c r="AD49" s="166"/>
      <c r="AE49" s="261"/>
      <c r="AF49" s="166"/>
      <c r="AG49" s="166"/>
      <c r="AH49" s="166"/>
      <c r="AI49" s="166"/>
    </row>
    <row r="50" spans="2:44" hidden="1">
      <c r="T50" s="168"/>
      <c r="U50" s="168"/>
      <c r="V50" s="168"/>
      <c r="W50" s="168"/>
      <c r="X50" s="166"/>
      <c r="Y50" s="166"/>
      <c r="Z50" s="166"/>
      <c r="AA50" s="166"/>
      <c r="AB50" s="166"/>
      <c r="AC50" s="166"/>
      <c r="AD50" s="166"/>
      <c r="AE50" s="261"/>
      <c r="AF50" s="166"/>
      <c r="AG50" s="166"/>
      <c r="AH50" s="166"/>
      <c r="AI50" s="166"/>
    </row>
    <row r="51" spans="2:44" hidden="1">
      <c r="T51" s="168"/>
      <c r="U51" s="168"/>
      <c r="V51" s="168"/>
      <c r="W51" s="168"/>
      <c r="X51" s="166"/>
      <c r="Y51" s="166"/>
      <c r="Z51" s="166"/>
      <c r="AA51" s="166"/>
      <c r="AB51" s="166"/>
      <c r="AC51" s="166"/>
      <c r="AD51" s="166"/>
      <c r="AE51" s="261"/>
      <c r="AF51" s="166"/>
      <c r="AG51" s="166"/>
      <c r="AH51" s="166"/>
      <c r="AI51" s="166"/>
    </row>
    <row r="52" spans="2:44" hidden="1">
      <c r="T52" s="168"/>
      <c r="U52" s="168"/>
      <c r="V52" s="168"/>
      <c r="W52" s="168"/>
      <c r="X52" s="166"/>
      <c r="Y52" s="166"/>
      <c r="Z52" s="166"/>
      <c r="AA52" s="166"/>
      <c r="AB52" s="166"/>
      <c r="AC52" s="166"/>
      <c r="AD52" s="166"/>
      <c r="AE52" s="261"/>
      <c r="AF52" s="166"/>
      <c r="AG52" s="166"/>
      <c r="AH52" s="166"/>
      <c r="AI52" s="166"/>
    </row>
    <row r="53" spans="2:44" hidden="1">
      <c r="T53" s="168"/>
      <c r="U53" s="168"/>
      <c r="V53" s="168"/>
      <c r="W53" s="168"/>
      <c r="X53" s="166"/>
      <c r="Y53" s="166"/>
      <c r="Z53" s="166"/>
      <c r="AA53" s="166"/>
      <c r="AB53" s="166"/>
      <c r="AC53" s="166"/>
      <c r="AD53" s="166"/>
      <c r="AE53" s="261"/>
      <c r="AF53" s="166"/>
      <c r="AG53" s="166"/>
      <c r="AH53" s="166"/>
      <c r="AI53" s="166"/>
    </row>
    <row r="54" spans="2:44" hidden="1">
      <c r="T54" s="168"/>
      <c r="U54" s="168"/>
      <c r="V54" s="168"/>
      <c r="W54" s="168"/>
      <c r="X54" s="166"/>
      <c r="Y54" s="166"/>
      <c r="Z54" s="166"/>
      <c r="AA54" s="166"/>
      <c r="AB54" s="166"/>
      <c r="AC54" s="166"/>
      <c r="AD54" s="166"/>
      <c r="AE54" s="261"/>
      <c r="AF54" s="166"/>
      <c r="AG54" s="166"/>
      <c r="AH54" s="166"/>
      <c r="AI54" s="166"/>
    </row>
    <row r="55" spans="2:44" hidden="1">
      <c r="T55" s="168"/>
      <c r="U55" s="168"/>
      <c r="V55" s="168"/>
      <c r="W55" s="168"/>
      <c r="X55" s="166"/>
      <c r="Y55" s="166"/>
      <c r="Z55" s="166"/>
      <c r="AA55" s="166"/>
      <c r="AB55" s="166"/>
      <c r="AC55" s="166"/>
      <c r="AD55" s="166"/>
      <c r="AE55" s="261"/>
      <c r="AF55" s="166"/>
      <c r="AG55" s="166"/>
      <c r="AH55" s="166"/>
      <c r="AI55" s="166"/>
    </row>
    <row r="56" spans="2:44" hidden="1">
      <c r="T56" s="168"/>
      <c r="U56" s="168"/>
      <c r="V56" s="168"/>
      <c r="W56" s="168"/>
      <c r="X56" s="166"/>
      <c r="Y56" s="166"/>
      <c r="Z56" s="166"/>
      <c r="AA56" s="166"/>
      <c r="AB56" s="166"/>
      <c r="AC56" s="166"/>
      <c r="AD56" s="166"/>
      <c r="AE56" s="261"/>
      <c r="AF56" s="166"/>
      <c r="AG56" s="166"/>
      <c r="AH56" s="166"/>
      <c r="AI56" s="166"/>
    </row>
    <row r="57" spans="2:44" hidden="1">
      <c r="T57" s="168"/>
      <c r="U57" s="168"/>
      <c r="V57" s="168"/>
      <c r="W57" s="168"/>
      <c r="X57" s="166"/>
      <c r="Y57" s="166"/>
      <c r="Z57" s="166"/>
      <c r="AA57" s="166"/>
      <c r="AB57" s="166"/>
      <c r="AC57" s="166"/>
      <c r="AD57" s="166"/>
      <c r="AE57" s="261"/>
      <c r="AF57" s="166"/>
      <c r="AG57" s="166"/>
      <c r="AH57" s="166"/>
      <c r="AI57" s="166"/>
    </row>
    <row r="58" spans="2:44" hidden="1">
      <c r="T58" s="168"/>
      <c r="U58" s="168"/>
      <c r="V58" s="168"/>
      <c r="W58" s="168"/>
      <c r="X58" s="166"/>
      <c r="Y58" s="166"/>
      <c r="Z58" s="166"/>
      <c r="AA58" s="166"/>
      <c r="AB58" s="166"/>
      <c r="AC58" s="166"/>
      <c r="AD58" s="166"/>
      <c r="AE58" s="261"/>
      <c r="AF58" s="166"/>
      <c r="AG58" s="166"/>
      <c r="AH58" s="166"/>
      <c r="AI58" s="166"/>
    </row>
    <row r="59" spans="2:44">
      <c r="X59" s="244"/>
      <c r="Y59" s="244"/>
      <c r="Z59" s="244"/>
      <c r="AA59" s="244"/>
      <c r="AB59" s="244"/>
      <c r="AC59" s="244"/>
      <c r="AD59" s="244"/>
      <c r="AE59" s="261"/>
      <c r="AF59" s="244"/>
      <c r="AG59" s="244"/>
      <c r="AH59" s="244"/>
      <c r="AI59" s="244"/>
    </row>
    <row r="60" spans="2:44"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261"/>
      <c r="AF60" s="171"/>
      <c r="AG60" s="171"/>
      <c r="AH60" s="171"/>
      <c r="AI60" s="171"/>
    </row>
    <row r="61" spans="2:44" outlineLevel="1">
      <c r="B61" s="190" t="s">
        <v>870</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261"/>
      <c r="AF61" s="191"/>
      <c r="AG61" s="191"/>
      <c r="AH61" s="191"/>
      <c r="AI61" s="191"/>
      <c r="AJ61" s="191"/>
      <c r="AK61" s="191"/>
    </row>
    <row r="62" spans="2:44"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261"/>
      <c r="AF62" s="196"/>
      <c r="AG62" s="196"/>
      <c r="AH62" s="196"/>
      <c r="AI62" s="191"/>
      <c r="AJ62" s="191"/>
      <c r="AK62" s="191"/>
    </row>
    <row r="63" spans="2:44" outlineLevel="1">
      <c r="B63" s="165" t="s">
        <v>1785</v>
      </c>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1869"/>
      <c r="AF63" s="202">
        <v>2009</v>
      </c>
      <c r="AG63" s="202">
        <v>2010</v>
      </c>
      <c r="AH63" s="202">
        <v>2011</v>
      </c>
      <c r="AI63" s="202">
        <v>2012</v>
      </c>
      <c r="AJ63" s="202">
        <v>2013</v>
      </c>
      <c r="AK63" s="202">
        <v>2014</v>
      </c>
      <c r="AL63" s="202">
        <v>2015</v>
      </c>
      <c r="AM63" s="202">
        <v>2016</v>
      </c>
      <c r="AN63" s="202">
        <v>2017</v>
      </c>
      <c r="AO63" s="202">
        <v>2018</v>
      </c>
      <c r="AP63" s="202">
        <v>2019</v>
      </c>
      <c r="AQ63" s="202">
        <v>2020</v>
      </c>
      <c r="AR63" s="203"/>
    </row>
    <row r="64" spans="2:44" outlineLevel="1">
      <c r="B64" s="165" t="s">
        <v>1786</v>
      </c>
      <c r="E64" s="167"/>
      <c r="F64" s="167"/>
      <c r="G64" s="167"/>
      <c r="H64" s="167"/>
      <c r="I64" s="167"/>
      <c r="J64" s="167"/>
      <c r="K64" s="167"/>
      <c r="L64" s="167"/>
      <c r="M64" s="167"/>
      <c r="N64" s="167"/>
      <c r="O64" s="197"/>
      <c r="P64" s="198"/>
      <c r="Q64" s="199"/>
      <c r="R64" s="198"/>
      <c r="S64" s="198"/>
      <c r="T64" s="198"/>
      <c r="U64" s="198"/>
      <c r="V64" s="198"/>
      <c r="W64" s="198"/>
      <c r="Y64" s="203"/>
      <c r="AA64" s="203"/>
      <c r="AC64" s="203"/>
      <c r="AE64" s="261"/>
      <c r="AJ64" s="75"/>
      <c r="AK64" s="75"/>
      <c r="AL64" s="75"/>
    </row>
    <row r="65" spans="2:44" outlineLevel="1">
      <c r="B65" s="204" t="s">
        <v>28</v>
      </c>
      <c r="C65" s="165" t="s">
        <v>29</v>
      </c>
      <c r="E65" s="167"/>
      <c r="F65" s="167"/>
      <c r="G65" s="167"/>
      <c r="H65" s="167"/>
      <c r="I65" s="167"/>
      <c r="J65" s="167"/>
      <c r="K65" s="167"/>
      <c r="L65" s="167"/>
      <c r="M65" s="167"/>
      <c r="N65" s="167"/>
      <c r="O65" s="197"/>
      <c r="P65" s="198"/>
      <c r="Q65" s="199"/>
      <c r="R65" s="198"/>
      <c r="S65" s="198"/>
      <c r="T65" s="198"/>
      <c r="U65" s="198"/>
      <c r="V65" s="198"/>
      <c r="W65" s="198"/>
      <c r="X65" s="166">
        <v>19210.091</v>
      </c>
      <c r="Y65" s="75">
        <v>20892.845000000001</v>
      </c>
      <c r="Z65" s="166">
        <v>22475.308000000001</v>
      </c>
      <c r="AA65" s="75">
        <v>25847.891</v>
      </c>
      <c r="AB65" s="166">
        <v>27753.795999999998</v>
      </c>
      <c r="AC65" s="75">
        <v>30945.763999999999</v>
      </c>
      <c r="AD65" s="166">
        <v>34247.03</v>
      </c>
      <c r="AE65" s="261">
        <v>38292.466</v>
      </c>
      <c r="AF65" s="166">
        <v>38247.199999999997</v>
      </c>
      <c r="AG65" s="166">
        <v>38943.432000000001</v>
      </c>
      <c r="AH65" s="166">
        <v>39676.466</v>
      </c>
      <c r="AI65" s="166">
        <v>41202.553999999996</v>
      </c>
      <c r="AJ65" s="166">
        <v>41258.732000000004</v>
      </c>
      <c r="AK65" s="166">
        <v>41995.071000000004</v>
      </c>
      <c r="AL65" s="166">
        <v>43106.178999999996</v>
      </c>
      <c r="AM65" s="166">
        <v>44639.021999999997</v>
      </c>
      <c r="AN65" s="166">
        <v>47359.18</v>
      </c>
      <c r="AO65" s="166">
        <v>50432.201999999997</v>
      </c>
      <c r="AP65" s="166">
        <v>53195.523999999998</v>
      </c>
      <c r="AQ65" s="166">
        <v>53645.233999999997</v>
      </c>
      <c r="AR65" s="166"/>
    </row>
    <row r="66" spans="2:44" ht="13.5" customHeight="1" outlineLevel="1">
      <c r="B66" s="75"/>
      <c r="E66" s="167"/>
      <c r="F66" s="167"/>
      <c r="G66" s="167"/>
      <c r="H66" s="167"/>
      <c r="I66" s="167"/>
      <c r="J66" s="167"/>
      <c r="K66" s="167"/>
      <c r="L66" s="167"/>
      <c r="M66" s="167"/>
      <c r="N66" s="167"/>
      <c r="O66" s="197"/>
      <c r="P66" s="198"/>
      <c r="Q66" s="199"/>
      <c r="R66" s="198"/>
      <c r="S66" s="198"/>
      <c r="T66" s="198"/>
      <c r="U66" s="198"/>
      <c r="V66" s="198"/>
      <c r="W66" s="198"/>
      <c r="X66" s="166"/>
      <c r="Z66" s="166"/>
      <c r="AB66" s="166"/>
      <c r="AD66" s="166"/>
      <c r="AE66" s="261"/>
      <c r="AF66" s="166"/>
      <c r="AG66" s="166"/>
      <c r="AH66" s="166"/>
      <c r="AI66" s="166"/>
      <c r="AJ66" s="166"/>
      <c r="AK66" s="166"/>
      <c r="AL66" s="166"/>
      <c r="AM66" s="166"/>
      <c r="AN66" s="166"/>
      <c r="AO66" s="166"/>
      <c r="AP66" s="166"/>
      <c r="AQ66" s="166"/>
      <c r="AR66" s="166"/>
    </row>
    <row r="67" spans="2:44" outlineLevel="1">
      <c r="B67" s="204" t="s">
        <v>30</v>
      </c>
      <c r="C67" s="165" t="s">
        <v>31</v>
      </c>
      <c r="E67" s="167"/>
      <c r="F67" s="167"/>
      <c r="G67" s="167"/>
      <c r="H67" s="167"/>
      <c r="I67" s="167"/>
      <c r="J67" s="167"/>
      <c r="K67" s="167"/>
      <c r="L67" s="167"/>
      <c r="M67" s="167"/>
      <c r="N67" s="167"/>
      <c r="O67" s="197"/>
      <c r="P67" s="198"/>
      <c r="Q67" s="199"/>
      <c r="R67" s="198"/>
      <c r="S67" s="198"/>
      <c r="T67" s="198"/>
      <c r="U67" s="198"/>
      <c r="V67" s="198"/>
      <c r="W67" s="198"/>
      <c r="X67" s="166">
        <v>23292.911</v>
      </c>
      <c r="Y67" s="75">
        <v>25048.443000000003</v>
      </c>
      <c r="Z67" s="166">
        <v>27392.25</v>
      </c>
      <c r="AA67" s="75">
        <v>30837.487999999998</v>
      </c>
      <c r="AB67" s="166">
        <v>33054.777000000002</v>
      </c>
      <c r="AC67" s="75">
        <v>37072.998999999996</v>
      </c>
      <c r="AD67" s="166">
        <v>40443.221000000005</v>
      </c>
      <c r="AE67" s="261">
        <v>45154.297000000006</v>
      </c>
      <c r="AF67" s="166">
        <v>45518.535999999993</v>
      </c>
      <c r="AG67" s="166">
        <v>46304.349000000002</v>
      </c>
      <c r="AH67" s="166">
        <v>46848.864000000001</v>
      </c>
      <c r="AI67" s="166">
        <v>48213.765999999996</v>
      </c>
      <c r="AJ67" s="166">
        <v>48224.090000000004</v>
      </c>
      <c r="AK67" s="166">
        <v>49237.440000000002</v>
      </c>
      <c r="AL67" s="166">
        <v>50845.427000000003</v>
      </c>
      <c r="AM67" s="166">
        <v>52444.615000000005</v>
      </c>
      <c r="AN67" s="166">
        <v>55431.072</v>
      </c>
      <c r="AO67" s="166">
        <v>58722.557999999997</v>
      </c>
      <c r="AP67" s="166">
        <v>61971.817999999992</v>
      </c>
      <c r="AQ67" s="166">
        <v>62921.253999999994</v>
      </c>
      <c r="AR67" s="166"/>
    </row>
    <row r="68" spans="2:44" ht="13.5" customHeight="1" outlineLevel="1">
      <c r="B68" s="75"/>
      <c r="E68" s="167"/>
      <c r="F68" s="167"/>
      <c r="G68" s="167"/>
      <c r="H68" s="167"/>
      <c r="I68" s="167"/>
      <c r="J68" s="167"/>
      <c r="K68" s="167"/>
      <c r="L68" s="167"/>
      <c r="M68" s="167"/>
      <c r="N68" s="167"/>
      <c r="O68" s="197"/>
      <c r="P68" s="198"/>
      <c r="Q68" s="199"/>
      <c r="R68" s="198"/>
      <c r="S68" s="198"/>
      <c r="T68" s="198"/>
      <c r="U68" s="198"/>
      <c r="V68" s="198"/>
      <c r="W68" s="198"/>
      <c r="AE68" s="261"/>
      <c r="AJ68" s="75"/>
      <c r="AK68" s="75"/>
      <c r="AL68" s="75"/>
      <c r="AM68" s="75"/>
      <c r="AN68" s="75"/>
      <c r="AO68" s="75"/>
      <c r="AP68" s="75"/>
      <c r="AQ68" s="75"/>
      <c r="AR68" s="75"/>
    </row>
    <row r="69" spans="2:44" outlineLevel="1">
      <c r="B69" s="204" t="s">
        <v>32</v>
      </c>
      <c r="C69" s="165" t="s">
        <v>33</v>
      </c>
      <c r="E69" s="167"/>
      <c r="F69" s="167"/>
      <c r="G69" s="167"/>
      <c r="H69" s="167"/>
      <c r="I69" s="167"/>
      <c r="J69" s="167"/>
      <c r="K69" s="167"/>
      <c r="L69" s="167"/>
      <c r="M69" s="167"/>
      <c r="N69" s="167"/>
      <c r="O69" s="197"/>
      <c r="P69" s="198"/>
      <c r="Q69" s="199"/>
      <c r="R69" s="198"/>
      <c r="S69" s="198"/>
      <c r="T69" s="198"/>
      <c r="U69" s="198"/>
      <c r="V69" s="198"/>
      <c r="W69" s="198"/>
      <c r="X69" s="166">
        <f>SUM(X71:X72)</f>
        <v>3376.5190000000002</v>
      </c>
      <c r="Y69" s="75">
        <f t="shared" ref="Y69:AQ69" si="5">SUM(Y71:Y72)</f>
        <v>3666.9319999999998</v>
      </c>
      <c r="Z69" s="166">
        <f t="shared" si="5"/>
        <v>4299.2420000000002</v>
      </c>
      <c r="AA69" s="75">
        <f t="shared" si="5"/>
        <v>5006.2400000000007</v>
      </c>
      <c r="AB69" s="166">
        <f t="shared" si="5"/>
        <v>5684.1260000000002</v>
      </c>
      <c r="AC69" s="75">
        <f t="shared" si="5"/>
        <v>5692.9229999999998</v>
      </c>
      <c r="AD69" s="166">
        <f t="shared" si="5"/>
        <v>6318.3290000000006</v>
      </c>
      <c r="AE69" s="261">
        <f t="shared" si="5"/>
        <v>6430.692</v>
      </c>
      <c r="AF69" s="166">
        <f t="shared" si="5"/>
        <v>5983.0070000000005</v>
      </c>
      <c r="AG69" s="166">
        <f t="shared" si="5"/>
        <v>6263.393</v>
      </c>
      <c r="AH69" s="166">
        <f t="shared" si="5"/>
        <v>7068.4279999999999</v>
      </c>
      <c r="AI69" s="166">
        <f t="shared" si="5"/>
        <v>6680.3719999999994</v>
      </c>
      <c r="AJ69" s="166">
        <f t="shared" si="5"/>
        <v>7158.1939999999995</v>
      </c>
      <c r="AK69" s="166">
        <f t="shared" si="5"/>
        <v>7489.232</v>
      </c>
      <c r="AL69" s="166">
        <f t="shared" si="5"/>
        <v>7989.7890000000007</v>
      </c>
      <c r="AM69" s="166">
        <f t="shared" si="5"/>
        <v>7997.6349999999993</v>
      </c>
      <c r="AN69" s="166">
        <f t="shared" si="5"/>
        <v>8659.2610000000004</v>
      </c>
      <c r="AO69" s="166">
        <f t="shared" si="5"/>
        <v>9129.2610000000004</v>
      </c>
      <c r="AP69" s="166">
        <f t="shared" si="5"/>
        <v>9669.3310000000001</v>
      </c>
      <c r="AQ69" s="166">
        <f t="shared" si="5"/>
        <v>9579.4500000000007</v>
      </c>
      <c r="AR69" s="166"/>
    </row>
    <row r="70" spans="2:44" ht="13.5" customHeight="1" outlineLevel="1">
      <c r="B70" s="75"/>
      <c r="E70" s="167"/>
      <c r="F70" s="167"/>
      <c r="G70" s="167"/>
      <c r="H70" s="167"/>
      <c r="I70" s="167"/>
      <c r="J70" s="167"/>
      <c r="K70" s="167"/>
      <c r="L70" s="167"/>
      <c r="M70" s="167"/>
      <c r="N70" s="167"/>
      <c r="O70" s="197"/>
      <c r="P70" s="198"/>
      <c r="Q70" s="199"/>
      <c r="R70" s="198"/>
      <c r="S70" s="198"/>
      <c r="T70" s="198"/>
      <c r="U70" s="198"/>
      <c r="V70" s="198"/>
      <c r="W70" s="198"/>
      <c r="AE70" s="261"/>
      <c r="AJ70" s="75"/>
      <c r="AK70" s="75"/>
      <c r="AL70" s="75"/>
      <c r="AM70" s="75"/>
      <c r="AN70" s="75"/>
      <c r="AO70" s="75"/>
      <c r="AP70" s="75"/>
      <c r="AQ70" s="75"/>
      <c r="AR70" s="75"/>
    </row>
    <row r="71" spans="2:44" outlineLevel="1">
      <c r="B71" s="75"/>
      <c r="C71" s="165" t="s">
        <v>34</v>
      </c>
      <c r="E71" s="167"/>
      <c r="F71" s="167"/>
      <c r="G71" s="167"/>
      <c r="H71" s="167"/>
      <c r="I71" s="167"/>
      <c r="J71" s="167"/>
      <c r="K71" s="167"/>
      <c r="L71" s="167"/>
      <c r="M71" s="167"/>
      <c r="N71" s="167"/>
      <c r="O71" s="197"/>
      <c r="P71" s="198"/>
      <c r="Q71" s="199"/>
      <c r="R71" s="198"/>
      <c r="S71" s="198"/>
      <c r="T71" s="198"/>
      <c r="U71" s="198"/>
      <c r="V71" s="198"/>
      <c r="W71" s="198"/>
      <c r="X71" s="166">
        <v>2454.259</v>
      </c>
      <c r="Y71" s="75">
        <v>2581.8229999999999</v>
      </c>
      <c r="Z71" s="166">
        <v>3031.3679999999999</v>
      </c>
      <c r="AA71" s="75">
        <v>3506.9370000000004</v>
      </c>
      <c r="AB71" s="166">
        <v>3879.7049999999999</v>
      </c>
      <c r="AC71" s="75">
        <v>4103.7309999999998</v>
      </c>
      <c r="AD71" s="166">
        <v>4147.0820000000003</v>
      </c>
      <c r="AE71" s="261">
        <v>4621.424</v>
      </c>
      <c r="AF71" s="166">
        <v>4221.2880000000005</v>
      </c>
      <c r="AG71" s="166">
        <v>4182.1010000000006</v>
      </c>
      <c r="AH71" s="166">
        <v>4710.9139999999998</v>
      </c>
      <c r="AI71" s="166">
        <v>4327.7020000000002</v>
      </c>
      <c r="AJ71" s="166">
        <v>4696.12</v>
      </c>
      <c r="AK71" s="166">
        <v>5021.1319999999996</v>
      </c>
      <c r="AL71" s="166">
        <v>5422.5349999999999</v>
      </c>
      <c r="AM71" s="166">
        <v>5423.6319999999996</v>
      </c>
      <c r="AN71" s="166">
        <v>5918.7440000000006</v>
      </c>
      <c r="AO71" s="166">
        <v>6319.3010000000004</v>
      </c>
      <c r="AP71" s="166">
        <v>6830.1550000000007</v>
      </c>
      <c r="AQ71" s="166">
        <v>6827.183</v>
      </c>
      <c r="AR71" s="166"/>
    </row>
    <row r="72" spans="2:44" outlineLevel="1">
      <c r="B72" s="75"/>
      <c r="C72" s="165" t="s">
        <v>35</v>
      </c>
      <c r="E72" s="167"/>
      <c r="F72" s="167"/>
      <c r="G72" s="167"/>
      <c r="H72" s="167"/>
      <c r="I72" s="167"/>
      <c r="J72" s="167"/>
      <c r="K72" s="167"/>
      <c r="L72" s="167"/>
      <c r="M72" s="167"/>
      <c r="N72" s="167"/>
      <c r="O72" s="197"/>
      <c r="P72" s="198"/>
      <c r="Q72" s="199"/>
      <c r="R72" s="198"/>
      <c r="S72" s="198"/>
      <c r="T72" s="198"/>
      <c r="U72" s="198"/>
      <c r="V72" s="198"/>
      <c r="W72" s="198"/>
      <c r="X72" s="166">
        <v>922.26</v>
      </c>
      <c r="Y72" s="75">
        <v>1085.1090000000002</v>
      </c>
      <c r="Z72" s="166">
        <v>1267.874</v>
      </c>
      <c r="AA72" s="75">
        <v>1499.3030000000001</v>
      </c>
      <c r="AB72" s="166">
        <v>1804.421</v>
      </c>
      <c r="AC72" s="75">
        <v>1589.192</v>
      </c>
      <c r="AD72" s="166">
        <v>2171.2470000000003</v>
      </c>
      <c r="AE72" s="261">
        <v>1809.268</v>
      </c>
      <c r="AF72" s="166">
        <v>1761.7190000000001</v>
      </c>
      <c r="AG72" s="166">
        <v>2081.2919999999999</v>
      </c>
      <c r="AH72" s="166">
        <v>2357.5140000000001</v>
      </c>
      <c r="AI72" s="166">
        <v>2352.6699999999996</v>
      </c>
      <c r="AJ72" s="166">
        <v>2462.0740000000001</v>
      </c>
      <c r="AK72" s="166">
        <v>2468.1000000000004</v>
      </c>
      <c r="AL72" s="166">
        <v>2567.2540000000004</v>
      </c>
      <c r="AM72" s="166">
        <v>2574.0029999999997</v>
      </c>
      <c r="AN72" s="166">
        <v>2740.5170000000003</v>
      </c>
      <c r="AO72" s="166">
        <v>2809.9599999999996</v>
      </c>
      <c r="AP72" s="166">
        <v>2839.1759999999999</v>
      </c>
      <c r="AQ72" s="166">
        <v>2752.2669999999998</v>
      </c>
      <c r="AR72" s="166"/>
    </row>
    <row r="73" spans="2:44" ht="13.5" customHeight="1" outlineLevel="1">
      <c r="B73" s="75"/>
      <c r="E73" s="167"/>
      <c r="F73" s="167"/>
      <c r="G73" s="167"/>
      <c r="H73" s="167"/>
      <c r="I73" s="167"/>
      <c r="J73" s="167"/>
      <c r="K73" s="167"/>
      <c r="L73" s="167"/>
      <c r="M73" s="167"/>
      <c r="N73" s="167"/>
      <c r="O73" s="197"/>
      <c r="P73" s="198"/>
      <c r="Q73" s="199"/>
      <c r="R73" s="198"/>
      <c r="S73" s="198"/>
      <c r="T73" s="198"/>
      <c r="U73" s="198"/>
      <c r="V73" s="198"/>
      <c r="W73" s="198"/>
      <c r="X73" s="166"/>
      <c r="Z73" s="166"/>
      <c r="AB73" s="166"/>
      <c r="AD73" s="166"/>
      <c r="AE73" s="261"/>
      <c r="AF73" s="166"/>
      <c r="AG73" s="166"/>
      <c r="AH73" s="166"/>
      <c r="AI73" s="166"/>
      <c r="AJ73" s="166"/>
      <c r="AK73" s="166"/>
      <c r="AL73" s="166"/>
      <c r="AM73" s="166"/>
      <c r="AN73" s="166"/>
      <c r="AO73" s="166"/>
      <c r="AP73" s="166"/>
      <c r="AQ73" s="166"/>
      <c r="AR73" s="166"/>
    </row>
    <row r="74" spans="2:44" outlineLevel="1">
      <c r="B74" s="204" t="s">
        <v>36</v>
      </c>
      <c r="C74" s="165" t="s">
        <v>37</v>
      </c>
      <c r="E74" s="167"/>
      <c r="F74" s="167"/>
      <c r="G74" s="167"/>
      <c r="H74" s="167"/>
      <c r="I74" s="167"/>
      <c r="J74" s="167"/>
      <c r="K74" s="167"/>
      <c r="L74" s="167"/>
      <c r="M74" s="167"/>
      <c r="N74" s="167"/>
      <c r="O74" s="197"/>
      <c r="P74" s="198"/>
      <c r="Q74" s="199"/>
      <c r="R74" s="198"/>
      <c r="S74" s="198"/>
      <c r="T74" s="198"/>
      <c r="U74" s="198"/>
      <c r="V74" s="198"/>
      <c r="W74" s="198"/>
      <c r="X74" s="166">
        <v>3565.8679999999999</v>
      </c>
      <c r="Y74" s="75">
        <v>3867.19</v>
      </c>
      <c r="Z74" s="166">
        <v>4515.085</v>
      </c>
      <c r="AA74" s="75">
        <v>5183.4610000000002</v>
      </c>
      <c r="AB74" s="166">
        <v>5857.3820000000005</v>
      </c>
      <c r="AC74" s="75">
        <v>5893.5619999999999</v>
      </c>
      <c r="AD74" s="166">
        <v>6579.7619999999997</v>
      </c>
      <c r="AE74" s="261">
        <v>6743.8140000000003</v>
      </c>
      <c r="AF74" s="166">
        <v>6250.9740000000002</v>
      </c>
      <c r="AG74" s="166">
        <v>6573.2240000000002</v>
      </c>
      <c r="AH74" s="166">
        <v>7496.2520000000004</v>
      </c>
      <c r="AI74" s="166">
        <v>7273.1210000000001</v>
      </c>
      <c r="AJ74" s="166">
        <v>7780.3429999999998</v>
      </c>
      <c r="AK74" s="166">
        <v>8088.9830000000011</v>
      </c>
      <c r="AL74" s="166">
        <v>8573.1059999999998</v>
      </c>
      <c r="AM74" s="166">
        <v>8638.889000000001</v>
      </c>
      <c r="AN74" s="166">
        <v>9393.768</v>
      </c>
      <c r="AO74" s="166">
        <v>9913</v>
      </c>
      <c r="AP74" s="166">
        <v>10524.698</v>
      </c>
      <c r="AQ74" s="166">
        <v>10362.522999999999</v>
      </c>
      <c r="AR74" s="166"/>
    </row>
    <row r="75" spans="2:44" ht="13.5" customHeight="1" outlineLevel="1">
      <c r="B75" s="75"/>
      <c r="E75" s="167"/>
      <c r="F75" s="167"/>
      <c r="G75" s="167"/>
      <c r="H75" s="167"/>
      <c r="I75" s="167"/>
      <c r="J75" s="167"/>
      <c r="K75" s="167"/>
      <c r="L75" s="167"/>
      <c r="M75" s="167"/>
      <c r="N75" s="167"/>
      <c r="O75" s="197"/>
      <c r="P75" s="198"/>
      <c r="Q75" s="199"/>
      <c r="R75" s="198"/>
      <c r="S75" s="198"/>
      <c r="T75" s="198"/>
      <c r="U75" s="198"/>
      <c r="V75" s="198"/>
      <c r="W75" s="198"/>
      <c r="X75" s="166"/>
      <c r="Z75" s="166"/>
      <c r="AB75" s="166"/>
      <c r="AD75" s="166"/>
      <c r="AE75" s="261"/>
      <c r="AF75" s="166"/>
      <c r="AG75" s="166"/>
      <c r="AH75" s="166"/>
      <c r="AI75" s="166"/>
      <c r="AJ75" s="166"/>
      <c r="AK75" s="166"/>
      <c r="AL75" s="166"/>
      <c r="AM75" s="166"/>
      <c r="AN75" s="166"/>
      <c r="AO75" s="166"/>
      <c r="AP75" s="166"/>
      <c r="AQ75" s="166"/>
      <c r="AR75" s="166"/>
    </row>
    <row r="76" spans="2:44" outlineLevel="1">
      <c r="B76" s="204" t="s">
        <v>38</v>
      </c>
      <c r="C76" s="165" t="s">
        <v>39</v>
      </c>
      <c r="E76" s="167"/>
      <c r="F76" s="167"/>
      <c r="G76" s="167"/>
      <c r="H76" s="167"/>
      <c r="I76" s="167"/>
      <c r="J76" s="167"/>
      <c r="K76" s="167"/>
      <c r="L76" s="167"/>
      <c r="M76" s="167"/>
      <c r="N76" s="167"/>
      <c r="O76" s="197"/>
      <c r="P76" s="198"/>
      <c r="Q76" s="199"/>
      <c r="R76" s="198"/>
      <c r="S76" s="198"/>
      <c r="T76" s="198"/>
      <c r="U76" s="198"/>
      <c r="V76" s="198"/>
      <c r="W76" s="198"/>
      <c r="X76" s="166">
        <v>3812.683</v>
      </c>
      <c r="Y76" s="75">
        <v>4215.8540000000003</v>
      </c>
      <c r="Z76" s="166">
        <v>4895.4079999999994</v>
      </c>
      <c r="AA76" s="75">
        <v>5609.1019999999999</v>
      </c>
      <c r="AB76" s="166">
        <v>6304.2020000000002</v>
      </c>
      <c r="AC76" s="75">
        <v>6394.4549999999999</v>
      </c>
      <c r="AD76" s="166">
        <v>7122.9490000000005</v>
      </c>
      <c r="AE76" s="261">
        <v>7326.107</v>
      </c>
      <c r="AF76" s="166">
        <v>6803.1710000000003</v>
      </c>
      <c r="AG76" s="166">
        <v>7127.482</v>
      </c>
      <c r="AH76" s="166">
        <v>8061.0579999999991</v>
      </c>
      <c r="AI76" s="166">
        <v>7858.3249999999998</v>
      </c>
      <c r="AJ76" s="166">
        <v>8436.3430000000008</v>
      </c>
      <c r="AK76" s="166">
        <v>8814.66</v>
      </c>
      <c r="AL76" s="166">
        <v>9274.64</v>
      </c>
      <c r="AM76" s="166">
        <v>9385.4249999999993</v>
      </c>
      <c r="AN76" s="166">
        <v>10139.034</v>
      </c>
      <c r="AO76" s="166">
        <v>10671.46</v>
      </c>
      <c r="AP76" s="166">
        <v>11371.314999999999</v>
      </c>
      <c r="AQ76" s="166">
        <v>11169.359999999999</v>
      </c>
      <c r="AR76" s="166"/>
    </row>
    <row r="77" spans="2:44" outlineLevel="1">
      <c r="B77" s="204"/>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E77" s="261"/>
      <c r="AF77" s="166"/>
      <c r="AG77" s="166"/>
      <c r="AH77" s="166"/>
      <c r="AI77" s="166"/>
      <c r="AJ77" s="166"/>
      <c r="AK77" s="166"/>
      <c r="AL77" s="166"/>
      <c r="AM77" s="166"/>
      <c r="AN77" s="166"/>
      <c r="AO77" s="166"/>
      <c r="AP77" s="166"/>
      <c r="AQ77" s="166"/>
      <c r="AR77" s="166"/>
    </row>
    <row r="78" spans="2:44" outlineLevel="1">
      <c r="B78" s="165" t="s">
        <v>40</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E78" s="261"/>
      <c r="AF78" s="166"/>
      <c r="AG78" s="166"/>
      <c r="AH78" s="166"/>
      <c r="AI78" s="166"/>
      <c r="AJ78" s="166"/>
      <c r="AK78" s="166"/>
      <c r="AL78" s="166"/>
      <c r="AM78" s="166"/>
      <c r="AN78" s="166"/>
      <c r="AO78" s="166"/>
      <c r="AP78" s="166"/>
      <c r="AQ78" s="166"/>
      <c r="AR78" s="166"/>
    </row>
    <row r="79" spans="2:44" ht="13.5" customHeight="1" outlineLevel="1">
      <c r="B79" s="75"/>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E79" s="261"/>
      <c r="AF79" s="166"/>
      <c r="AG79" s="166"/>
      <c r="AH79" s="166"/>
      <c r="AI79" s="166"/>
      <c r="AJ79" s="166"/>
      <c r="AK79" s="166"/>
      <c r="AL79" s="166"/>
      <c r="AM79" s="166"/>
      <c r="AN79" s="166"/>
      <c r="AO79" s="166"/>
      <c r="AP79" s="166"/>
      <c r="AQ79" s="166"/>
      <c r="AR79" s="166"/>
    </row>
    <row r="80" spans="2:44" outlineLevel="1">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f>X69/X67</f>
        <v>0.14495908218599213</v>
      </c>
      <c r="Y80" s="171">
        <f t="shared" ref="Y80:AQ80" si="6">Y69/Y67</f>
        <v>0.14639361017369421</v>
      </c>
      <c r="Z80" s="207">
        <f t="shared" si="6"/>
        <v>0.15695103542060254</v>
      </c>
      <c r="AA80" s="171">
        <f t="shared" si="6"/>
        <v>0.1623426655245071</v>
      </c>
      <c r="AB80" s="207">
        <f t="shared" si="6"/>
        <v>0.17196080312385711</v>
      </c>
      <c r="AC80" s="171">
        <f t="shared" si="6"/>
        <v>0.15355981856229112</v>
      </c>
      <c r="AD80" s="207">
        <f t="shared" si="6"/>
        <v>0.15622714620084291</v>
      </c>
      <c r="AE80" s="261">
        <f t="shared" si="6"/>
        <v>0.1424159477003927</v>
      </c>
      <c r="AF80" s="207">
        <f t="shared" si="6"/>
        <v>0.13144111225369817</v>
      </c>
      <c r="AG80" s="207">
        <f t="shared" si="6"/>
        <v>0.13526576088997602</v>
      </c>
      <c r="AH80" s="207">
        <f t="shared" si="6"/>
        <v>0.15087725499598026</v>
      </c>
      <c r="AI80" s="207">
        <f t="shared" si="6"/>
        <v>0.13855735724937976</v>
      </c>
      <c r="AJ80" s="207">
        <f t="shared" si="6"/>
        <v>0.14843606172765519</v>
      </c>
      <c r="AK80" s="207">
        <f t="shared" si="6"/>
        <v>0.15210441485178758</v>
      </c>
      <c r="AL80" s="207">
        <f t="shared" si="6"/>
        <v>0.15713879244243539</v>
      </c>
      <c r="AM80" s="207">
        <f t="shared" si="6"/>
        <v>0.15249678160474622</v>
      </c>
      <c r="AN80" s="207">
        <f t="shared" si="6"/>
        <v>0.15621673345952972</v>
      </c>
      <c r="AO80" s="207">
        <f t="shared" si="6"/>
        <v>0.15546429363652722</v>
      </c>
      <c r="AP80" s="207">
        <f t="shared" si="6"/>
        <v>0.1560278738312954</v>
      </c>
      <c r="AQ80" s="207">
        <f t="shared" si="6"/>
        <v>0.15224505856161102</v>
      </c>
      <c r="AR80" s="207"/>
    </row>
    <row r="81" spans="2:44" ht="13.5" customHeight="1" outlineLevel="1">
      <c r="B81" s="75"/>
      <c r="E81" s="167"/>
      <c r="F81" s="167"/>
      <c r="G81" s="167"/>
      <c r="H81" s="167"/>
      <c r="I81" s="167"/>
      <c r="J81" s="167"/>
      <c r="K81" s="167"/>
      <c r="L81" s="167"/>
      <c r="M81" s="167"/>
      <c r="N81" s="167"/>
      <c r="O81" s="197"/>
      <c r="P81" s="198"/>
      <c r="Q81" s="199"/>
      <c r="R81" s="198"/>
      <c r="S81" s="198"/>
      <c r="T81" s="198"/>
      <c r="U81" s="198"/>
      <c r="V81" s="198"/>
      <c r="W81" s="198"/>
      <c r="X81" s="166"/>
      <c r="Z81" s="166"/>
      <c r="AB81" s="166"/>
      <c r="AD81" s="166"/>
      <c r="AE81" s="261"/>
      <c r="AF81" s="166"/>
      <c r="AG81" s="166"/>
      <c r="AH81" s="166"/>
      <c r="AI81" s="166"/>
      <c r="AJ81" s="166"/>
      <c r="AK81" s="166"/>
      <c r="AL81" s="166"/>
      <c r="AM81" s="166"/>
      <c r="AN81" s="166"/>
      <c r="AO81" s="166"/>
      <c r="AP81" s="166"/>
      <c r="AQ81" s="166"/>
      <c r="AR81" s="166"/>
    </row>
    <row r="82" spans="2:44" outlineLevel="1">
      <c r="B82" s="204" t="s">
        <v>43</v>
      </c>
      <c r="C82" s="165" t="s">
        <v>44</v>
      </c>
      <c r="E82" s="167"/>
      <c r="F82" s="167"/>
      <c r="G82" s="167"/>
      <c r="H82" s="167"/>
      <c r="I82" s="167"/>
      <c r="J82" s="167"/>
      <c r="K82" s="167"/>
      <c r="L82" s="167"/>
      <c r="M82" s="167"/>
      <c r="N82" s="167"/>
      <c r="O82" s="197"/>
      <c r="P82" s="198"/>
      <c r="Q82" s="199"/>
      <c r="R82" s="198"/>
      <c r="S82" s="198"/>
      <c r="T82" s="198"/>
      <c r="U82" s="198"/>
      <c r="V82" s="198"/>
      <c r="W82" s="198"/>
      <c r="X82" s="208">
        <f>X76/X67</f>
        <v>0.16368426428109392</v>
      </c>
      <c r="Y82" s="75">
        <f t="shared" ref="Y82:AQ82" si="7">Y76/Y67</f>
        <v>0.1683080261715269</v>
      </c>
      <c r="Z82" s="208">
        <f t="shared" si="7"/>
        <v>0.1787150745192527</v>
      </c>
      <c r="AA82" s="75">
        <f t="shared" si="7"/>
        <v>0.18189231236993106</v>
      </c>
      <c r="AB82" s="208">
        <f t="shared" si="7"/>
        <v>0.19071984663517771</v>
      </c>
      <c r="AC82" s="75">
        <f t="shared" si="7"/>
        <v>0.17248280884964284</v>
      </c>
      <c r="AD82" s="208">
        <f t="shared" si="7"/>
        <v>0.17612219857562778</v>
      </c>
      <c r="AE82" s="261">
        <f t="shared" si="7"/>
        <v>0.16224606486510018</v>
      </c>
      <c r="AF82" s="208">
        <f t="shared" si="7"/>
        <v>0.14945935431666785</v>
      </c>
      <c r="AG82" s="208">
        <f t="shared" si="7"/>
        <v>0.15392683741218346</v>
      </c>
      <c r="AH82" s="208">
        <f t="shared" si="7"/>
        <v>0.17206517536903346</v>
      </c>
      <c r="AI82" s="208">
        <f t="shared" si="7"/>
        <v>0.1629892383847385</v>
      </c>
      <c r="AJ82" s="208">
        <f t="shared" si="7"/>
        <v>0.17494042915065894</v>
      </c>
      <c r="AK82" s="208">
        <f t="shared" si="7"/>
        <v>0.17902352356255727</v>
      </c>
      <c r="AL82" s="208">
        <f t="shared" si="7"/>
        <v>0.18240853793990164</v>
      </c>
      <c r="AM82" s="208">
        <f t="shared" si="7"/>
        <v>0.17895879300477271</v>
      </c>
      <c r="AN82" s="208">
        <f t="shared" si="7"/>
        <v>0.18291246469128361</v>
      </c>
      <c r="AO82" s="208">
        <f t="shared" si="7"/>
        <v>0.18172675652174416</v>
      </c>
      <c r="AP82" s="208">
        <f t="shared" si="7"/>
        <v>0.18349171231349062</v>
      </c>
      <c r="AQ82" s="208">
        <f t="shared" si="7"/>
        <v>0.17751330893691342</v>
      </c>
      <c r="AR82" s="208"/>
    </row>
    <row r="83" spans="2:44" ht="13.5" customHeight="1" outlineLevel="1">
      <c r="B83" s="75"/>
      <c r="E83" s="167"/>
      <c r="F83" s="167"/>
      <c r="G83" s="167"/>
      <c r="H83" s="167"/>
      <c r="I83" s="167"/>
      <c r="J83" s="167"/>
      <c r="K83" s="167"/>
      <c r="L83" s="167"/>
      <c r="M83" s="167"/>
      <c r="N83" s="167"/>
      <c r="O83" s="197"/>
      <c r="P83" s="198"/>
      <c r="Q83" s="199"/>
      <c r="R83" s="198"/>
      <c r="S83" s="198"/>
      <c r="T83" s="198"/>
      <c r="U83" s="198"/>
      <c r="V83" s="198"/>
      <c r="W83" s="198"/>
      <c r="X83" s="166"/>
      <c r="Z83" s="166"/>
      <c r="AB83" s="166"/>
      <c r="AD83" s="166"/>
      <c r="AE83" s="261"/>
      <c r="AF83" s="166"/>
      <c r="AG83" s="166"/>
      <c r="AH83" s="166"/>
      <c r="AI83" s="166"/>
      <c r="AJ83" s="166"/>
      <c r="AK83" s="166"/>
      <c r="AL83" s="166"/>
      <c r="AM83" s="166"/>
      <c r="AN83" s="166"/>
      <c r="AO83" s="166"/>
      <c r="AP83" s="166"/>
      <c r="AQ83" s="166"/>
      <c r="AR83" s="166"/>
    </row>
    <row r="84" spans="2:44" outlineLevel="1">
      <c r="B84" s="204" t="s">
        <v>45</v>
      </c>
      <c r="C84" s="165" t="s">
        <v>46</v>
      </c>
      <c r="E84" s="167"/>
      <c r="F84" s="167"/>
      <c r="G84" s="167"/>
      <c r="H84" s="167"/>
      <c r="I84" s="167"/>
      <c r="J84" s="167"/>
      <c r="K84" s="167"/>
      <c r="L84" s="167"/>
      <c r="M84" s="167"/>
      <c r="N84" s="167"/>
      <c r="O84" s="197"/>
      <c r="P84" s="198"/>
      <c r="Q84" s="199"/>
      <c r="R84" s="198"/>
      <c r="S84" s="198"/>
      <c r="T84" s="198"/>
      <c r="U84" s="198"/>
      <c r="V84" s="198"/>
      <c r="W84" s="198"/>
      <c r="X84" s="208">
        <f>X76/X65</f>
        <v>0.19847292758790158</v>
      </c>
      <c r="Y84" s="75">
        <f t="shared" ref="Y84:AQ84" si="8">Y76/Y65</f>
        <v>0.2017845822337743</v>
      </c>
      <c r="Z84" s="208">
        <f t="shared" si="8"/>
        <v>0.2178127214096465</v>
      </c>
      <c r="AA84" s="75">
        <f t="shared" si="8"/>
        <v>0.2170042422416591</v>
      </c>
      <c r="AB84" s="208">
        <f t="shared" si="8"/>
        <v>0.22714737832619367</v>
      </c>
      <c r="AC84" s="75">
        <f t="shared" si="8"/>
        <v>0.20663425856928269</v>
      </c>
      <c r="AD84" s="550">
        <f t="shared" si="8"/>
        <v>0.20798734955994727</v>
      </c>
      <c r="AE84" s="990">
        <f t="shared" si="8"/>
        <v>0.19131980165497828</v>
      </c>
      <c r="AF84" s="550">
        <f t="shared" si="8"/>
        <v>0.17787370055847226</v>
      </c>
      <c r="AG84" s="550">
        <f t="shared" si="8"/>
        <v>0.18302141424001869</v>
      </c>
      <c r="AH84" s="550">
        <f t="shared" si="8"/>
        <v>0.20316975811303353</v>
      </c>
      <c r="AI84" s="550">
        <f t="shared" si="8"/>
        <v>0.19072422063933223</v>
      </c>
      <c r="AJ84" s="550">
        <f t="shared" si="8"/>
        <v>0.20447412198707415</v>
      </c>
      <c r="AK84" s="550">
        <f t="shared" si="8"/>
        <v>0.20989749011258962</v>
      </c>
      <c r="AL84" s="550">
        <f t="shared" si="8"/>
        <v>0.21515801713717192</v>
      </c>
      <c r="AM84" s="550">
        <f t="shared" si="8"/>
        <v>0.2102515821247159</v>
      </c>
      <c r="AN84" s="550">
        <f t="shared" si="8"/>
        <v>0.21408803953108985</v>
      </c>
      <c r="AO84" s="550">
        <f t="shared" si="8"/>
        <v>0.21160012009786922</v>
      </c>
      <c r="AP84" s="550">
        <f t="shared" si="8"/>
        <v>0.21376450770557312</v>
      </c>
      <c r="AQ84" s="550">
        <f t="shared" si="8"/>
        <v>0.20820787173749675</v>
      </c>
      <c r="AR84" s="550"/>
    </row>
    <row r="85" spans="2:44" ht="13.5"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1004"/>
      <c r="AF85" s="200"/>
      <c r="AG85" s="200"/>
      <c r="AH85" s="200"/>
      <c r="AI85" s="200"/>
      <c r="AJ85" s="200"/>
      <c r="AK85" s="200"/>
      <c r="AL85" s="200"/>
      <c r="AM85" s="200"/>
      <c r="AN85" s="200"/>
      <c r="AO85" s="200"/>
      <c r="AP85" s="200"/>
      <c r="AQ85" s="200"/>
      <c r="AR85" s="203"/>
    </row>
    <row r="86" spans="2:44" ht="13.5" customHeight="1" outlineLevel="1">
      <c r="E86" s="167"/>
      <c r="F86" s="167"/>
      <c r="G86" s="167"/>
      <c r="H86" s="167"/>
      <c r="I86" s="167"/>
      <c r="J86" s="167"/>
      <c r="K86" s="167"/>
      <c r="L86" s="167"/>
      <c r="M86" s="167"/>
      <c r="N86" s="167"/>
      <c r="O86" s="197"/>
      <c r="P86" s="198"/>
      <c r="Q86" s="199"/>
      <c r="R86" s="198"/>
      <c r="S86" s="198"/>
      <c r="T86" s="198"/>
      <c r="U86" s="198"/>
      <c r="V86" s="198"/>
      <c r="W86" s="198"/>
      <c r="AE86" s="261"/>
      <c r="AI86" s="191"/>
      <c r="AJ86" s="191"/>
      <c r="AK86" s="191"/>
      <c r="AP86" s="545"/>
    </row>
    <row r="87" spans="2:44" ht="13.5" customHeight="1" outlineLevel="1">
      <c r="B87" s="1922" t="s">
        <v>47</v>
      </c>
      <c r="C87" s="1931"/>
      <c r="D87" s="1931"/>
      <c r="E87" s="1931"/>
      <c r="F87" s="1931"/>
      <c r="G87" s="1931"/>
      <c r="H87" s="1931"/>
      <c r="I87" s="1931"/>
      <c r="J87" s="1931"/>
      <c r="K87" s="1931"/>
      <c r="L87" s="1931"/>
      <c r="M87" s="1931"/>
      <c r="N87" s="1931"/>
      <c r="O87" s="1931"/>
      <c r="P87" s="1931"/>
      <c r="Q87" s="1931"/>
      <c r="R87" s="1931"/>
      <c r="S87" s="1931"/>
      <c r="T87" s="1931"/>
      <c r="U87" s="1931"/>
      <c r="V87" s="1931"/>
      <c r="W87" s="1931"/>
      <c r="X87" s="1931"/>
      <c r="Y87" s="1931"/>
      <c r="Z87" s="1931"/>
      <c r="AA87" s="1931"/>
      <c r="AB87" s="1931"/>
      <c r="AC87" s="1931"/>
      <c r="AD87" s="1931"/>
      <c r="AE87" s="261"/>
      <c r="AF87" s="165"/>
      <c r="AG87" s="165"/>
      <c r="AH87" s="165"/>
      <c r="AI87" s="165"/>
    </row>
    <row r="88" spans="2:44">
      <c r="X88" s="244"/>
      <c r="Y88" s="244"/>
      <c r="Z88" s="244"/>
      <c r="AA88" s="244"/>
      <c r="AB88" s="244"/>
      <c r="AC88" s="244"/>
      <c r="AD88" s="244"/>
      <c r="AE88" s="261"/>
      <c r="AF88" s="244"/>
      <c r="AG88" s="244"/>
      <c r="AH88" s="244"/>
      <c r="AI88" s="244"/>
    </row>
    <row r="89" spans="2:44">
      <c r="X89" s="244"/>
      <c r="Y89" s="244"/>
      <c r="Z89" s="244"/>
      <c r="AA89" s="244"/>
      <c r="AB89" s="244"/>
      <c r="AC89" s="244"/>
      <c r="AD89" s="244"/>
      <c r="AE89" s="261"/>
      <c r="AF89" s="244"/>
      <c r="AG89" s="244"/>
      <c r="AH89" s="244"/>
      <c r="AI89" s="244"/>
    </row>
    <row r="90" spans="2:44">
      <c r="B90" s="170" t="s">
        <v>871</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261"/>
      <c r="AF90" s="171"/>
      <c r="AG90" s="171"/>
      <c r="AH90" s="171"/>
      <c r="AI90" s="171"/>
    </row>
    <row r="91" spans="2:44">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6"/>
      <c r="AE91" s="261"/>
      <c r="AF91" s="196"/>
      <c r="AG91" s="196"/>
      <c r="AH91" s="196"/>
      <c r="AI91" s="196"/>
    </row>
    <row r="92" spans="2:44">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1869"/>
      <c r="AF92" s="211">
        <v>2009</v>
      </c>
      <c r="AG92" s="202">
        <v>2010</v>
      </c>
      <c r="AH92" s="202">
        <v>2011</v>
      </c>
      <c r="AI92" s="202">
        <v>2012</v>
      </c>
      <c r="AJ92" s="202">
        <v>2013</v>
      </c>
      <c r="AK92" s="202">
        <v>2014</v>
      </c>
      <c r="AL92" s="202">
        <v>2015</v>
      </c>
      <c r="AM92" s="202">
        <v>2016</v>
      </c>
      <c r="AN92" s="202">
        <v>2017</v>
      </c>
      <c r="AO92" s="202">
        <v>2018</v>
      </c>
      <c r="AP92" s="202">
        <v>2019</v>
      </c>
      <c r="AQ92" s="202">
        <v>2020</v>
      </c>
      <c r="AR92" s="203"/>
    </row>
    <row r="93" spans="2:44">
      <c r="R93" s="261"/>
      <c r="S93" s="261"/>
      <c r="T93" s="261"/>
      <c r="U93" s="261"/>
      <c r="V93" s="261"/>
      <c r="W93" s="261"/>
      <c r="X93" s="244"/>
      <c r="Y93" s="244"/>
      <c r="Z93" s="244"/>
      <c r="AA93" s="244"/>
      <c r="AB93" s="244"/>
      <c r="AC93" s="244"/>
      <c r="AD93" s="244"/>
      <c r="AE93" s="261"/>
      <c r="AF93" s="244"/>
      <c r="AG93" s="244"/>
      <c r="AH93" s="244"/>
      <c r="AI93" s="244"/>
    </row>
    <row r="94" spans="2:44" s="206" customFormat="1">
      <c r="B94" s="206" t="s">
        <v>49</v>
      </c>
      <c r="X94" s="71">
        <v>109.68266613556395</v>
      </c>
      <c r="Y94" s="71"/>
      <c r="Z94" s="71">
        <v>210.75881298546105</v>
      </c>
      <c r="AA94" s="71"/>
      <c r="AB94" s="71">
        <v>0</v>
      </c>
      <c r="AC94" s="71"/>
      <c r="AD94" s="71">
        <v>251.92129933193885</v>
      </c>
      <c r="AE94" s="1021"/>
      <c r="AF94" s="71">
        <v>258.4877994929783</v>
      </c>
      <c r="AG94" s="71">
        <v>254.80422062614852</v>
      </c>
      <c r="AH94" s="71">
        <v>258.1923329356876</v>
      </c>
      <c r="AI94" s="71">
        <v>260.72899999999998</v>
      </c>
      <c r="AJ94" s="71">
        <v>261.77932877000001</v>
      </c>
      <c r="AK94" s="71">
        <v>261.65009847203908</v>
      </c>
      <c r="AL94" s="71">
        <v>260.40678188042455</v>
      </c>
      <c r="AM94" s="71">
        <v>263.59668048999993</v>
      </c>
      <c r="AN94" s="71">
        <v>266.31000113914001</v>
      </c>
      <c r="AO94" s="71">
        <v>268.15073868000002</v>
      </c>
      <c r="AP94" s="71">
        <v>332.86940272999999</v>
      </c>
      <c r="AQ94" s="71">
        <v>364.2635067758975</v>
      </c>
      <c r="AR94" s="71"/>
    </row>
    <row r="95" spans="2:44" s="206" customFormat="1">
      <c r="X95" s="71"/>
      <c r="Y95" s="71"/>
      <c r="Z95" s="71"/>
      <c r="AA95" s="71"/>
      <c r="AB95" s="71"/>
      <c r="AC95" s="71"/>
      <c r="AD95" s="71"/>
      <c r="AE95" s="1021"/>
      <c r="AF95" s="71"/>
      <c r="AG95" s="71"/>
      <c r="AH95" s="71"/>
      <c r="AI95" s="71"/>
    </row>
    <row r="96" spans="2:44" s="206" customFormat="1">
      <c r="X96" s="71"/>
      <c r="Y96" s="71"/>
      <c r="Z96" s="71"/>
      <c r="AA96" s="71"/>
      <c r="AB96" s="71"/>
      <c r="AC96" s="71"/>
      <c r="AD96" s="71"/>
      <c r="AE96" s="1021"/>
      <c r="AF96" s="71"/>
      <c r="AG96" s="71"/>
      <c r="AH96" s="71"/>
      <c r="AI96" s="71"/>
    </row>
    <row r="97" spans="2:47" s="206" customFormat="1">
      <c r="X97" s="71"/>
      <c r="Y97" s="71"/>
      <c r="Z97" s="71"/>
      <c r="AA97" s="71"/>
      <c r="AB97" s="71"/>
      <c r="AC97" s="71"/>
      <c r="AD97" s="71"/>
      <c r="AE97" s="1021"/>
      <c r="AF97" s="71"/>
      <c r="AG97" s="71"/>
      <c r="AH97" s="71"/>
      <c r="AI97" s="71"/>
    </row>
    <row r="98" spans="2:47" s="206" customFormat="1">
      <c r="C98" s="206" t="s">
        <v>50</v>
      </c>
      <c r="X98" s="71"/>
      <c r="Y98" s="71"/>
      <c r="Z98" s="71"/>
      <c r="AA98" s="71"/>
      <c r="AB98" s="71"/>
      <c r="AC98" s="71"/>
      <c r="AD98" s="71"/>
      <c r="AE98" s="1021"/>
      <c r="AF98" s="71"/>
      <c r="AG98" s="71"/>
      <c r="AH98" s="71"/>
      <c r="AI98" s="71"/>
    </row>
    <row r="99" spans="2:47" s="206" customFormat="1">
      <c r="X99" s="71"/>
      <c r="Y99" s="71"/>
      <c r="Z99" s="71"/>
      <c r="AA99" s="71"/>
      <c r="AB99" s="71"/>
      <c r="AC99" s="71"/>
      <c r="AD99" s="71"/>
      <c r="AE99" s="1021"/>
      <c r="AF99" s="71"/>
      <c r="AG99" s="71"/>
      <c r="AH99" s="71"/>
      <c r="AI99" s="71"/>
    </row>
    <row r="100" spans="2:47">
      <c r="C100" s="165" t="s">
        <v>872</v>
      </c>
      <c r="X100" s="244">
        <v>100.86304189072561</v>
      </c>
      <c r="Y100" s="244"/>
      <c r="Z100" s="244">
        <v>200.48463121556131</v>
      </c>
      <c r="AA100" s="244"/>
      <c r="AB100" s="244" t="s">
        <v>269</v>
      </c>
      <c r="AC100" s="244"/>
      <c r="AD100" s="244" t="s">
        <v>269</v>
      </c>
      <c r="AE100" s="261"/>
      <c r="AF100" s="244" t="s">
        <v>269</v>
      </c>
      <c r="AG100" s="244" t="s">
        <v>269</v>
      </c>
      <c r="AH100" s="244" t="s">
        <v>269</v>
      </c>
      <c r="AI100" s="244" t="s">
        <v>269</v>
      </c>
      <c r="AJ100" s="244" t="s">
        <v>269</v>
      </c>
      <c r="AK100" s="244" t="s">
        <v>269</v>
      </c>
      <c r="AL100" s="244" t="s">
        <v>269</v>
      </c>
      <c r="AM100" s="244" t="s">
        <v>269</v>
      </c>
      <c r="AN100" s="244" t="s">
        <v>269</v>
      </c>
      <c r="AO100" s="244" t="s">
        <v>269</v>
      </c>
      <c r="AP100" s="244"/>
      <c r="AQ100" s="244"/>
      <c r="AR100" s="244"/>
    </row>
    <row r="101" spans="2:47" ht="25.5">
      <c r="D101" s="836" t="s">
        <v>873</v>
      </c>
      <c r="X101" s="244"/>
      <c r="Y101" s="244"/>
      <c r="Z101" s="244"/>
      <c r="AA101" s="244"/>
      <c r="AB101" s="244"/>
      <c r="AC101" s="244"/>
      <c r="AD101" s="244"/>
      <c r="AE101" s="261"/>
      <c r="AF101" s="244"/>
      <c r="AG101" s="244"/>
      <c r="AH101" s="244"/>
      <c r="AI101" s="244"/>
      <c r="AN101" s="206"/>
      <c r="AO101" s="206"/>
      <c r="AP101" s="206"/>
      <c r="AQ101" s="206"/>
      <c r="AR101" s="206"/>
      <c r="AS101" s="165">
        <v>2005</v>
      </c>
      <c r="AU101" s="165">
        <v>2007</v>
      </c>
    </row>
    <row r="102" spans="2:47">
      <c r="C102" s="165" t="s">
        <v>874</v>
      </c>
      <c r="X102" s="244" t="s">
        <v>269</v>
      </c>
      <c r="Y102" s="244"/>
      <c r="Z102" s="244" t="s">
        <v>269</v>
      </c>
      <c r="AA102" s="244"/>
      <c r="AB102" s="244" t="s">
        <v>875</v>
      </c>
      <c r="AC102" s="244"/>
      <c r="AD102" s="244">
        <v>251.92129933193885</v>
      </c>
      <c r="AE102" s="244"/>
      <c r="AF102" s="244">
        <v>258.4877994929783</v>
      </c>
      <c r="AG102" s="244">
        <v>254.80422062614852</v>
      </c>
      <c r="AH102" s="244">
        <v>258.1923329356876</v>
      </c>
      <c r="AI102" s="244">
        <v>260.72899999999998</v>
      </c>
      <c r="AJ102" s="244">
        <v>261.77932877000001</v>
      </c>
      <c r="AK102" s="244">
        <v>261.65009847203908</v>
      </c>
      <c r="AL102" s="244">
        <v>260.40678188042455</v>
      </c>
      <c r="AM102" s="244">
        <v>263.59668048999993</v>
      </c>
      <c r="AN102" s="244">
        <v>266.31000113914001</v>
      </c>
      <c r="AO102" s="244">
        <v>268.15073868000002</v>
      </c>
      <c r="AP102" s="244">
        <v>332.86940272999999</v>
      </c>
      <c r="AQ102" s="244">
        <v>364.2635067758975</v>
      </c>
      <c r="AR102" s="244"/>
      <c r="AS102" s="1870">
        <f>5852.6/30.126</f>
        <v>194.27072960233684</v>
      </c>
      <c r="AT102" s="165" t="s">
        <v>876</v>
      </c>
      <c r="AU102" s="1120">
        <f>7589.38106367399/30.126</f>
        <v>251.92129933193885</v>
      </c>
    </row>
    <row r="103" spans="2:47">
      <c r="D103" s="165" t="s">
        <v>877</v>
      </c>
      <c r="X103" s="244"/>
      <c r="Y103" s="244"/>
      <c r="Z103" s="244"/>
      <c r="AA103" s="244"/>
      <c r="AB103" s="244"/>
      <c r="AC103" s="244"/>
      <c r="AD103" s="241"/>
      <c r="AE103" s="261"/>
      <c r="AF103" s="241"/>
      <c r="AG103" s="241"/>
      <c r="AH103" s="241"/>
      <c r="AI103" s="241"/>
      <c r="AJ103" s="241"/>
      <c r="AK103" s="241"/>
      <c r="AL103" s="1120"/>
      <c r="AN103" s="206"/>
      <c r="AO103" s="206"/>
      <c r="AP103" s="206"/>
      <c r="AQ103" s="206"/>
      <c r="AR103" s="206"/>
    </row>
    <row r="104" spans="2:47">
      <c r="X104" s="244"/>
      <c r="Y104" s="244"/>
      <c r="Z104" s="244"/>
      <c r="AA104" s="244"/>
      <c r="AB104" s="244"/>
      <c r="AC104" s="244"/>
      <c r="AD104" s="244"/>
      <c r="AE104" s="261"/>
      <c r="AF104" s="244"/>
      <c r="AG104" s="244"/>
      <c r="AH104" s="241"/>
      <c r="AI104" s="241"/>
      <c r="AJ104" s="241"/>
      <c r="AK104" s="241"/>
    </row>
    <row r="105" spans="2:47">
      <c r="C105" s="206" t="s">
        <v>56</v>
      </c>
      <c r="X105" s="244"/>
      <c r="Y105" s="244"/>
      <c r="Z105" s="244"/>
      <c r="AA105" s="244"/>
      <c r="AB105" s="244"/>
      <c r="AC105" s="244"/>
      <c r="AD105" s="244"/>
      <c r="AE105" s="261"/>
      <c r="AF105" s="244"/>
      <c r="AG105" s="244"/>
      <c r="AH105" s="244"/>
      <c r="AI105" s="244"/>
    </row>
    <row r="106" spans="2:47">
      <c r="C106" s="165" t="s">
        <v>878</v>
      </c>
      <c r="X106" s="244">
        <v>2.399920334594702</v>
      </c>
      <c r="Y106" s="244"/>
      <c r="Z106" s="244">
        <v>4.116709818761203</v>
      </c>
      <c r="AA106" s="244"/>
      <c r="AB106" s="244" t="s">
        <v>269</v>
      </c>
      <c r="AC106" s="244"/>
      <c r="AD106" s="244" t="s">
        <v>269</v>
      </c>
      <c r="AE106" s="261"/>
      <c r="AF106" s="244" t="s">
        <v>269</v>
      </c>
      <c r="AG106" s="244" t="s">
        <v>269</v>
      </c>
      <c r="AH106" s="244" t="s">
        <v>269</v>
      </c>
      <c r="AI106" s="244" t="s">
        <v>269</v>
      </c>
      <c r="AJ106" s="244" t="s">
        <v>269</v>
      </c>
      <c r="AK106" s="244" t="s">
        <v>269</v>
      </c>
      <c r="AL106" s="244" t="s">
        <v>269</v>
      </c>
      <c r="AM106" s="244" t="s">
        <v>269</v>
      </c>
      <c r="AN106" s="244" t="s">
        <v>269</v>
      </c>
      <c r="AO106" s="244" t="s">
        <v>269</v>
      </c>
      <c r="AP106" s="244"/>
      <c r="AQ106" s="244"/>
      <c r="AR106" s="244"/>
    </row>
    <row r="107" spans="2:47">
      <c r="C107" s="165" t="s">
        <v>879</v>
      </c>
      <c r="X107" s="244">
        <v>6.4197039102436433</v>
      </c>
      <c r="Y107" s="244"/>
      <c r="Z107" s="244">
        <v>6.1574719511385512</v>
      </c>
      <c r="AA107" s="244"/>
      <c r="AB107" s="244" t="s">
        <v>269</v>
      </c>
      <c r="AC107" s="244"/>
      <c r="AD107" s="244" t="s">
        <v>269</v>
      </c>
      <c r="AE107" s="261"/>
      <c r="AF107" s="244" t="s">
        <v>269</v>
      </c>
      <c r="AG107" s="244" t="s">
        <v>269</v>
      </c>
      <c r="AH107" s="244" t="s">
        <v>269</v>
      </c>
      <c r="AI107" s="244" t="s">
        <v>269</v>
      </c>
      <c r="AJ107" s="244" t="s">
        <v>269</v>
      </c>
      <c r="AK107" s="244" t="s">
        <v>269</v>
      </c>
      <c r="AL107" s="244" t="s">
        <v>269</v>
      </c>
      <c r="AM107" s="244" t="s">
        <v>269</v>
      </c>
      <c r="AN107" s="244" t="s">
        <v>269</v>
      </c>
      <c r="AO107" s="244" t="s">
        <v>269</v>
      </c>
      <c r="AP107" s="244"/>
      <c r="AQ107" s="244"/>
      <c r="AR107" s="244"/>
    </row>
    <row r="108" spans="2:47" ht="27.75" customHeight="1">
      <c r="X108" s="165"/>
      <c r="Y108" s="165"/>
      <c r="Z108" s="165"/>
      <c r="AA108" s="165"/>
      <c r="AB108" s="165"/>
      <c r="AC108" s="165"/>
      <c r="AD108" s="165"/>
      <c r="AF108" s="165"/>
      <c r="AG108" s="165"/>
      <c r="AH108" s="165"/>
      <c r="AI108" s="165"/>
    </row>
    <row r="109" spans="2:47">
      <c r="X109" s="195"/>
      <c r="Y109" s="195"/>
      <c r="Z109" s="195"/>
      <c r="AA109" s="195"/>
      <c r="AB109" s="195"/>
      <c r="AC109" s="195"/>
      <c r="AD109" s="196"/>
      <c r="AE109" s="261"/>
      <c r="AF109" s="196"/>
      <c r="AG109" s="196"/>
      <c r="AH109" s="196"/>
      <c r="AI109" s="165"/>
    </row>
    <row r="110" spans="2:47">
      <c r="X110" s="211">
        <v>2001</v>
      </c>
      <c r="Y110" s="196"/>
      <c r="Z110" s="211">
        <v>2003</v>
      </c>
      <c r="AA110" s="196"/>
      <c r="AB110" s="211">
        <v>2005</v>
      </c>
      <c r="AC110" s="196"/>
      <c r="AD110" s="211">
        <v>2007</v>
      </c>
      <c r="AE110" s="1869"/>
      <c r="AF110" s="211">
        <v>2009</v>
      </c>
      <c r="AG110" s="202">
        <v>2010</v>
      </c>
      <c r="AH110" s="202">
        <v>2011</v>
      </c>
      <c r="AI110" s="202">
        <v>2012</v>
      </c>
      <c r="AJ110" s="202">
        <v>2013</v>
      </c>
      <c r="AK110" s="202">
        <v>2014</v>
      </c>
      <c r="AL110" s="202">
        <v>2015</v>
      </c>
      <c r="AM110" s="202">
        <v>2016</v>
      </c>
      <c r="AN110" s="202">
        <v>2017</v>
      </c>
      <c r="AO110" s="202">
        <v>2018</v>
      </c>
      <c r="AP110" s="202">
        <v>2019</v>
      </c>
      <c r="AQ110" s="202">
        <v>2020</v>
      </c>
      <c r="AR110" s="203"/>
    </row>
    <row r="111" spans="2:47">
      <c r="X111" s="244"/>
      <c r="Y111" s="244"/>
      <c r="Z111" s="244"/>
      <c r="AA111" s="244"/>
      <c r="AB111" s="244"/>
      <c r="AC111" s="244"/>
      <c r="AD111" s="244"/>
      <c r="AE111" s="261"/>
      <c r="AF111" s="244"/>
      <c r="AG111" s="244"/>
      <c r="AH111" s="244"/>
      <c r="AI111" s="244"/>
    </row>
    <row r="112" spans="2:47" s="206" customFormat="1">
      <c r="B112" s="206" t="s">
        <v>78</v>
      </c>
      <c r="X112" s="71">
        <v>22.624975104560839</v>
      </c>
      <c r="Y112" s="71"/>
      <c r="Z112" s="71">
        <v>54.43736307508464</v>
      </c>
      <c r="AA112" s="71"/>
      <c r="AB112" s="71">
        <v>30.87034455287791</v>
      </c>
      <c r="AC112" s="71"/>
      <c r="AD112" s="71">
        <v>42.125092611033658</v>
      </c>
      <c r="AE112" s="1021"/>
      <c r="AF112" s="71">
        <v>55.180237470000002</v>
      </c>
      <c r="AG112" s="71">
        <v>44.144775980000013</v>
      </c>
      <c r="AH112" s="71">
        <v>41.97</v>
      </c>
      <c r="AI112" s="71">
        <v>44.694515289999998</v>
      </c>
      <c r="AJ112" s="71">
        <v>46.706631560000005</v>
      </c>
      <c r="AK112" s="71">
        <v>52.205276189999999</v>
      </c>
      <c r="AL112" s="71">
        <v>56.949058280000003</v>
      </c>
      <c r="AM112" s="71">
        <v>61.63101837</v>
      </c>
      <c r="AN112" s="71">
        <v>63.428736020000002</v>
      </c>
      <c r="AO112" s="71">
        <v>68.343044579999997</v>
      </c>
      <c r="AP112" s="71">
        <f>SUM(AP115:AP116)</f>
        <v>73.071422530000007</v>
      </c>
      <c r="AQ112" s="71">
        <f>SUM(AQ115:AQ116)</f>
        <v>53.391754339999999</v>
      </c>
      <c r="AR112" s="71"/>
    </row>
    <row r="113" spans="3:51" s="206" customFormat="1">
      <c r="X113" s="71"/>
      <c r="Y113" s="71"/>
      <c r="Z113" s="71"/>
      <c r="AA113" s="71"/>
      <c r="AB113" s="71"/>
      <c r="AC113" s="71"/>
      <c r="AD113" s="71"/>
      <c r="AE113" s="1021"/>
      <c r="AF113" s="71"/>
      <c r="AG113" s="71"/>
      <c r="AH113" s="71"/>
      <c r="AI113" s="71"/>
    </row>
    <row r="114" spans="3:51" s="206" customFormat="1">
      <c r="C114" s="165" t="s">
        <v>880</v>
      </c>
      <c r="D114" s="165"/>
      <c r="E114" s="165"/>
      <c r="X114" s="71"/>
      <c r="Y114" s="71"/>
      <c r="Z114" s="71"/>
      <c r="AA114" s="71"/>
      <c r="AB114" s="71"/>
      <c r="AC114" s="71"/>
      <c r="AD114" s="71"/>
      <c r="AE114" s="1021"/>
      <c r="AF114" s="71"/>
      <c r="AG114" s="71"/>
      <c r="AH114" s="71"/>
      <c r="AI114" s="71"/>
    </row>
    <row r="115" spans="3:51" s="206" customFormat="1">
      <c r="C115" s="165" t="s">
        <v>881</v>
      </c>
      <c r="D115" s="165"/>
      <c r="E115" s="165"/>
      <c r="X115" s="244" t="s">
        <v>269</v>
      </c>
      <c r="Y115" s="244"/>
      <c r="Z115" s="244">
        <v>3.2198101307840403</v>
      </c>
      <c r="AA115" s="244"/>
      <c r="AB115" s="244">
        <v>10.356502688707428</v>
      </c>
      <c r="AC115" s="244"/>
      <c r="AD115" s="244">
        <v>12.818867722233287</v>
      </c>
      <c r="AE115" s="1021"/>
      <c r="AF115" s="241">
        <v>17.684264200000001</v>
      </c>
      <c r="AG115" s="244">
        <v>15.553063680000003</v>
      </c>
      <c r="AH115" s="244">
        <v>16.526</v>
      </c>
      <c r="AI115" s="244">
        <v>18.548389790000002</v>
      </c>
      <c r="AJ115" s="244">
        <v>20.944314980000001</v>
      </c>
      <c r="AK115" s="244">
        <v>21.73962487</v>
      </c>
      <c r="AL115" s="244">
        <v>24.230535079999999</v>
      </c>
      <c r="AM115" s="244">
        <v>27.175360470000001</v>
      </c>
      <c r="AN115" s="244">
        <v>30.173245519999998</v>
      </c>
      <c r="AO115" s="244">
        <v>32.250133669999997</v>
      </c>
      <c r="AP115" s="244">
        <v>36.901588880000013</v>
      </c>
      <c r="AQ115" s="244">
        <v>22.544490629999999</v>
      </c>
      <c r="AR115" s="244"/>
    </row>
    <row r="116" spans="3:51" s="206" customFormat="1">
      <c r="C116" s="165" t="s">
        <v>882</v>
      </c>
      <c r="D116" s="165"/>
      <c r="E116" s="165"/>
      <c r="X116" s="244" t="s">
        <v>269</v>
      </c>
      <c r="Y116" s="244"/>
      <c r="Z116" s="244" t="s">
        <v>269</v>
      </c>
      <c r="AA116" s="244"/>
      <c r="AB116" s="244">
        <v>20.513841864170484</v>
      </c>
      <c r="AC116" s="244"/>
      <c r="AD116" s="244">
        <v>29.306224888800369</v>
      </c>
      <c r="AE116" s="1021"/>
      <c r="AF116" s="241">
        <v>37.49597327</v>
      </c>
      <c r="AG116" s="244">
        <v>28.591712300000008</v>
      </c>
      <c r="AH116" s="244">
        <v>25.443999999999999</v>
      </c>
      <c r="AI116" s="244">
        <v>26.1461255</v>
      </c>
      <c r="AJ116" s="244">
        <v>25.76231658</v>
      </c>
      <c r="AK116" s="244">
        <v>30.465651319999999</v>
      </c>
      <c r="AL116" s="244">
        <v>32.7185232</v>
      </c>
      <c r="AM116" s="244">
        <v>34.455657899999999</v>
      </c>
      <c r="AN116" s="244">
        <v>33.255490500000001</v>
      </c>
      <c r="AO116" s="244">
        <v>36.092910910000001</v>
      </c>
      <c r="AP116" s="244">
        <v>36.169833650000001</v>
      </c>
      <c r="AQ116" s="244">
        <v>30.84726371</v>
      </c>
      <c r="AR116" s="244"/>
    </row>
    <row r="117" spans="3:51" s="206" customFormat="1" ht="27" customHeight="1">
      <c r="D117" s="834" t="s">
        <v>883</v>
      </c>
      <c r="E117" s="165"/>
      <c r="X117" s="71"/>
      <c r="Y117" s="71"/>
      <c r="Z117" s="71"/>
      <c r="AA117" s="71"/>
      <c r="AB117" s="71"/>
      <c r="AC117" s="71"/>
      <c r="AD117" s="71"/>
      <c r="AE117" s="1021"/>
      <c r="AF117" s="71"/>
      <c r="AG117" s="71"/>
      <c r="AH117" s="71"/>
      <c r="AI117" s="71"/>
    </row>
    <row r="118" spans="3:51" s="206" customFormat="1" ht="41.25" customHeight="1">
      <c r="D118" s="834" t="s">
        <v>884</v>
      </c>
      <c r="E118" s="165"/>
      <c r="X118" s="71"/>
      <c r="Y118" s="71"/>
      <c r="Z118" s="71"/>
      <c r="AA118" s="71"/>
      <c r="AB118" s="71"/>
      <c r="AC118" s="71"/>
      <c r="AD118" s="71"/>
      <c r="AE118" s="1021"/>
      <c r="AF118" s="71"/>
      <c r="AG118" s="71"/>
      <c r="AH118" s="71"/>
      <c r="AI118" s="71"/>
    </row>
    <row r="119" spans="3:51" s="206" customFormat="1" ht="46.5" customHeight="1">
      <c r="D119" s="834" t="s">
        <v>885</v>
      </c>
      <c r="E119" s="165"/>
      <c r="X119" s="71"/>
      <c r="Y119" s="71"/>
      <c r="Z119" s="71"/>
      <c r="AA119" s="71"/>
      <c r="AB119" s="71"/>
      <c r="AC119" s="71"/>
      <c r="AD119" s="71"/>
      <c r="AE119" s="1021"/>
      <c r="AF119" s="71"/>
      <c r="AG119" s="71"/>
      <c r="AH119" s="71"/>
      <c r="AI119" s="71"/>
    </row>
    <row r="120" spans="3:51">
      <c r="C120" s="165" t="s">
        <v>886</v>
      </c>
      <c r="X120" s="244"/>
      <c r="Y120" s="244"/>
      <c r="Z120" s="244"/>
      <c r="AA120" s="244"/>
      <c r="AB120" s="244"/>
      <c r="AC120" s="244"/>
      <c r="AD120" s="244"/>
      <c r="AE120" s="261"/>
      <c r="AF120" s="244"/>
      <c r="AG120" s="244"/>
      <c r="AH120" s="244"/>
      <c r="AI120" s="244"/>
    </row>
    <row r="121" spans="3:51">
      <c r="C121" s="165" t="s">
        <v>887</v>
      </c>
      <c r="X121" s="244">
        <f>302.7/30.126</f>
        <v>10.047799243178648</v>
      </c>
      <c r="Y121" s="244"/>
      <c r="Z121" s="244">
        <f>328.98/30.126</f>
        <v>10.920135431189006</v>
      </c>
      <c r="AA121" s="244"/>
      <c r="AB121" s="244" t="s">
        <v>269</v>
      </c>
      <c r="AC121" s="244"/>
      <c r="AD121" s="244" t="s">
        <v>269</v>
      </c>
      <c r="AE121" s="261"/>
      <c r="AF121" s="244" t="s">
        <v>269</v>
      </c>
      <c r="AG121" s="244" t="s">
        <v>269</v>
      </c>
      <c r="AH121" s="244" t="s">
        <v>269</v>
      </c>
      <c r="AI121" s="244" t="s">
        <v>269</v>
      </c>
      <c r="AJ121" s="244" t="s">
        <v>269</v>
      </c>
      <c r="AK121" s="244" t="s">
        <v>269</v>
      </c>
      <c r="AL121" s="244" t="s">
        <v>269</v>
      </c>
      <c r="AM121" s="244" t="s">
        <v>269</v>
      </c>
      <c r="AN121" s="244" t="s">
        <v>269</v>
      </c>
      <c r="AO121" s="244" t="s">
        <v>269</v>
      </c>
    </row>
    <row r="122" spans="3:51">
      <c r="C122" s="165" t="s">
        <v>888</v>
      </c>
      <c r="X122" s="244">
        <f>258.2/30.126</f>
        <v>8.5706698532828778</v>
      </c>
      <c r="Y122" s="244"/>
      <c r="Z122" s="244">
        <f>1132/30.126</f>
        <v>37.575516165438493</v>
      </c>
      <c r="AA122" s="244"/>
      <c r="AB122" s="244" t="s">
        <v>269</v>
      </c>
      <c r="AC122" s="244"/>
      <c r="AD122" s="244" t="s">
        <v>269</v>
      </c>
      <c r="AE122" s="261"/>
      <c r="AF122" s="244" t="s">
        <v>269</v>
      </c>
      <c r="AG122" s="244" t="s">
        <v>269</v>
      </c>
      <c r="AH122" s="244" t="s">
        <v>269</v>
      </c>
      <c r="AI122" s="244" t="s">
        <v>269</v>
      </c>
      <c r="AJ122" s="244" t="s">
        <v>269</v>
      </c>
      <c r="AK122" s="244" t="s">
        <v>269</v>
      </c>
      <c r="AL122" s="244" t="s">
        <v>269</v>
      </c>
      <c r="AM122" s="244" t="s">
        <v>269</v>
      </c>
      <c r="AN122" s="244" t="s">
        <v>269</v>
      </c>
      <c r="AO122" s="244" t="s">
        <v>269</v>
      </c>
    </row>
    <row r="123" spans="3:51" ht="41.25" customHeight="1">
      <c r="D123" s="834" t="s">
        <v>889</v>
      </c>
      <c r="E123" s="1097"/>
      <c r="F123" s="1097"/>
      <c r="G123" s="1097"/>
      <c r="H123" s="1097"/>
      <c r="I123" s="1097"/>
      <c r="J123" s="1097"/>
      <c r="K123" s="1097"/>
      <c r="L123" s="1097"/>
      <c r="M123" s="1097"/>
      <c r="N123" s="1097"/>
      <c r="O123" s="1097"/>
      <c r="P123" s="1097"/>
      <c r="Q123" s="1097"/>
      <c r="R123" s="1097"/>
      <c r="S123" s="1097"/>
      <c r="T123" s="1097"/>
      <c r="U123" s="1097"/>
      <c r="V123" s="1097"/>
      <c r="W123" s="1097"/>
      <c r="X123" s="1265"/>
      <c r="Y123" s="1265"/>
      <c r="Z123" s="1265"/>
      <c r="AA123" s="1265"/>
      <c r="AB123" s="1265"/>
      <c r="AC123" s="1265"/>
      <c r="AD123" s="1265"/>
      <c r="AE123" s="1861"/>
      <c r="AF123" s="1265"/>
      <c r="AG123" s="1265"/>
      <c r="AH123" s="1265"/>
      <c r="AI123" s="1265"/>
    </row>
    <row r="124" spans="3:51">
      <c r="C124" s="165" t="s">
        <v>890</v>
      </c>
      <c r="X124" s="244"/>
      <c r="Y124" s="244"/>
      <c r="Z124" s="244"/>
      <c r="AA124" s="244"/>
      <c r="AB124" s="244"/>
      <c r="AC124" s="244"/>
      <c r="AD124" s="244"/>
      <c r="AE124" s="261"/>
      <c r="AF124" s="244"/>
      <c r="AG124" s="244"/>
      <c r="AH124" s="244"/>
      <c r="AI124" s="244"/>
    </row>
    <row r="125" spans="3:51">
      <c r="C125" s="165" t="s">
        <v>891</v>
      </c>
      <c r="X125" s="244">
        <v>0.43484033725021576</v>
      </c>
      <c r="Y125" s="244"/>
      <c r="Z125" s="244" t="s">
        <v>237</v>
      </c>
      <c r="AA125" s="244"/>
      <c r="AB125" s="244" t="s">
        <v>269</v>
      </c>
      <c r="AC125" s="244"/>
      <c r="AD125" s="244" t="s">
        <v>269</v>
      </c>
      <c r="AE125" s="261"/>
      <c r="AF125" s="244" t="s">
        <v>269</v>
      </c>
      <c r="AG125" s="244" t="s">
        <v>269</v>
      </c>
      <c r="AH125" s="244" t="s">
        <v>269</v>
      </c>
      <c r="AI125" s="244" t="s">
        <v>269</v>
      </c>
      <c r="AJ125" s="244" t="s">
        <v>269</v>
      </c>
      <c r="AK125" s="244" t="s">
        <v>269</v>
      </c>
      <c r="AL125" s="244" t="s">
        <v>269</v>
      </c>
      <c r="AM125" s="244" t="s">
        <v>269</v>
      </c>
      <c r="AN125" s="244" t="s">
        <v>269</v>
      </c>
      <c r="AO125" s="244" t="s">
        <v>269</v>
      </c>
    </row>
    <row r="126" spans="3:51">
      <c r="C126" s="165" t="s">
        <v>892</v>
      </c>
      <c r="X126" s="244">
        <v>3.5716656708491001</v>
      </c>
      <c r="Y126" s="244"/>
      <c r="Z126" s="244">
        <v>2.7219013476731062</v>
      </c>
      <c r="AA126" s="244"/>
      <c r="AB126" s="244" t="s">
        <v>269</v>
      </c>
      <c r="AC126" s="244"/>
      <c r="AD126" s="244" t="s">
        <v>269</v>
      </c>
      <c r="AE126" s="261"/>
      <c r="AF126" s="244" t="s">
        <v>269</v>
      </c>
      <c r="AG126" s="244" t="s">
        <v>269</v>
      </c>
      <c r="AH126" s="244" t="s">
        <v>269</v>
      </c>
      <c r="AI126" s="244" t="s">
        <v>269</v>
      </c>
      <c r="AJ126" s="244" t="s">
        <v>269</v>
      </c>
      <c r="AK126" s="244" t="s">
        <v>269</v>
      </c>
      <c r="AL126" s="244" t="s">
        <v>269</v>
      </c>
      <c r="AM126" s="244" t="s">
        <v>269</v>
      </c>
      <c r="AN126" s="244" t="s">
        <v>269</v>
      </c>
      <c r="AO126" s="244" t="s">
        <v>269</v>
      </c>
    </row>
    <row r="127" spans="3:51" ht="29.25" customHeight="1">
      <c r="D127" s="834" t="s">
        <v>893</v>
      </c>
      <c r="E127" s="834"/>
      <c r="F127" s="834"/>
      <c r="G127" s="834"/>
      <c r="H127" s="834"/>
      <c r="I127" s="834"/>
      <c r="J127" s="834"/>
      <c r="K127" s="834"/>
      <c r="L127" s="834"/>
      <c r="M127" s="834"/>
      <c r="N127" s="834"/>
      <c r="O127" s="834"/>
      <c r="P127" s="834"/>
      <c r="Q127" s="834"/>
      <c r="R127" s="834"/>
      <c r="S127" s="834"/>
      <c r="T127" s="834"/>
      <c r="U127" s="834"/>
      <c r="V127" s="834"/>
      <c r="W127" s="834"/>
      <c r="X127" s="244"/>
      <c r="Y127" s="244"/>
      <c r="Z127" s="244"/>
      <c r="AA127" s="244"/>
      <c r="AB127" s="244"/>
      <c r="AC127" s="244"/>
      <c r="AD127" s="244"/>
      <c r="AE127" s="261"/>
      <c r="AF127" s="244"/>
      <c r="AG127" s="244"/>
      <c r="AH127" s="244"/>
      <c r="AI127" s="244"/>
      <c r="AS127" s="165" t="s">
        <v>1612</v>
      </c>
      <c r="AT127" s="165">
        <v>2015</v>
      </c>
      <c r="AU127" s="165">
        <v>2016</v>
      </c>
      <c r="AV127" s="165">
        <v>2017</v>
      </c>
      <c r="AW127" s="165">
        <v>2018</v>
      </c>
      <c r="AX127" s="165">
        <v>2019</v>
      </c>
      <c r="AY127" s="165">
        <v>2020</v>
      </c>
    </row>
    <row r="128" spans="3:51">
      <c r="X128" s="244"/>
      <c r="Y128" s="244"/>
      <c r="Z128" s="244"/>
      <c r="AA128" s="244"/>
      <c r="AB128" s="244"/>
      <c r="AC128" s="244"/>
      <c r="AD128" s="244"/>
      <c r="AE128" s="261"/>
      <c r="AF128" s="244"/>
      <c r="AG128" s="244"/>
      <c r="AH128" s="244"/>
      <c r="AI128" s="244"/>
      <c r="AS128" s="165" t="s">
        <v>1613</v>
      </c>
      <c r="AT128" s="165">
        <v>469573</v>
      </c>
      <c r="AU128" s="165">
        <v>1079160</v>
      </c>
      <c r="AV128" s="165">
        <v>1348070</v>
      </c>
      <c r="AW128" s="165">
        <v>1663117</v>
      </c>
      <c r="AX128" s="165">
        <v>1994617</v>
      </c>
      <c r="AY128" s="165">
        <v>2209067</v>
      </c>
    </row>
    <row r="129" spans="2:51" ht="13.5">
      <c r="B129" s="220" t="s">
        <v>446</v>
      </c>
      <c r="X129" s="244"/>
      <c r="Y129" s="244"/>
      <c r="Z129" s="244"/>
      <c r="AA129" s="244"/>
      <c r="AB129" s="244"/>
      <c r="AC129" s="244"/>
      <c r="AD129" s="244"/>
      <c r="AE129" s="261"/>
      <c r="AF129" s="244"/>
      <c r="AG129" s="244"/>
      <c r="AH129" s="244"/>
      <c r="AI129" s="244"/>
      <c r="AS129" s="165" t="s">
        <v>1614</v>
      </c>
      <c r="AT129" s="165">
        <v>774001</v>
      </c>
      <c r="AU129" s="165">
        <v>1629239</v>
      </c>
      <c r="AV129" s="165">
        <v>1992942</v>
      </c>
      <c r="AW129" s="165">
        <v>2467751</v>
      </c>
      <c r="AX129" s="165">
        <v>2985210</v>
      </c>
      <c r="AY129" s="165">
        <v>3084045</v>
      </c>
    </row>
    <row r="130" spans="2:51">
      <c r="B130" s="206" t="s">
        <v>91</v>
      </c>
      <c r="AS130" s="165" t="s">
        <v>1615</v>
      </c>
      <c r="AT130" s="165">
        <v>5627321.3399999999</v>
      </c>
      <c r="AU130" s="165">
        <v>9209924.3599999994</v>
      </c>
      <c r="AV130" s="165">
        <v>12304838.220000001</v>
      </c>
      <c r="AW130" s="165">
        <v>18373659.809999999</v>
      </c>
      <c r="AX130" s="165">
        <v>21680166.579999998</v>
      </c>
      <c r="AY130" s="165">
        <v>24519085.75</v>
      </c>
    </row>
    <row r="131" spans="2:51" ht="25.5" customHeight="1">
      <c r="C131" s="1922" t="s">
        <v>894</v>
      </c>
      <c r="D131" s="1922"/>
      <c r="X131" s="244">
        <v>31.17240921463188</v>
      </c>
      <c r="Y131" s="244"/>
      <c r="Z131" s="244">
        <v>13.433578968333</v>
      </c>
      <c r="AA131" s="244"/>
      <c r="AB131" s="244">
        <v>76.180043815972908</v>
      </c>
      <c r="AC131" s="244"/>
      <c r="AD131" s="244">
        <v>65.898110947423262</v>
      </c>
      <c r="AE131" s="244"/>
      <c r="AF131" s="244">
        <v>64.803858141524273</v>
      </c>
      <c r="AG131" s="244">
        <v>67.693816508261108</v>
      </c>
      <c r="AH131" s="244">
        <v>52.844829279525712</v>
      </c>
      <c r="AI131" s="244" t="s">
        <v>895</v>
      </c>
      <c r="AJ131" s="244" t="s">
        <v>895</v>
      </c>
      <c r="AK131" s="244">
        <v>0.59452483140000001</v>
      </c>
      <c r="AL131" s="244">
        <v>1.3053981103000001</v>
      </c>
      <c r="AM131" s="244">
        <v>2.2645137326999993</v>
      </c>
      <c r="AN131" s="244">
        <v>2.9688365106100005</v>
      </c>
      <c r="AO131" s="244">
        <v>4.27520120392</v>
      </c>
      <c r="AP131" s="244">
        <v>5.1413920275999994</v>
      </c>
      <c r="AQ131" s="244">
        <v>5.6548855924999994</v>
      </c>
      <c r="AT131" s="165">
        <f>SUM(AT128:AT130)/1000000*0.19</f>
        <v>1.3054701146000001</v>
      </c>
      <c r="AU131" s="165">
        <f t="shared" ref="AU131:AY131" si="9">SUM(AU128:AU130)/1000000*0.19</f>
        <v>2.2644814383999998</v>
      </c>
      <c r="AV131" s="165">
        <f t="shared" si="9"/>
        <v>2.9727115417999999</v>
      </c>
      <c r="AW131" s="165">
        <f t="shared" si="9"/>
        <v>4.2758602839000002</v>
      </c>
      <c r="AX131" s="165">
        <f t="shared" si="9"/>
        <v>5.0653987801999998</v>
      </c>
      <c r="AY131" s="165">
        <f t="shared" si="9"/>
        <v>5.6643175724999999</v>
      </c>
    </row>
    <row r="132" spans="2:51" ht="173.25" customHeight="1">
      <c r="C132" s="834"/>
      <c r="D132" s="834" t="s">
        <v>896</v>
      </c>
      <c r="AJ132" s="75"/>
      <c r="AK132" s="75"/>
    </row>
    <row r="133" spans="2:51" ht="21.75" customHeight="1">
      <c r="C133" s="1922" t="s">
        <v>897</v>
      </c>
      <c r="D133" s="1922"/>
      <c r="X133" s="244"/>
      <c r="Y133" s="244"/>
      <c r="Z133" s="244"/>
      <c r="AA133" s="244"/>
      <c r="AB133" s="244"/>
      <c r="AC133" s="244"/>
      <c r="AD133" s="244"/>
      <c r="AE133" s="244"/>
      <c r="AF133" s="244"/>
      <c r="AG133" s="244"/>
      <c r="AH133" s="244"/>
      <c r="AI133" s="244"/>
      <c r="AJ133" s="244">
        <v>0.81036495768876005</v>
      </c>
      <c r="AK133" s="244">
        <v>0.181164202</v>
      </c>
      <c r="AL133" s="244">
        <v>0.18028271789999997</v>
      </c>
      <c r="AM133" s="244">
        <v>0.19678995969999999</v>
      </c>
      <c r="AN133" s="244">
        <v>3.6044368000000002E-3</v>
      </c>
      <c r="AO133" s="244"/>
      <c r="AS133" s="165" t="s">
        <v>1616</v>
      </c>
      <c r="AT133" s="165">
        <v>2013</v>
      </c>
      <c r="AU133" s="165">
        <v>2014</v>
      </c>
      <c r="AV133" s="165">
        <v>2015</v>
      </c>
      <c r="AW133" s="165">
        <v>2016</v>
      </c>
      <c r="AX133" s="165">
        <v>2017</v>
      </c>
    </row>
    <row r="134" spans="2:51" ht="78" customHeight="1">
      <c r="B134" s="172"/>
      <c r="C134" s="172"/>
      <c r="D134" s="1871" t="s">
        <v>898</v>
      </c>
      <c r="E134" s="172"/>
      <c r="F134" s="172"/>
      <c r="G134" s="172"/>
      <c r="H134" s="172"/>
      <c r="I134" s="172"/>
      <c r="J134" s="172"/>
      <c r="K134" s="172"/>
      <c r="L134" s="172"/>
      <c r="M134" s="172"/>
      <c r="N134" s="172"/>
      <c r="O134" s="172"/>
      <c r="P134" s="172"/>
      <c r="Q134" s="172"/>
      <c r="R134" s="172"/>
      <c r="S134" s="172"/>
      <c r="T134" s="172"/>
      <c r="U134" s="172"/>
      <c r="V134" s="172"/>
      <c r="W134" s="172"/>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3"/>
      <c r="AS134" s="165" t="s">
        <v>1613</v>
      </c>
      <c r="AU134" s="165">
        <v>197241</v>
      </c>
      <c r="AV134" s="165">
        <v>160114</v>
      </c>
      <c r="AW134" s="165">
        <v>178108</v>
      </c>
      <c r="AX134" s="165">
        <v>14323</v>
      </c>
    </row>
    <row r="135" spans="2:51">
      <c r="X135" s="244"/>
      <c r="Y135" s="244"/>
      <c r="Z135" s="244"/>
      <c r="AA135" s="244"/>
      <c r="AB135" s="244"/>
      <c r="AC135" s="244"/>
      <c r="AD135" s="244"/>
      <c r="AE135" s="261"/>
      <c r="AF135" s="244"/>
      <c r="AG135" s="244"/>
      <c r="AH135" s="244"/>
      <c r="AI135" s="244"/>
      <c r="AS135" s="165" t="s">
        <v>1614</v>
      </c>
      <c r="AU135" s="165">
        <v>336968</v>
      </c>
      <c r="AV135" s="165">
        <v>312086</v>
      </c>
      <c r="AW135" s="165">
        <v>342448</v>
      </c>
    </row>
    <row r="136" spans="2:51" ht="27.75" customHeight="1">
      <c r="B136" s="2040" t="s">
        <v>899</v>
      </c>
      <c r="C136" s="2041"/>
      <c r="D136" s="2041"/>
      <c r="E136" s="2041"/>
      <c r="F136" s="2041"/>
      <c r="G136" s="2041"/>
      <c r="H136" s="2041"/>
      <c r="I136" s="2041"/>
      <c r="J136" s="2041"/>
      <c r="K136" s="2041"/>
      <c r="L136" s="2041"/>
      <c r="M136" s="2041"/>
      <c r="N136" s="2041"/>
      <c r="O136" s="2041"/>
      <c r="P136" s="2041"/>
      <c r="Q136" s="2041"/>
      <c r="R136" s="2041"/>
      <c r="S136" s="2041"/>
      <c r="T136" s="2041"/>
      <c r="U136" s="2041"/>
      <c r="V136" s="2041"/>
      <c r="W136" s="2041"/>
      <c r="X136" s="2041"/>
      <c r="Y136" s="2041"/>
      <c r="Z136" s="2041"/>
      <c r="AA136" s="2041"/>
      <c r="AB136" s="2041"/>
      <c r="AC136" s="2041"/>
      <c r="AD136" s="2041"/>
      <c r="AE136" s="2042"/>
      <c r="AF136" s="2042"/>
      <c r="AG136" s="1925"/>
      <c r="AH136" s="1925"/>
      <c r="AI136" s="1925"/>
      <c r="AJ136" s="1925"/>
      <c r="AK136" s="1925"/>
      <c r="AL136" s="1925"/>
      <c r="AM136" s="1925"/>
      <c r="AN136" s="1925"/>
      <c r="AO136" s="1925"/>
      <c r="AS136" s="165" t="s">
        <v>1615</v>
      </c>
      <c r="AU136" s="165">
        <v>419286.8</v>
      </c>
      <c r="AV136" s="165">
        <v>476656.41</v>
      </c>
      <c r="AW136" s="165">
        <v>515180.63</v>
      </c>
      <c r="AX136" s="165">
        <v>4647.72</v>
      </c>
    </row>
    <row r="137" spans="2:51">
      <c r="AT137" s="165">
        <f t="shared" ref="AT137:AU137" si="10">SUM(AT134:AT136)/1000000*0.19</f>
        <v>0</v>
      </c>
      <c r="AU137" s="165">
        <f t="shared" si="10"/>
        <v>0.181164202</v>
      </c>
      <c r="AV137" s="165">
        <f>SUM(AV134:AV136)/1000000*0.19</f>
        <v>0.18028271789999997</v>
      </c>
      <c r="AW137" s="165">
        <f t="shared" ref="AW137:AX137" si="11">SUM(AW134:AW136)/1000000*0.19</f>
        <v>0.19678995969999999</v>
      </c>
      <c r="AX137" s="165">
        <f t="shared" si="11"/>
        <v>3.6044368000000002E-3</v>
      </c>
    </row>
    <row r="138" spans="2:51">
      <c r="D138" s="165" t="s">
        <v>234</v>
      </c>
    </row>
    <row r="140" spans="2:51" hidden="1"/>
    <row r="141" spans="2:51" hidden="1"/>
    <row r="142" spans="2:51" hidden="1"/>
    <row r="143" spans="2:51" hidden="1">
      <c r="B143" s="165" t="s">
        <v>900</v>
      </c>
    </row>
    <row r="144" spans="2:51" hidden="1"/>
    <row r="145" spans="2:37" hidden="1">
      <c r="B145" s="165" t="s">
        <v>901</v>
      </c>
    </row>
    <row r="146" spans="2:37" hidden="1">
      <c r="C146" s="165" t="s">
        <v>872</v>
      </c>
      <c r="AJ146" s="165">
        <v>3038.6</v>
      </c>
      <c r="AK146" s="165" t="s">
        <v>902</v>
      </c>
    </row>
    <row r="147" spans="2:37" hidden="1"/>
    <row r="148" spans="2:37" hidden="1"/>
    <row r="149" spans="2:37" hidden="1"/>
    <row r="150" spans="2:37" hidden="1"/>
  </sheetData>
  <mergeCells count="5">
    <mergeCell ref="B87:AD87"/>
    <mergeCell ref="C131:D131"/>
    <mergeCell ref="C133:D133"/>
    <mergeCell ref="B136:AO136"/>
    <mergeCell ref="B15:AQ15"/>
  </mergeCells>
  <pageMargins left="0.70866141732283472" right="0.70866141732283472" top="0.74803149606299213" bottom="0.7480314960629921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197"/>
  <sheetViews>
    <sheetView showGridLines="0" topLeftCell="B14" zoomScale="80" zoomScaleNormal="80" workbookViewId="0">
      <selection activeCell="B15" sqref="B15:AQ172"/>
    </sheetView>
  </sheetViews>
  <sheetFormatPr defaultColWidth="8.88671875" defaultRowHeight="12.75" outlineLevelRow="1"/>
  <cols>
    <col min="1" max="1" width="10.77734375" style="1" hidden="1" customWidth="1"/>
    <col min="2" max="2" width="3.5546875" style="1" customWidth="1"/>
    <col min="3" max="3" width="58.5546875" style="1" customWidth="1"/>
    <col min="4" max="17" width="0.77734375" style="1" hidden="1" customWidth="1"/>
    <col min="18" max="23" width="5.77734375" style="1" hidden="1" customWidth="1"/>
    <col min="24" max="24" width="5.77734375" style="2" customWidth="1"/>
    <col min="25" max="25" width="2.109375" style="2" hidden="1" customWidth="1"/>
    <col min="26" max="26" width="6.44140625" style="2" bestFit="1" customWidth="1"/>
    <col min="27" max="27" width="1.77734375" style="2" hidden="1" customWidth="1"/>
    <col min="28" max="28" width="5.44140625" style="2" bestFit="1" customWidth="1"/>
    <col min="29" max="29" width="2.44140625" style="2" hidden="1" customWidth="1"/>
    <col min="30" max="30" width="6.44140625" style="2" bestFit="1" customWidth="1"/>
    <col min="31" max="31" width="1.88671875" style="2" hidden="1" customWidth="1"/>
    <col min="32" max="38" width="7.44140625" style="2" customWidth="1"/>
    <col min="39" max="39" width="5.5546875" style="2" bestFit="1" customWidth="1"/>
    <col min="40" max="40" width="5.5546875" style="1" bestFit="1" customWidth="1"/>
    <col min="41" max="43" width="7.5546875" style="1" customWidth="1"/>
    <col min="44" max="16384" width="8.88671875" style="1"/>
  </cols>
  <sheetData>
    <row r="1" spans="1:43" hidden="1" outlineLevel="1">
      <c r="B1" s="1" t="s">
        <v>0</v>
      </c>
    </row>
    <row r="2" spans="1:43" hidden="1" outlineLevel="1"/>
    <row r="3" spans="1:43" hidden="1" outlineLevel="1"/>
    <row r="4" spans="1:43" hidden="1" outlineLevel="1">
      <c r="B4" s="1" t="s">
        <v>1</v>
      </c>
      <c r="R4" s="1">
        <v>1995</v>
      </c>
      <c r="S4" s="1">
        <v>1996</v>
      </c>
      <c r="T4" s="1">
        <v>1997</v>
      </c>
      <c r="U4" s="1">
        <v>1998</v>
      </c>
      <c r="V4" s="1">
        <v>1999</v>
      </c>
      <c r="W4" s="1">
        <v>2000</v>
      </c>
      <c r="X4" s="2">
        <v>2001</v>
      </c>
      <c r="Z4" s="2">
        <v>2003</v>
      </c>
      <c r="AB4" s="2">
        <v>2005</v>
      </c>
      <c r="AD4" s="2">
        <v>2007</v>
      </c>
      <c r="AF4" s="2">
        <v>2009</v>
      </c>
      <c r="AG4" s="2">
        <v>2010</v>
      </c>
      <c r="AH4" s="2">
        <v>2011</v>
      </c>
      <c r="AI4" s="2">
        <v>2012</v>
      </c>
      <c r="AJ4" s="2">
        <v>2013</v>
      </c>
      <c r="AK4" s="2">
        <v>2014</v>
      </c>
      <c r="AL4" s="2">
        <v>2015</v>
      </c>
      <c r="AM4" s="2">
        <v>2016</v>
      </c>
      <c r="AN4" s="2">
        <v>2017</v>
      </c>
      <c r="AO4" s="2">
        <v>2018</v>
      </c>
      <c r="AP4" s="2">
        <v>2019</v>
      </c>
      <c r="AQ4" s="2">
        <v>2020</v>
      </c>
    </row>
    <row r="5" spans="1:43" hidden="1" outlineLevel="1">
      <c r="AN5" s="2"/>
      <c r="AO5" s="2"/>
      <c r="AP5" s="2"/>
      <c r="AQ5" s="2"/>
    </row>
    <row r="6" spans="1:43" hidden="1" outlineLevel="1">
      <c r="A6" s="3" t="s">
        <v>2</v>
      </c>
      <c r="B6" s="1" t="s">
        <v>3</v>
      </c>
      <c r="R6" s="4">
        <f t="shared" ref="R6:X6" si="0">R94</f>
        <v>0</v>
      </c>
      <c r="S6" s="4">
        <f t="shared" si="0"/>
        <v>0</v>
      </c>
      <c r="T6" s="4">
        <f t="shared" si="0"/>
        <v>0</v>
      </c>
      <c r="U6" s="4">
        <f t="shared" si="0"/>
        <v>0</v>
      </c>
      <c r="V6" s="4">
        <f t="shared" si="0"/>
        <v>0</v>
      </c>
      <c r="W6" s="4">
        <f t="shared" si="0"/>
        <v>0</v>
      </c>
      <c r="X6" s="5">
        <f t="shared" si="0"/>
        <v>0</v>
      </c>
      <c r="Y6" s="5"/>
      <c r="Z6" s="5">
        <f>Z94</f>
        <v>0</v>
      </c>
      <c r="AA6" s="5"/>
      <c r="AB6" s="5">
        <f>AB94</f>
        <v>0</v>
      </c>
      <c r="AC6" s="5"/>
      <c r="AD6" s="5">
        <f>AD94</f>
        <v>0</v>
      </c>
      <c r="AE6" s="5"/>
      <c r="AF6" s="5">
        <f t="shared" ref="AF6:AL6" si="1">AF94</f>
        <v>20.87</v>
      </c>
      <c r="AG6" s="5">
        <f t="shared" si="1"/>
        <v>18.705028960307889</v>
      </c>
      <c r="AH6" s="5">
        <f t="shared" si="1"/>
        <v>19.095834002954266</v>
      </c>
      <c r="AI6" s="5">
        <f t="shared" si="1"/>
        <v>20.099999999999998</v>
      </c>
      <c r="AJ6" s="5">
        <f t="shared" si="1"/>
        <v>2.6</v>
      </c>
      <c r="AK6" s="5">
        <f t="shared" si="1"/>
        <v>2.17</v>
      </c>
      <c r="AL6" s="5">
        <f t="shared" si="1"/>
        <v>3.2</v>
      </c>
      <c r="AM6" s="5">
        <f>AM94</f>
        <v>3</v>
      </c>
      <c r="AN6" s="5">
        <f>AN94</f>
        <v>3.3</v>
      </c>
      <c r="AO6" s="5">
        <f t="shared" ref="AO6:AP6" si="2">AO94</f>
        <v>3.5</v>
      </c>
      <c r="AP6" s="5">
        <f t="shared" si="2"/>
        <v>3.9</v>
      </c>
      <c r="AQ6" s="5"/>
    </row>
    <row r="7" spans="1:43" hidden="1" outlineLevel="1">
      <c r="A7" s="3" t="s">
        <v>4</v>
      </c>
      <c r="B7" s="1" t="s">
        <v>5</v>
      </c>
      <c r="R7" s="6">
        <f t="shared" ref="R7:W7" si="3">R157</f>
        <v>0</v>
      </c>
      <c r="S7" s="6">
        <f t="shared" si="3"/>
        <v>0</v>
      </c>
      <c r="T7" s="6">
        <f t="shared" si="3"/>
        <v>0</v>
      </c>
      <c r="U7" s="6">
        <f t="shared" si="3"/>
        <v>0</v>
      </c>
      <c r="V7" s="6">
        <f t="shared" si="3"/>
        <v>0</v>
      </c>
      <c r="W7" s="6">
        <f t="shared" si="3"/>
        <v>0</v>
      </c>
      <c r="X7" s="7">
        <f>X139</f>
        <v>0</v>
      </c>
      <c r="Y7" s="8"/>
      <c r="Z7" s="7">
        <f>Z139</f>
        <v>0</v>
      </c>
      <c r="AA7" s="8"/>
      <c r="AB7" s="7">
        <f>AB139</f>
        <v>0</v>
      </c>
      <c r="AC7" s="8"/>
      <c r="AD7" s="7">
        <f>AD139</f>
        <v>0</v>
      </c>
      <c r="AE7" s="8"/>
      <c r="AF7" s="7">
        <f t="shared" ref="AF7:AL7" si="4">AF139</f>
        <v>45.587122199999996</v>
      </c>
      <c r="AG7" s="7">
        <f t="shared" si="4"/>
        <v>43.540119692000005</v>
      </c>
      <c r="AH7" s="7">
        <f t="shared" si="4"/>
        <v>44.240415983999753</v>
      </c>
      <c r="AI7" s="7">
        <f t="shared" si="4"/>
        <v>35.400000000000006</v>
      </c>
      <c r="AJ7" s="7">
        <f t="shared" si="4"/>
        <v>31.200000000000003</v>
      </c>
      <c r="AK7" s="7">
        <f t="shared" si="4"/>
        <v>34.300000000000004</v>
      </c>
      <c r="AL7" s="7">
        <f t="shared" si="4"/>
        <v>35.5</v>
      </c>
      <c r="AM7" s="7">
        <f>AM139</f>
        <v>38</v>
      </c>
      <c r="AN7" s="7">
        <f>AN139</f>
        <v>43.7</v>
      </c>
      <c r="AO7" s="7">
        <f t="shared" ref="AO7:AP7" si="5">AO139</f>
        <v>46.16034085830038</v>
      </c>
      <c r="AP7" s="7">
        <f t="shared" si="5"/>
        <v>49.369304973399665</v>
      </c>
      <c r="AQ7" s="7"/>
    </row>
    <row r="8" spans="1:43" hidden="1" outlineLevel="1">
      <c r="A8" s="3" t="s">
        <v>6</v>
      </c>
      <c r="R8" s="4">
        <f t="shared" ref="R8:X8" si="6">R6+R7</f>
        <v>0</v>
      </c>
      <c r="S8" s="4">
        <f t="shared" si="6"/>
        <v>0</v>
      </c>
      <c r="T8" s="4">
        <f t="shared" si="6"/>
        <v>0</v>
      </c>
      <c r="U8" s="4">
        <f t="shared" si="6"/>
        <v>0</v>
      </c>
      <c r="V8" s="4">
        <f t="shared" si="6"/>
        <v>0</v>
      </c>
      <c r="W8" s="4">
        <f t="shared" si="6"/>
        <v>0</v>
      </c>
      <c r="X8" s="5">
        <f t="shared" si="6"/>
        <v>0</v>
      </c>
      <c r="Y8" s="5"/>
      <c r="Z8" s="5">
        <f>Z6+Z7</f>
        <v>0</v>
      </c>
      <c r="AA8" s="5"/>
      <c r="AB8" s="5">
        <f>AB6+AB7</f>
        <v>0</v>
      </c>
      <c r="AC8" s="5"/>
      <c r="AD8" s="5">
        <f>AD6+AD7</f>
        <v>0</v>
      </c>
      <c r="AE8" s="5"/>
      <c r="AF8" s="5">
        <f t="shared" ref="AF8:AL8" si="7">AF6+AF7</f>
        <v>66.457122200000001</v>
      </c>
      <c r="AG8" s="5">
        <f t="shared" si="7"/>
        <v>62.24514865230789</v>
      </c>
      <c r="AH8" s="5">
        <f t="shared" si="7"/>
        <v>63.336249986954016</v>
      </c>
      <c r="AI8" s="5">
        <f t="shared" si="7"/>
        <v>55.5</v>
      </c>
      <c r="AJ8" s="5">
        <f t="shared" si="7"/>
        <v>33.800000000000004</v>
      </c>
      <c r="AK8" s="5">
        <f t="shared" si="7"/>
        <v>36.470000000000006</v>
      </c>
      <c r="AL8" s="5">
        <f t="shared" si="7"/>
        <v>38.700000000000003</v>
      </c>
      <c r="AM8" s="5">
        <f>AM6+AM7</f>
        <v>41</v>
      </c>
      <c r="AN8" s="5">
        <f>AN6+AN7</f>
        <v>47</v>
      </c>
      <c r="AO8" s="5">
        <f t="shared" ref="AO8:AP8" si="8">AO6+AO7</f>
        <v>49.66034085830038</v>
      </c>
      <c r="AP8" s="5">
        <f t="shared" si="8"/>
        <v>53.269304973399663</v>
      </c>
      <c r="AQ8" s="5"/>
    </row>
    <row r="9" spans="1:43" hidden="1" outlineLevel="1">
      <c r="A9" s="3"/>
      <c r="R9" s="4"/>
      <c r="S9" s="4"/>
      <c r="T9" s="4"/>
      <c r="U9" s="4"/>
      <c r="V9" s="4"/>
      <c r="W9" s="4"/>
      <c r="X9" s="5"/>
      <c r="Y9" s="5"/>
      <c r="Z9" s="5"/>
      <c r="AA9" s="5"/>
      <c r="AB9" s="5"/>
      <c r="AC9" s="5"/>
      <c r="AD9" s="5"/>
      <c r="AE9" s="5"/>
      <c r="AF9" s="5"/>
      <c r="AG9" s="5"/>
      <c r="AH9" s="5"/>
      <c r="AN9" s="2"/>
      <c r="AO9" s="2"/>
      <c r="AP9" s="2"/>
      <c r="AQ9" s="2"/>
    </row>
    <row r="10" spans="1:43" hidden="1" outlineLevel="1">
      <c r="A10" s="3"/>
      <c r="B10" s="1" t="s">
        <v>7</v>
      </c>
      <c r="R10" s="4" t="e">
        <f>#REF!-R157</f>
        <v>#REF!</v>
      </c>
      <c r="S10" s="4" t="e">
        <f>#REF!-S157</f>
        <v>#REF!</v>
      </c>
      <c r="T10" s="4" t="e">
        <f>#REF!-T157</f>
        <v>#REF!</v>
      </c>
      <c r="U10" s="4" t="e">
        <f>#REF!-U157</f>
        <v>#REF!</v>
      </c>
      <c r="V10" s="4" t="e">
        <f>#REF!-V157</f>
        <v>#REF!</v>
      </c>
      <c r="W10" s="4" t="e">
        <f>#REF!-W157</f>
        <v>#REF!</v>
      </c>
      <c r="X10" s="5">
        <f>X160</f>
        <v>0</v>
      </c>
      <c r="Y10" s="5"/>
      <c r="Z10" s="5">
        <f>Z160</f>
        <v>0</v>
      </c>
      <c r="AA10" s="5"/>
      <c r="AB10" s="5">
        <f>AB160</f>
        <v>0</v>
      </c>
      <c r="AC10" s="5"/>
      <c r="AD10" s="5">
        <f>AD160</f>
        <v>0</v>
      </c>
      <c r="AE10" s="5"/>
      <c r="AF10" s="5">
        <f t="shared" ref="AF10:AL10" si="9">AF160</f>
        <v>115.3</v>
      </c>
      <c r="AG10" s="5">
        <f t="shared" si="9"/>
        <v>108.81</v>
      </c>
      <c r="AH10" s="5">
        <f t="shared" si="9"/>
        <v>115.54</v>
      </c>
      <c r="AI10" s="5">
        <f t="shared" si="9"/>
        <v>110.5</v>
      </c>
      <c r="AJ10" s="5">
        <f t="shared" si="9"/>
        <v>97</v>
      </c>
      <c r="AK10" s="5">
        <f t="shared" si="9"/>
        <v>130.1</v>
      </c>
      <c r="AL10" s="5">
        <f t="shared" si="9"/>
        <v>224.4</v>
      </c>
      <c r="AM10" s="5">
        <f>AM160</f>
        <v>235.3</v>
      </c>
      <c r="AN10" s="5">
        <f>AN160</f>
        <v>247.5</v>
      </c>
      <c r="AO10" s="5">
        <f t="shared" ref="AO10:AP10" si="10">AO160</f>
        <v>262.3</v>
      </c>
      <c r="AP10" s="5">
        <f t="shared" si="10"/>
        <v>290.60000000000002</v>
      </c>
      <c r="AQ10" s="5"/>
    </row>
    <row r="11" spans="1:43" hidden="1" outlineLevel="1">
      <c r="A11" s="3"/>
      <c r="R11" s="4"/>
      <c r="S11" s="4"/>
      <c r="T11" s="4"/>
      <c r="U11" s="4"/>
      <c r="V11" s="4"/>
      <c r="W11" s="4"/>
      <c r="X11" s="5"/>
      <c r="Y11" s="5"/>
      <c r="Z11" s="5"/>
      <c r="AA11" s="5"/>
      <c r="AB11" s="5"/>
      <c r="AC11" s="5"/>
      <c r="AD11" s="5"/>
      <c r="AE11" s="5"/>
      <c r="AF11" s="5"/>
      <c r="AG11" s="5"/>
      <c r="AH11" s="5"/>
      <c r="AI11" s="5"/>
      <c r="AJ11" s="5"/>
      <c r="AK11" s="5"/>
      <c r="AL11" s="5"/>
      <c r="AM11" s="5"/>
      <c r="AN11" s="5"/>
      <c r="AO11" s="5"/>
      <c r="AP11" s="5"/>
      <c r="AQ11" s="5"/>
    </row>
    <row r="12" spans="1:43" hidden="1" outlineLevel="1">
      <c r="B12" s="1" t="s">
        <v>8</v>
      </c>
      <c r="R12" s="4"/>
      <c r="S12" s="4"/>
      <c r="T12" s="4"/>
      <c r="U12" s="4"/>
      <c r="V12" s="4"/>
      <c r="W12" s="4"/>
      <c r="X12" s="5">
        <v>0</v>
      </c>
      <c r="Y12" s="5"/>
      <c r="Z12" s="5">
        <f>Z114+Z117+Z97+Z102</f>
        <v>0</v>
      </c>
      <c r="AA12" s="5"/>
      <c r="AB12" s="5">
        <f>AB114+AB117+AB97+AB102</f>
        <v>0</v>
      </c>
      <c r="AC12" s="5"/>
      <c r="AD12" s="5">
        <f>AD114+AD117+AD97+AD102</f>
        <v>0</v>
      </c>
      <c r="AE12" s="5"/>
      <c r="AF12" s="5">
        <f t="shared" ref="AF12:AL12" si="11">AF117+AF97</f>
        <v>0.41</v>
      </c>
      <c r="AG12" s="5">
        <f t="shared" si="11"/>
        <v>0.75094000000000005</v>
      </c>
      <c r="AH12" s="5">
        <f t="shared" si="11"/>
        <v>1.0787709999999999</v>
      </c>
      <c r="AI12" s="5">
        <f t="shared" si="11"/>
        <v>0.8</v>
      </c>
      <c r="AJ12" s="5">
        <f t="shared" si="11"/>
        <v>1</v>
      </c>
      <c r="AK12" s="5">
        <f t="shared" si="11"/>
        <v>0.6</v>
      </c>
      <c r="AL12" s="5">
        <f t="shared" si="11"/>
        <v>0.6</v>
      </c>
      <c r="AM12" s="5">
        <f>AM117+AM97</f>
        <v>0.5</v>
      </c>
      <c r="AN12" s="5">
        <f>AN117+AN97</f>
        <v>0.6</v>
      </c>
      <c r="AO12" s="5">
        <f t="shared" ref="AO12:AP12" si="12">AO117+AO97</f>
        <v>0.7</v>
      </c>
      <c r="AP12" s="5">
        <f t="shared" si="12"/>
        <v>0.7</v>
      </c>
      <c r="AQ12" s="5"/>
    </row>
    <row r="13" spans="1:43" hidden="1" outlineLevel="1">
      <c r="R13" s="4"/>
      <c r="S13" s="4"/>
      <c r="T13" s="4"/>
      <c r="U13" s="4"/>
      <c r="V13" s="4"/>
      <c r="W13" s="4"/>
      <c r="X13" s="5"/>
      <c r="Y13" s="5"/>
      <c r="Z13" s="5"/>
      <c r="AA13" s="5"/>
      <c r="AB13" s="5"/>
      <c r="AC13" s="5"/>
      <c r="AD13" s="5"/>
      <c r="AE13" s="5"/>
      <c r="AF13" s="5"/>
      <c r="AG13" s="5"/>
    </row>
    <row r="14" spans="1:43" ht="12.75" customHeight="1" outlineLevel="1">
      <c r="R14" s="4"/>
      <c r="S14" s="4"/>
      <c r="T14" s="4"/>
      <c r="U14" s="4"/>
      <c r="V14" s="4"/>
      <c r="W14" s="4"/>
      <c r="X14" s="5"/>
      <c r="Y14" s="5"/>
      <c r="Z14" s="5"/>
      <c r="AA14" s="5"/>
      <c r="AB14" s="5"/>
      <c r="AC14" s="5"/>
      <c r="AD14" s="5"/>
      <c r="AE14" s="5"/>
      <c r="AF14" s="5"/>
      <c r="AG14" s="5"/>
    </row>
    <row r="15" spans="1:43" ht="27" customHeight="1">
      <c r="B15" s="2046" t="s">
        <v>9</v>
      </c>
      <c r="C15" s="2046"/>
      <c r="D15" s="2046"/>
      <c r="E15" s="2046"/>
      <c r="F15" s="2046"/>
      <c r="G15" s="2046"/>
      <c r="H15" s="2046"/>
      <c r="I15" s="2046"/>
      <c r="J15" s="2046"/>
      <c r="K15" s="2046"/>
      <c r="L15" s="2046"/>
      <c r="M15" s="2046"/>
      <c r="N15" s="2046"/>
      <c r="O15" s="2046"/>
      <c r="P15" s="2046"/>
      <c r="Q15" s="2046"/>
      <c r="R15" s="2046"/>
      <c r="S15" s="2046"/>
      <c r="T15" s="2046"/>
      <c r="U15" s="2046"/>
      <c r="V15" s="2046"/>
      <c r="W15" s="2046"/>
      <c r="X15" s="2046"/>
      <c r="Y15" s="2046"/>
      <c r="Z15" s="2046"/>
      <c r="AA15" s="2046"/>
      <c r="AB15" s="2046"/>
      <c r="AC15" s="2046"/>
      <c r="AD15" s="2046"/>
      <c r="AE15" s="2046"/>
      <c r="AF15" s="2046"/>
      <c r="AG15" s="1945"/>
      <c r="AH15" s="1945"/>
      <c r="AI15" s="1945"/>
      <c r="AJ15" s="1945"/>
      <c r="AK15" s="1945"/>
      <c r="AL15" s="1945"/>
      <c r="AM15" s="1945"/>
      <c r="AN15" s="1953"/>
      <c r="AO15" s="1953"/>
      <c r="AP15" s="1953"/>
      <c r="AQ15" s="1953"/>
    </row>
    <row r="16" spans="1:43">
      <c r="C16" s="9"/>
      <c r="D16" s="9"/>
      <c r="E16" s="9"/>
      <c r="F16" s="9"/>
      <c r="G16" s="9"/>
      <c r="H16" s="9"/>
      <c r="I16" s="9"/>
      <c r="J16" s="9"/>
      <c r="K16" s="9"/>
      <c r="L16" s="9"/>
      <c r="M16" s="9"/>
      <c r="N16" s="9"/>
      <c r="O16" s="10"/>
      <c r="P16" s="10"/>
      <c r="Q16" s="10"/>
      <c r="R16" s="10"/>
      <c r="S16" s="10"/>
      <c r="T16" s="10"/>
      <c r="U16" s="10"/>
      <c r="V16" s="10"/>
      <c r="W16" s="10"/>
      <c r="X16" s="11"/>
      <c r="Y16" s="12"/>
      <c r="Z16" s="12"/>
      <c r="AA16" s="12"/>
      <c r="AB16" s="12"/>
      <c r="AC16" s="12"/>
      <c r="AD16" s="12"/>
      <c r="AE16" s="12"/>
      <c r="AF16" s="12"/>
      <c r="AG16" s="5"/>
    </row>
    <row r="17" spans="2:33">
      <c r="B17" s="13" t="s">
        <v>0</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5"/>
    </row>
    <row r="18" spans="2:33">
      <c r="C18" s="9"/>
      <c r="D18" s="9"/>
      <c r="E18" s="9"/>
      <c r="F18" s="9"/>
      <c r="G18" s="9"/>
      <c r="H18" s="9"/>
      <c r="I18" s="9"/>
      <c r="J18" s="9"/>
      <c r="K18" s="9"/>
      <c r="L18" s="9"/>
      <c r="M18" s="9"/>
      <c r="N18" s="9"/>
      <c r="O18" s="10"/>
      <c r="P18" s="10"/>
      <c r="Q18" s="10"/>
      <c r="R18" s="10"/>
      <c r="S18" s="10"/>
      <c r="T18" s="10"/>
      <c r="U18" s="10"/>
      <c r="V18" s="10"/>
      <c r="W18" s="10"/>
      <c r="X18" s="11"/>
      <c r="Y18" s="12"/>
      <c r="Z18" s="12"/>
      <c r="AA18" s="12"/>
      <c r="AB18" s="12"/>
      <c r="AC18" s="12"/>
      <c r="AD18" s="12"/>
      <c r="AE18" s="12"/>
      <c r="AF18" s="12"/>
      <c r="AG18" s="5"/>
    </row>
    <row r="19" spans="2:33">
      <c r="B19" s="15" t="s">
        <v>10</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5"/>
    </row>
    <row r="20" spans="2:33" hidden="1">
      <c r="B20" s="16"/>
      <c r="C20" s="17"/>
      <c r="D20" s="17"/>
      <c r="E20" s="17"/>
      <c r="F20" s="17"/>
      <c r="G20" s="17"/>
      <c r="H20" s="17"/>
      <c r="I20" s="17"/>
      <c r="J20" s="17"/>
      <c r="K20" s="17"/>
      <c r="L20" s="17"/>
      <c r="M20" s="17"/>
      <c r="N20" s="17"/>
      <c r="O20" s="18"/>
      <c r="P20" s="18"/>
      <c r="Q20" s="18"/>
      <c r="R20" s="18"/>
      <c r="S20" s="18"/>
      <c r="T20" s="18"/>
      <c r="U20" s="18"/>
      <c r="V20" s="18"/>
      <c r="W20" s="18"/>
      <c r="X20" s="19"/>
      <c r="Y20" s="19"/>
      <c r="Z20" s="19"/>
      <c r="AA20" s="19"/>
      <c r="AB20" s="19"/>
      <c r="AC20" s="19"/>
      <c r="AD20" s="19"/>
      <c r="AE20" s="19"/>
      <c r="AF20" s="19"/>
      <c r="AG20" s="5"/>
    </row>
    <row r="21" spans="2:33" hidden="1">
      <c r="C21" s="9"/>
      <c r="D21" s="9"/>
      <c r="E21" s="9"/>
      <c r="F21" s="9"/>
      <c r="G21" s="9"/>
      <c r="H21" s="9"/>
      <c r="I21" s="9"/>
      <c r="J21" s="9"/>
      <c r="K21" s="9"/>
      <c r="L21" s="9"/>
      <c r="M21" s="9"/>
      <c r="N21" s="9"/>
      <c r="O21" s="10"/>
      <c r="P21" s="10"/>
      <c r="Q21" s="10"/>
      <c r="R21" s="10"/>
      <c r="S21" s="10"/>
      <c r="T21" s="10"/>
      <c r="U21" s="10"/>
      <c r="V21" s="10"/>
      <c r="W21" s="10"/>
      <c r="X21" s="20">
        <v>2001</v>
      </c>
      <c r="Y21" s="21"/>
      <c r="Z21" s="20">
        <v>2003</v>
      </c>
      <c r="AA21" s="21"/>
      <c r="AB21" s="20">
        <v>2005</v>
      </c>
      <c r="AC21" s="21"/>
      <c r="AD21" s="20">
        <v>2007</v>
      </c>
      <c r="AE21" s="21"/>
      <c r="AF21" s="20">
        <v>2009</v>
      </c>
      <c r="AG21" s="5"/>
    </row>
    <row r="22" spans="2:33" hidden="1">
      <c r="B22" s="22"/>
      <c r="C22" s="23"/>
      <c r="D22" s="9"/>
      <c r="E22" s="9"/>
      <c r="F22" s="9"/>
      <c r="G22" s="9"/>
      <c r="H22" s="9"/>
      <c r="I22" s="9"/>
      <c r="J22" s="9"/>
      <c r="K22" s="9"/>
      <c r="L22" s="9"/>
      <c r="M22" s="9"/>
      <c r="N22" s="9"/>
      <c r="O22" s="10"/>
      <c r="P22" s="10"/>
      <c r="Q22" s="10"/>
      <c r="R22" s="10"/>
      <c r="S22" s="10"/>
      <c r="T22" s="10"/>
      <c r="U22" s="10"/>
      <c r="V22" s="10"/>
      <c r="W22" s="10"/>
      <c r="AG22" s="5"/>
    </row>
    <row r="23" spans="2:33" hidden="1">
      <c r="B23" s="23" t="s">
        <v>11</v>
      </c>
      <c r="R23" s="4"/>
      <c r="S23" s="4"/>
      <c r="T23" s="4"/>
      <c r="U23" s="4"/>
      <c r="V23" s="4"/>
      <c r="W23" s="4"/>
      <c r="X23" s="24"/>
      <c r="Y23" s="25"/>
      <c r="AA23" s="25"/>
      <c r="AE23" s="25"/>
      <c r="AG23" s="5"/>
    </row>
    <row r="24" spans="2:33" hidden="1">
      <c r="B24" s="23" t="s">
        <v>12</v>
      </c>
      <c r="R24" s="4"/>
      <c r="S24" s="4"/>
      <c r="T24" s="4"/>
      <c r="U24" s="4"/>
      <c r="V24" s="4"/>
      <c r="W24" s="4"/>
      <c r="X24" s="5"/>
      <c r="Y24" s="5"/>
      <c r="Z24" s="24"/>
      <c r="AA24" s="5"/>
      <c r="AB24" s="24"/>
      <c r="AC24" s="24"/>
      <c r="AD24" s="26"/>
      <c r="AE24" s="5"/>
      <c r="AF24" s="26"/>
      <c r="AG24" s="5"/>
    </row>
    <row r="25" spans="2:33" hidden="1">
      <c r="B25" s="23" t="s">
        <v>13</v>
      </c>
      <c r="R25" s="4"/>
      <c r="S25" s="4"/>
      <c r="T25" s="4"/>
      <c r="U25" s="4"/>
      <c r="V25" s="4"/>
      <c r="W25" s="4"/>
      <c r="X25" s="5"/>
      <c r="Y25" s="5"/>
      <c r="Z25" s="24"/>
      <c r="AA25" s="5"/>
      <c r="AB25" s="24"/>
      <c r="AC25" s="24"/>
      <c r="AD25" s="26"/>
      <c r="AE25" s="5"/>
      <c r="AF25" s="26"/>
      <c r="AG25" s="5"/>
    </row>
    <row r="26" spans="2:33" hidden="1">
      <c r="B26" s="23" t="s">
        <v>14</v>
      </c>
      <c r="R26" s="4"/>
      <c r="S26" s="4"/>
      <c r="T26" s="4"/>
      <c r="U26" s="4"/>
      <c r="V26" s="4"/>
      <c r="W26" s="4"/>
      <c r="X26" s="5"/>
      <c r="Y26" s="5"/>
      <c r="Z26" s="5"/>
      <c r="AA26" s="5"/>
      <c r="AB26" s="5"/>
      <c r="AC26" s="5"/>
      <c r="AD26" s="5"/>
      <c r="AE26" s="5"/>
      <c r="AF26" s="5"/>
      <c r="AG26" s="5"/>
    </row>
    <row r="27" spans="2:33" hidden="1">
      <c r="B27" s="23" t="s">
        <v>15</v>
      </c>
      <c r="R27" s="4"/>
      <c r="S27" s="4"/>
      <c r="T27" s="4"/>
      <c r="U27" s="4"/>
      <c r="V27" s="4"/>
      <c r="W27" s="4"/>
      <c r="X27" s="24"/>
      <c r="Y27" s="5"/>
      <c r="Z27" s="24"/>
      <c r="AA27" s="5"/>
      <c r="AB27" s="24"/>
      <c r="AC27" s="24"/>
      <c r="AD27" s="24"/>
      <c r="AE27" s="5"/>
      <c r="AF27" s="24"/>
      <c r="AG27" s="5"/>
    </row>
    <row r="28" spans="2:33" hidden="1">
      <c r="B28" s="23" t="s">
        <v>16</v>
      </c>
      <c r="R28" s="4"/>
      <c r="S28" s="4"/>
      <c r="T28" s="4"/>
      <c r="U28" s="4"/>
      <c r="V28" s="4"/>
      <c r="W28" s="4"/>
      <c r="X28" s="24"/>
      <c r="Y28" s="5"/>
      <c r="Z28" s="24"/>
      <c r="AA28" s="5"/>
      <c r="AB28" s="24"/>
      <c r="AC28" s="24"/>
      <c r="AD28" s="24"/>
      <c r="AE28" s="5"/>
      <c r="AF28" s="24"/>
      <c r="AG28" s="5"/>
    </row>
    <row r="29" spans="2:33" hidden="1">
      <c r="B29" s="27" t="s">
        <v>17</v>
      </c>
      <c r="R29" s="4"/>
      <c r="S29" s="4"/>
      <c r="T29" s="4"/>
      <c r="U29" s="4"/>
      <c r="V29" s="4"/>
      <c r="W29" s="4"/>
      <c r="X29" s="24"/>
      <c r="Y29" s="5"/>
      <c r="Z29" s="24"/>
      <c r="AA29" s="5"/>
      <c r="AB29" s="24"/>
      <c r="AC29" s="24"/>
      <c r="AD29" s="24"/>
      <c r="AE29" s="5"/>
      <c r="AF29" s="24"/>
      <c r="AG29" s="5"/>
    </row>
    <row r="30" spans="2:33" hidden="1">
      <c r="B30" s="28"/>
      <c r="C30" s="16"/>
      <c r="D30" s="16"/>
      <c r="E30" s="16"/>
      <c r="F30" s="16"/>
      <c r="G30" s="16"/>
      <c r="H30" s="16"/>
      <c r="I30" s="16"/>
      <c r="J30" s="16"/>
      <c r="K30" s="16"/>
      <c r="L30" s="16"/>
      <c r="M30" s="16"/>
      <c r="N30" s="16"/>
      <c r="O30" s="16"/>
      <c r="P30" s="16"/>
      <c r="Q30" s="16"/>
      <c r="R30" s="6"/>
      <c r="S30" s="6"/>
      <c r="T30" s="6"/>
      <c r="U30" s="6"/>
      <c r="V30" s="6"/>
      <c r="W30" s="6"/>
      <c r="X30" s="7"/>
      <c r="Y30" s="7"/>
      <c r="Z30" s="29"/>
      <c r="AA30" s="7"/>
      <c r="AB30" s="29"/>
      <c r="AC30" s="29"/>
      <c r="AD30" s="29"/>
      <c r="AE30" s="7"/>
      <c r="AF30" s="29"/>
      <c r="AG30" s="5"/>
    </row>
    <row r="31" spans="2:33" ht="12" customHeight="1">
      <c r="B31" s="27"/>
      <c r="R31" s="4"/>
      <c r="S31" s="4"/>
      <c r="T31" s="4"/>
      <c r="U31" s="4"/>
      <c r="V31" s="4"/>
      <c r="W31" s="4"/>
      <c r="X31" s="5"/>
      <c r="Y31" s="5"/>
      <c r="Z31" s="5"/>
      <c r="AA31" s="5"/>
      <c r="AB31" s="5"/>
      <c r="AC31" s="5"/>
      <c r="AD31" s="5"/>
      <c r="AE31" s="5"/>
      <c r="AF31" s="5"/>
      <c r="AG31" s="5"/>
    </row>
    <row r="32" spans="2:33" hidden="1">
      <c r="B32" s="1" t="s">
        <v>18</v>
      </c>
      <c r="R32" s="4"/>
      <c r="S32" s="4"/>
      <c r="T32" s="4"/>
      <c r="U32" s="4"/>
      <c r="V32" s="4"/>
      <c r="W32" s="4"/>
      <c r="X32" s="5"/>
      <c r="Y32" s="5"/>
      <c r="Z32" s="5"/>
      <c r="AA32" s="5"/>
      <c r="AB32" s="5"/>
      <c r="AC32" s="5"/>
      <c r="AD32" s="5"/>
      <c r="AE32" s="5"/>
      <c r="AF32" s="5"/>
      <c r="AG32" s="5"/>
    </row>
    <row r="33" spans="2:46" hidden="1">
      <c r="R33" s="4"/>
      <c r="S33" s="4"/>
      <c r="T33" s="4"/>
      <c r="U33" s="4"/>
      <c r="V33" s="4"/>
      <c r="W33" s="4"/>
      <c r="X33" s="5"/>
      <c r="Y33" s="5"/>
      <c r="Z33" s="5"/>
      <c r="AA33" s="5"/>
      <c r="AB33" s="5"/>
      <c r="AC33" s="5"/>
      <c r="AD33" s="5"/>
      <c r="AE33" s="5"/>
      <c r="AF33" s="5"/>
      <c r="AG33" s="5"/>
    </row>
    <row r="34" spans="2:46">
      <c r="R34" s="4"/>
      <c r="S34" s="4"/>
      <c r="T34" s="4"/>
      <c r="U34" s="4"/>
      <c r="V34" s="4"/>
      <c r="W34" s="4"/>
      <c r="X34" s="30">
        <v>2001</v>
      </c>
      <c r="Y34" s="31"/>
      <c r="Z34" s="30">
        <v>2003</v>
      </c>
      <c r="AA34" s="31"/>
      <c r="AB34" s="30">
        <v>2005</v>
      </c>
      <c r="AC34" s="32"/>
      <c r="AD34" s="30">
        <v>2007</v>
      </c>
      <c r="AE34" s="31"/>
      <c r="AF34" s="30">
        <v>2009</v>
      </c>
      <c r="AG34" s="33">
        <v>2010</v>
      </c>
      <c r="AH34" s="33">
        <v>2011</v>
      </c>
      <c r="AI34" s="33">
        <v>2012</v>
      </c>
      <c r="AJ34" s="33">
        <v>2013</v>
      </c>
      <c r="AK34" s="33">
        <v>2014</v>
      </c>
      <c r="AL34" s="33">
        <v>2015</v>
      </c>
      <c r="AM34" s="33">
        <v>2016</v>
      </c>
      <c r="AN34" s="33">
        <v>2017</v>
      </c>
      <c r="AO34" s="33">
        <v>2018</v>
      </c>
      <c r="AP34" s="33">
        <v>2019</v>
      </c>
      <c r="AQ34" s="33">
        <v>2020</v>
      </c>
    </row>
    <row r="35" spans="2:46">
      <c r="B35" s="2"/>
      <c r="R35" s="4"/>
      <c r="S35" s="4"/>
      <c r="T35" s="4"/>
      <c r="U35" s="4"/>
      <c r="V35" s="4"/>
      <c r="W35" s="4"/>
      <c r="X35" s="5"/>
      <c r="Y35" s="5"/>
      <c r="Z35" s="5"/>
      <c r="AA35" s="5"/>
      <c r="AB35" s="5"/>
      <c r="AC35" s="5"/>
      <c r="AD35" s="5"/>
      <c r="AE35" s="5"/>
      <c r="AF35" s="5"/>
      <c r="AG35" s="5"/>
      <c r="AH35" s="5"/>
    </row>
    <row r="36" spans="2:46" ht="15">
      <c r="B36" s="34" t="s">
        <v>19</v>
      </c>
      <c r="R36" s="4"/>
      <c r="S36" s="4"/>
      <c r="T36" s="4"/>
      <c r="U36" s="4"/>
      <c r="V36" s="4"/>
      <c r="W36" s="4"/>
      <c r="X36" s="35"/>
      <c r="Y36" s="36"/>
      <c r="Z36" s="36"/>
      <c r="AA36" s="36"/>
      <c r="AB36" s="36"/>
      <c r="AC36" s="36"/>
      <c r="AD36" s="36"/>
      <c r="AE36" s="36"/>
      <c r="AF36" s="36"/>
      <c r="AG36" s="36"/>
      <c r="AH36" s="35"/>
      <c r="AO36" s="165"/>
      <c r="AP36" s="165"/>
      <c r="AQ36" s="165"/>
      <c r="AR36" s="165"/>
      <c r="AS36" s="165"/>
      <c r="AT36" s="165"/>
    </row>
    <row r="37" spans="2:46" ht="15">
      <c r="B37" s="37" t="s">
        <v>20</v>
      </c>
      <c r="C37" s="37"/>
      <c r="D37" s="38">
        <v>15.835000000000001</v>
      </c>
      <c r="R37" s="4"/>
      <c r="S37" s="4"/>
      <c r="T37" s="4"/>
      <c r="U37" s="4"/>
      <c r="V37" s="4"/>
      <c r="W37" s="4"/>
      <c r="X37" s="39"/>
      <c r="Y37" s="39"/>
      <c r="Z37" s="39"/>
      <c r="AA37" s="39"/>
      <c r="AB37" s="39"/>
      <c r="AC37" s="39"/>
      <c r="AD37" s="39"/>
      <c r="AE37" s="39"/>
      <c r="AF37" s="39"/>
      <c r="AG37" s="39"/>
      <c r="AH37" s="35">
        <v>15.835000000000001</v>
      </c>
      <c r="AI37" s="40">
        <v>13.552</v>
      </c>
      <c r="AJ37" s="40">
        <v>12.243</v>
      </c>
      <c r="AK37" s="40">
        <v>21.5</v>
      </c>
      <c r="AL37" s="40">
        <v>22.7</v>
      </c>
      <c r="AM37" s="40">
        <v>25.1</v>
      </c>
      <c r="AN37" s="40">
        <v>27.6</v>
      </c>
      <c r="AO37" s="621">
        <v>31.4</v>
      </c>
      <c r="AP37" s="621">
        <v>36.6</v>
      </c>
      <c r="AQ37" s="621"/>
      <c r="AR37" s="165"/>
      <c r="AS37" s="165"/>
      <c r="AT37" s="165"/>
    </row>
    <row r="38" spans="2:46" ht="15">
      <c r="B38" s="37" t="s">
        <v>21</v>
      </c>
      <c r="C38" s="37"/>
      <c r="D38" s="38">
        <v>4.9800000000000004</v>
      </c>
      <c r="R38" s="4"/>
      <c r="S38" s="4"/>
      <c r="T38" s="4"/>
      <c r="U38" s="4"/>
      <c r="V38" s="4"/>
      <c r="W38" s="4"/>
      <c r="X38" s="39"/>
      <c r="Y38" s="39"/>
      <c r="Z38" s="39"/>
      <c r="AA38" s="39"/>
      <c r="AB38" s="39"/>
      <c r="AC38" s="39"/>
      <c r="AD38" s="39"/>
      <c r="AE38" s="39"/>
      <c r="AF38" s="39"/>
      <c r="AG38" s="39"/>
      <c r="AH38" s="35">
        <v>4.9800000000000004</v>
      </c>
      <c r="AI38" s="40">
        <v>5.0030000000000001</v>
      </c>
      <c r="AJ38" s="40">
        <v>4.84</v>
      </c>
      <c r="AK38" s="40">
        <v>5</v>
      </c>
      <c r="AL38" s="40">
        <v>5.2</v>
      </c>
      <c r="AM38" s="40">
        <v>5.5</v>
      </c>
      <c r="AN38" s="40">
        <v>5.8</v>
      </c>
      <c r="AO38" s="621">
        <v>6.2</v>
      </c>
      <c r="AP38" s="621">
        <v>6.8</v>
      </c>
      <c r="AQ38" s="621"/>
      <c r="AR38" s="165"/>
      <c r="AS38" s="165"/>
      <c r="AT38" s="165"/>
    </row>
    <row r="39" spans="2:46" ht="15">
      <c r="B39" s="37" t="s">
        <v>22</v>
      </c>
      <c r="C39" s="37"/>
      <c r="D39" s="38">
        <v>169.35300000000001</v>
      </c>
      <c r="R39" s="4"/>
      <c r="S39" s="4"/>
      <c r="T39" s="4"/>
      <c r="U39" s="4"/>
      <c r="V39" s="4"/>
      <c r="W39" s="4"/>
      <c r="X39" s="39"/>
      <c r="Y39" s="39"/>
      <c r="Z39" s="39"/>
      <c r="AA39" s="39"/>
      <c r="AB39" s="39"/>
      <c r="AC39" s="39"/>
      <c r="AD39" s="39"/>
      <c r="AE39" s="39"/>
      <c r="AF39" s="39"/>
      <c r="AG39" s="39"/>
      <c r="AH39" s="35">
        <v>169.35300000000001</v>
      </c>
      <c r="AI39" s="40">
        <v>161.52799999999999</v>
      </c>
      <c r="AJ39" s="40">
        <v>143.506</v>
      </c>
      <c r="AK39" s="40">
        <v>124</v>
      </c>
      <c r="AL39" s="40">
        <v>116.2</v>
      </c>
      <c r="AM39" s="40">
        <v>115.5</v>
      </c>
      <c r="AN39" s="40">
        <v>114.6</v>
      </c>
      <c r="AO39" s="621">
        <v>116.7</v>
      </c>
      <c r="AP39" s="621">
        <v>132</v>
      </c>
      <c r="AQ39" s="621"/>
      <c r="AR39" s="165"/>
      <c r="AS39" s="165"/>
      <c r="AT39" s="165"/>
    </row>
    <row r="40" spans="2:46" ht="15">
      <c r="B40" s="37" t="s">
        <v>23</v>
      </c>
      <c r="C40" s="37"/>
      <c r="D40" s="38">
        <v>5.8999999999999997E-2</v>
      </c>
      <c r="R40" s="4"/>
      <c r="S40" s="4"/>
      <c r="T40" s="4"/>
      <c r="U40" s="4"/>
      <c r="V40" s="4"/>
      <c r="W40" s="4"/>
      <c r="X40" s="39"/>
      <c r="Y40" s="39"/>
      <c r="Z40" s="39"/>
      <c r="AA40" s="39"/>
      <c r="AB40" s="39"/>
      <c r="AC40" s="39"/>
      <c r="AD40" s="39"/>
      <c r="AE40" s="39"/>
      <c r="AF40" s="39"/>
      <c r="AG40" s="39"/>
      <c r="AH40" s="35">
        <v>5.8999999999999997E-2</v>
      </c>
      <c r="AI40" s="40">
        <v>6.4000000000000001E-2</v>
      </c>
      <c r="AJ40" s="40">
        <v>6.8000000000000005E-2</v>
      </c>
      <c r="AK40" s="40">
        <v>0.1</v>
      </c>
      <c r="AL40" s="40">
        <v>0.1</v>
      </c>
      <c r="AM40" s="40">
        <v>0.1</v>
      </c>
      <c r="AN40" s="40">
        <v>0.1</v>
      </c>
      <c r="AO40" s="621">
        <v>0.1</v>
      </c>
      <c r="AP40" s="621">
        <v>0.1</v>
      </c>
      <c r="AQ40" s="621"/>
      <c r="AR40" s="165"/>
      <c r="AS40" s="165"/>
      <c r="AT40" s="165"/>
    </row>
    <row r="41" spans="2:46" ht="15">
      <c r="B41" s="2"/>
      <c r="R41" s="4"/>
      <c r="S41" s="4"/>
      <c r="T41" s="4"/>
      <c r="U41" s="4"/>
      <c r="V41" s="4"/>
      <c r="W41" s="4"/>
      <c r="X41" s="36"/>
      <c r="Y41" s="36"/>
      <c r="Z41" s="36"/>
      <c r="AA41" s="36"/>
      <c r="AB41" s="36"/>
      <c r="AC41" s="36"/>
      <c r="AD41" s="36"/>
      <c r="AE41" s="36"/>
      <c r="AF41" s="36"/>
      <c r="AG41" s="36"/>
      <c r="AH41" s="35"/>
      <c r="AK41" s="40"/>
      <c r="AL41" s="40"/>
      <c r="AM41" s="40"/>
      <c r="AN41" s="40"/>
      <c r="AO41" s="621"/>
      <c r="AP41" s="621"/>
      <c r="AQ41" s="621"/>
      <c r="AR41" s="165"/>
      <c r="AS41" s="165"/>
      <c r="AT41" s="165"/>
    </row>
    <row r="42" spans="2:46" ht="15">
      <c r="B42" s="2" t="s">
        <v>24</v>
      </c>
      <c r="R42" s="4"/>
      <c r="S42" s="4"/>
      <c r="T42" s="4"/>
      <c r="U42" s="4"/>
      <c r="V42" s="4"/>
      <c r="W42" s="4"/>
      <c r="X42" s="36"/>
      <c r="Y42" s="36"/>
      <c r="Z42" s="36"/>
      <c r="AA42" s="36"/>
      <c r="AB42" s="36"/>
      <c r="AC42" s="36"/>
      <c r="AD42" s="36"/>
      <c r="AE42" s="36"/>
      <c r="AF42" s="36"/>
      <c r="AG42" s="36"/>
      <c r="AH42" s="40">
        <v>190.227</v>
      </c>
      <c r="AI42" s="40">
        <v>180.14699999999999</v>
      </c>
      <c r="AJ42" s="40">
        <v>160.65700000000001</v>
      </c>
      <c r="AK42" s="40">
        <v>150.6</v>
      </c>
      <c r="AL42" s="40">
        <v>144.30000000000001</v>
      </c>
      <c r="AM42" s="40">
        <v>146.1</v>
      </c>
      <c r="AN42" s="40">
        <v>148.1</v>
      </c>
      <c r="AO42" s="622">
        <v>154.4</v>
      </c>
      <c r="AP42" s="622">
        <v>175.5</v>
      </c>
      <c r="AQ42" s="622"/>
      <c r="AR42" s="165"/>
      <c r="AS42" s="165"/>
      <c r="AT42" s="165"/>
    </row>
    <row r="43" spans="2:46" ht="0.75" customHeight="1">
      <c r="B43" s="2"/>
      <c r="R43" s="4"/>
      <c r="S43" s="4"/>
      <c r="T43" s="4"/>
      <c r="U43" s="4"/>
      <c r="V43" s="4"/>
      <c r="W43" s="4"/>
      <c r="X43" s="36"/>
      <c r="Y43" s="36"/>
      <c r="Z43" s="36"/>
      <c r="AA43" s="36"/>
      <c r="AB43" s="36"/>
      <c r="AC43" s="36"/>
      <c r="AD43" s="36"/>
      <c r="AE43" s="36"/>
      <c r="AF43" s="36"/>
      <c r="AG43" s="36"/>
      <c r="AH43" s="35"/>
      <c r="AO43" s="623"/>
      <c r="AP43" s="623"/>
      <c r="AQ43" s="623"/>
      <c r="AR43" s="165"/>
      <c r="AS43" s="165"/>
      <c r="AT43" s="165"/>
    </row>
    <row r="44" spans="2:46" ht="0.75" customHeight="1">
      <c r="B44" s="2"/>
      <c r="R44" s="4"/>
      <c r="S44" s="4"/>
      <c r="T44" s="4"/>
      <c r="U44" s="4"/>
      <c r="V44" s="4"/>
      <c r="W44" s="4"/>
      <c r="X44" s="36"/>
      <c r="Y44" s="36"/>
      <c r="Z44" s="36"/>
      <c r="AA44" s="36"/>
      <c r="AB44" s="36"/>
      <c r="AC44" s="36"/>
      <c r="AD44" s="36"/>
      <c r="AE44" s="36"/>
      <c r="AF44" s="36"/>
      <c r="AG44" s="36"/>
      <c r="AH44" s="35"/>
      <c r="AO44" s="623"/>
      <c r="AP44" s="623"/>
      <c r="AQ44" s="623"/>
      <c r="AR44" s="165"/>
      <c r="AS44" s="165"/>
      <c r="AT44" s="165"/>
    </row>
    <row r="45" spans="2:46" ht="0.75" customHeight="1">
      <c r="B45" s="42"/>
      <c r="C45" s="9"/>
      <c r="R45" s="4"/>
      <c r="S45" s="4"/>
      <c r="T45" s="4"/>
      <c r="U45" s="4"/>
      <c r="V45" s="4"/>
      <c r="W45" s="4"/>
      <c r="X45" s="36"/>
      <c r="Y45" s="36"/>
      <c r="Z45" s="36"/>
      <c r="AA45" s="36"/>
      <c r="AB45" s="36"/>
      <c r="AC45" s="36"/>
      <c r="AD45" s="36"/>
      <c r="AE45" s="36"/>
      <c r="AF45" s="36"/>
      <c r="AG45" s="36"/>
      <c r="AH45" s="35"/>
      <c r="AO45" s="623"/>
      <c r="AP45" s="623"/>
      <c r="AQ45" s="623"/>
      <c r="AR45" s="165"/>
      <c r="AS45" s="165"/>
      <c r="AT45" s="165"/>
    </row>
    <row r="46" spans="2:46" s="43" customFormat="1" ht="0.75" customHeight="1">
      <c r="B46" s="2"/>
      <c r="C46" s="1"/>
      <c r="O46" s="44"/>
      <c r="P46" s="45"/>
      <c r="Q46" s="46"/>
      <c r="R46" s="45"/>
      <c r="S46" s="45"/>
      <c r="T46" s="45"/>
      <c r="U46" s="45"/>
      <c r="V46" s="45"/>
      <c r="W46" s="45"/>
      <c r="X46" s="36"/>
      <c r="Y46" s="36"/>
      <c r="Z46" s="36"/>
      <c r="AA46" s="36"/>
      <c r="AB46" s="36"/>
      <c r="AC46" s="36"/>
      <c r="AD46" s="36"/>
      <c r="AE46" s="36"/>
      <c r="AF46" s="36"/>
      <c r="AG46" s="36"/>
      <c r="AH46" s="35"/>
      <c r="AI46" s="47"/>
      <c r="AJ46" s="47"/>
      <c r="AK46" s="47"/>
      <c r="AL46" s="47"/>
      <c r="AM46" s="47"/>
      <c r="AO46" s="209"/>
      <c r="AP46" s="209"/>
      <c r="AQ46" s="209"/>
      <c r="AR46" s="167"/>
      <c r="AS46" s="167"/>
      <c r="AT46" s="167"/>
    </row>
    <row r="47" spans="2:46" s="43" customFormat="1" ht="0.75" customHeight="1">
      <c r="B47" s="2"/>
      <c r="C47" s="1"/>
      <c r="O47" s="44"/>
      <c r="P47" s="45"/>
      <c r="Q47" s="46"/>
      <c r="R47" s="45"/>
      <c r="S47" s="45"/>
      <c r="T47" s="45"/>
      <c r="U47" s="45"/>
      <c r="V47" s="45"/>
      <c r="W47" s="45"/>
      <c r="X47" s="36"/>
      <c r="Y47" s="36"/>
      <c r="Z47" s="36"/>
      <c r="AA47" s="36"/>
      <c r="AB47" s="36"/>
      <c r="AC47" s="36"/>
      <c r="AD47" s="36"/>
      <c r="AE47" s="36"/>
      <c r="AF47" s="36"/>
      <c r="AG47" s="36"/>
      <c r="AH47" s="48"/>
      <c r="AI47" s="47"/>
      <c r="AJ47" s="47"/>
      <c r="AK47" s="47"/>
      <c r="AL47" s="47"/>
      <c r="AM47" s="47"/>
      <c r="AO47" s="209"/>
      <c r="AP47" s="209"/>
      <c r="AQ47" s="209"/>
      <c r="AR47" s="167"/>
      <c r="AS47" s="167"/>
      <c r="AT47" s="167"/>
    </row>
    <row r="48" spans="2:46" s="43" customFormat="1" ht="0.75" customHeight="1">
      <c r="B48" s="2"/>
      <c r="C48" s="1"/>
      <c r="O48" s="44"/>
      <c r="P48" s="45"/>
      <c r="Q48" s="46"/>
      <c r="R48" s="45"/>
      <c r="S48" s="45"/>
      <c r="T48" s="45"/>
      <c r="U48" s="45"/>
      <c r="V48" s="45"/>
      <c r="W48" s="45"/>
      <c r="X48" s="36"/>
      <c r="Y48" s="36"/>
      <c r="Z48" s="36"/>
      <c r="AA48" s="36"/>
      <c r="AB48" s="36"/>
      <c r="AC48" s="36"/>
      <c r="AD48" s="36"/>
      <c r="AE48" s="36"/>
      <c r="AF48" s="36"/>
      <c r="AG48" s="36"/>
      <c r="AH48" s="36"/>
      <c r="AI48" s="47"/>
      <c r="AJ48" s="47"/>
      <c r="AK48" s="47"/>
      <c r="AL48" s="47"/>
      <c r="AM48" s="47"/>
      <c r="AO48" s="209"/>
      <c r="AP48" s="209"/>
      <c r="AQ48" s="209"/>
      <c r="AR48" s="167"/>
      <c r="AS48" s="167"/>
      <c r="AT48" s="167"/>
    </row>
    <row r="49" spans="2:46" s="43" customFormat="1" ht="0.75" customHeight="1">
      <c r="B49" s="2"/>
      <c r="C49" s="1"/>
      <c r="O49" s="44"/>
      <c r="P49" s="45"/>
      <c r="Q49" s="46"/>
      <c r="R49" s="45"/>
      <c r="S49" s="45"/>
      <c r="T49" s="45"/>
      <c r="U49" s="45"/>
      <c r="V49" s="45"/>
      <c r="W49" s="45"/>
      <c r="X49" s="36"/>
      <c r="Y49" s="36"/>
      <c r="Z49" s="36"/>
      <c r="AA49" s="36"/>
      <c r="AB49" s="36"/>
      <c r="AC49" s="36"/>
      <c r="AD49" s="36"/>
      <c r="AE49" s="36"/>
      <c r="AF49" s="36"/>
      <c r="AG49" s="36"/>
      <c r="AH49" s="36"/>
      <c r="AI49" s="47"/>
      <c r="AJ49" s="47"/>
      <c r="AK49" s="47"/>
      <c r="AL49" s="47"/>
      <c r="AM49" s="47"/>
      <c r="AO49" s="209"/>
      <c r="AP49" s="209"/>
      <c r="AQ49" s="209"/>
      <c r="AR49" s="167"/>
      <c r="AS49" s="167"/>
      <c r="AT49" s="167"/>
    </row>
    <row r="50" spans="2:46" s="43" customFormat="1" ht="0.75" customHeight="1">
      <c r="B50" s="2"/>
      <c r="C50" s="1"/>
      <c r="O50" s="44"/>
      <c r="P50" s="45"/>
      <c r="Q50" s="46"/>
      <c r="R50" s="45"/>
      <c r="S50" s="45"/>
      <c r="T50" s="45"/>
      <c r="U50" s="45"/>
      <c r="V50" s="45"/>
      <c r="W50" s="45"/>
      <c r="X50" s="36"/>
      <c r="Y50" s="36"/>
      <c r="Z50" s="36"/>
      <c r="AA50" s="36"/>
      <c r="AB50" s="36"/>
      <c r="AC50" s="36"/>
      <c r="AD50" s="36"/>
      <c r="AE50" s="36"/>
      <c r="AF50" s="36"/>
      <c r="AG50" s="36"/>
      <c r="AH50" s="36"/>
      <c r="AI50" s="47"/>
      <c r="AJ50" s="47"/>
      <c r="AK50" s="47"/>
      <c r="AL50" s="47"/>
      <c r="AM50" s="47"/>
      <c r="AO50" s="209"/>
      <c r="AP50" s="209"/>
      <c r="AQ50" s="209"/>
      <c r="AR50" s="167"/>
      <c r="AS50" s="167"/>
      <c r="AT50" s="167"/>
    </row>
    <row r="51" spans="2:46" s="43" customFormat="1" ht="0.75" customHeight="1">
      <c r="B51" s="2"/>
      <c r="C51" s="1"/>
      <c r="O51" s="44"/>
      <c r="P51" s="45"/>
      <c r="Q51" s="46"/>
      <c r="R51" s="45"/>
      <c r="S51" s="45"/>
      <c r="T51" s="45"/>
      <c r="U51" s="45"/>
      <c r="V51" s="45"/>
      <c r="W51" s="45"/>
      <c r="X51" s="36"/>
      <c r="Y51" s="36"/>
      <c r="Z51" s="36"/>
      <c r="AA51" s="36"/>
      <c r="AB51" s="36"/>
      <c r="AC51" s="36"/>
      <c r="AD51" s="36"/>
      <c r="AE51" s="36"/>
      <c r="AF51" s="36"/>
      <c r="AG51" s="36"/>
      <c r="AH51" s="36"/>
      <c r="AI51" s="47"/>
      <c r="AJ51" s="47"/>
      <c r="AK51" s="47"/>
      <c r="AL51" s="47"/>
      <c r="AM51" s="47"/>
      <c r="AO51" s="209"/>
      <c r="AP51" s="209"/>
      <c r="AQ51" s="209"/>
      <c r="AR51" s="167"/>
      <c r="AS51" s="167"/>
      <c r="AT51" s="167"/>
    </row>
    <row r="52" spans="2:46" s="43" customFormat="1" ht="0.75" customHeight="1">
      <c r="B52" s="2"/>
      <c r="C52" s="1"/>
      <c r="O52" s="44"/>
      <c r="P52" s="45"/>
      <c r="Q52" s="46"/>
      <c r="R52" s="45"/>
      <c r="S52" s="45"/>
      <c r="T52" s="45"/>
      <c r="U52" s="45"/>
      <c r="V52" s="45"/>
      <c r="W52" s="45"/>
      <c r="X52" s="36"/>
      <c r="Y52" s="36"/>
      <c r="Z52" s="36"/>
      <c r="AA52" s="36"/>
      <c r="AB52" s="36"/>
      <c r="AC52" s="36"/>
      <c r="AD52" s="36"/>
      <c r="AE52" s="36"/>
      <c r="AF52" s="36"/>
      <c r="AG52" s="36"/>
      <c r="AH52" s="36"/>
      <c r="AI52" s="47"/>
      <c r="AJ52" s="47"/>
      <c r="AK52" s="47"/>
      <c r="AL52" s="47"/>
      <c r="AM52" s="47"/>
      <c r="AO52" s="209"/>
      <c r="AP52" s="209"/>
      <c r="AQ52" s="209"/>
      <c r="AR52" s="167"/>
      <c r="AS52" s="167"/>
      <c r="AT52" s="167"/>
    </row>
    <row r="53" spans="2:46" s="43" customFormat="1" ht="0.75" customHeight="1">
      <c r="B53" s="2"/>
      <c r="C53" s="1"/>
      <c r="O53" s="44"/>
      <c r="P53" s="45"/>
      <c r="Q53" s="46"/>
      <c r="R53" s="45"/>
      <c r="S53" s="45"/>
      <c r="T53" s="45"/>
      <c r="U53" s="45"/>
      <c r="V53" s="45"/>
      <c r="W53" s="45"/>
      <c r="X53" s="36"/>
      <c r="Y53" s="36"/>
      <c r="Z53" s="36"/>
      <c r="AA53" s="36"/>
      <c r="AB53" s="36"/>
      <c r="AC53" s="36"/>
      <c r="AD53" s="36"/>
      <c r="AE53" s="36"/>
      <c r="AF53" s="36"/>
      <c r="AG53" s="36"/>
      <c r="AH53" s="36"/>
      <c r="AI53" s="47"/>
      <c r="AJ53" s="47"/>
      <c r="AK53" s="47"/>
      <c r="AL53" s="47"/>
      <c r="AM53" s="47"/>
      <c r="AO53" s="209"/>
      <c r="AP53" s="209"/>
      <c r="AQ53" s="209"/>
      <c r="AR53" s="167"/>
      <c r="AS53" s="167"/>
      <c r="AT53" s="167"/>
    </row>
    <row r="54" spans="2:46" s="43" customFormat="1" ht="0.75" customHeight="1">
      <c r="B54" s="2"/>
      <c r="C54" s="1"/>
      <c r="O54" s="44"/>
      <c r="P54" s="45"/>
      <c r="Q54" s="46"/>
      <c r="R54" s="45"/>
      <c r="S54" s="45"/>
      <c r="T54" s="45"/>
      <c r="U54" s="45"/>
      <c r="V54" s="45"/>
      <c r="W54" s="45"/>
      <c r="X54" s="36"/>
      <c r="Y54" s="36"/>
      <c r="Z54" s="36"/>
      <c r="AA54" s="36"/>
      <c r="AB54" s="36"/>
      <c r="AC54" s="36"/>
      <c r="AD54" s="36"/>
      <c r="AE54" s="36"/>
      <c r="AF54" s="36"/>
      <c r="AG54" s="36"/>
      <c r="AH54" s="36"/>
      <c r="AI54" s="47"/>
      <c r="AJ54" s="47"/>
      <c r="AK54" s="47"/>
      <c r="AL54" s="47"/>
      <c r="AM54" s="47"/>
      <c r="AO54" s="209"/>
      <c r="AP54" s="209"/>
      <c r="AQ54" s="209"/>
      <c r="AR54" s="167"/>
      <c r="AS54" s="167"/>
      <c r="AT54" s="167"/>
    </row>
    <row r="55" spans="2:46" s="43" customFormat="1" ht="0.75" customHeight="1">
      <c r="B55" s="2"/>
      <c r="C55" s="1"/>
      <c r="O55" s="44"/>
      <c r="P55" s="45"/>
      <c r="Q55" s="46"/>
      <c r="R55" s="45"/>
      <c r="S55" s="45"/>
      <c r="T55" s="45"/>
      <c r="U55" s="45"/>
      <c r="V55" s="45"/>
      <c r="W55" s="45"/>
      <c r="X55" s="36"/>
      <c r="Y55" s="36"/>
      <c r="Z55" s="36"/>
      <c r="AA55" s="36"/>
      <c r="AB55" s="36"/>
      <c r="AC55" s="36"/>
      <c r="AD55" s="36"/>
      <c r="AE55" s="36"/>
      <c r="AF55" s="36"/>
      <c r="AG55" s="36"/>
      <c r="AH55" s="36"/>
      <c r="AI55" s="47"/>
      <c r="AJ55" s="47"/>
      <c r="AK55" s="47"/>
      <c r="AL55" s="47"/>
      <c r="AM55" s="47"/>
      <c r="AO55" s="209"/>
      <c r="AP55" s="209"/>
      <c r="AQ55" s="209"/>
      <c r="AR55" s="167"/>
      <c r="AS55" s="167"/>
      <c r="AT55" s="167"/>
    </row>
    <row r="56" spans="2:46" s="43" customFormat="1" ht="0.75" customHeight="1">
      <c r="B56" s="2"/>
      <c r="C56" s="1"/>
      <c r="O56" s="44"/>
      <c r="P56" s="45"/>
      <c r="Q56" s="46"/>
      <c r="R56" s="45"/>
      <c r="S56" s="45"/>
      <c r="T56" s="45"/>
      <c r="U56" s="45"/>
      <c r="V56" s="45"/>
      <c r="W56" s="45"/>
      <c r="X56" s="31"/>
      <c r="Y56" s="31"/>
      <c r="Z56" s="31"/>
      <c r="AA56" s="31"/>
      <c r="AB56" s="31"/>
      <c r="AC56" s="31"/>
      <c r="AD56" s="31"/>
      <c r="AE56" s="31"/>
      <c r="AF56" s="31"/>
      <c r="AG56" s="49"/>
      <c r="AH56" s="47"/>
      <c r="AI56" s="47"/>
      <c r="AJ56" s="47"/>
      <c r="AK56" s="47"/>
      <c r="AL56" s="47"/>
      <c r="AM56" s="47"/>
      <c r="AO56" s="209"/>
      <c r="AP56" s="209"/>
      <c r="AQ56" s="209"/>
      <c r="AR56" s="167"/>
      <c r="AS56" s="167"/>
      <c r="AT56" s="167"/>
    </row>
    <row r="57" spans="2:46" s="43" customFormat="1" ht="0.75" customHeight="1">
      <c r="O57" s="44"/>
      <c r="P57" s="45"/>
      <c r="Q57" s="46"/>
      <c r="R57" s="45"/>
      <c r="S57" s="45"/>
      <c r="T57" s="45"/>
      <c r="U57" s="45"/>
      <c r="V57" s="45"/>
      <c r="W57" s="45"/>
      <c r="X57" s="31"/>
      <c r="Y57" s="31"/>
      <c r="Z57" s="31"/>
      <c r="AA57" s="31"/>
      <c r="AB57" s="31"/>
      <c r="AC57" s="31"/>
      <c r="AD57" s="31"/>
      <c r="AE57" s="31"/>
      <c r="AF57" s="31"/>
      <c r="AG57" s="49"/>
      <c r="AH57" s="47"/>
      <c r="AI57" s="47"/>
      <c r="AJ57" s="47"/>
      <c r="AK57" s="47"/>
      <c r="AL57" s="47"/>
      <c r="AM57" s="47"/>
      <c r="AO57" s="209"/>
      <c r="AP57" s="209"/>
      <c r="AQ57" s="209"/>
      <c r="AR57" s="167"/>
      <c r="AS57" s="167"/>
      <c r="AT57" s="167"/>
    </row>
    <row r="58" spans="2:46" s="43" customFormat="1">
      <c r="B58" s="43" t="s">
        <v>25</v>
      </c>
      <c r="C58" s="624"/>
      <c r="O58" s="44"/>
      <c r="P58" s="45"/>
      <c r="Q58" s="46"/>
      <c r="R58" s="45"/>
      <c r="S58" s="45"/>
      <c r="T58" s="45"/>
      <c r="U58" s="45"/>
      <c r="V58" s="45"/>
      <c r="W58" s="45"/>
      <c r="X58" s="31"/>
      <c r="Y58" s="31"/>
      <c r="Z58" s="31"/>
      <c r="AA58" s="31"/>
      <c r="AB58" s="31"/>
      <c r="AC58" s="31"/>
      <c r="AD58" s="31"/>
      <c r="AE58" s="31"/>
      <c r="AF58" s="31"/>
      <c r="AG58" s="49"/>
      <c r="AH58" s="47"/>
      <c r="AI58" s="47"/>
      <c r="AJ58" s="47"/>
      <c r="AK58" s="47"/>
      <c r="AL58" s="47"/>
      <c r="AM58" s="47"/>
      <c r="AR58" s="167"/>
      <c r="AS58" s="167"/>
      <c r="AT58" s="167"/>
    </row>
    <row r="59" spans="2:46" s="43" customFormat="1">
      <c r="O59" s="44"/>
      <c r="P59" s="45"/>
      <c r="Q59" s="46"/>
      <c r="R59" s="45"/>
      <c r="S59" s="45"/>
      <c r="T59" s="45"/>
      <c r="U59" s="45"/>
      <c r="V59" s="45"/>
      <c r="W59" s="45"/>
      <c r="X59" s="31"/>
      <c r="Y59" s="31"/>
      <c r="Z59" s="31"/>
      <c r="AA59" s="31"/>
      <c r="AB59" s="31"/>
      <c r="AC59" s="31"/>
      <c r="AD59" s="31"/>
      <c r="AE59" s="31"/>
      <c r="AF59" s="31"/>
      <c r="AG59" s="49"/>
      <c r="AH59" s="47"/>
      <c r="AI59" s="47"/>
      <c r="AJ59" s="47"/>
      <c r="AK59" s="47"/>
      <c r="AL59" s="47"/>
      <c r="AM59" s="47"/>
      <c r="AO59" s="167"/>
      <c r="AP59" s="167"/>
      <c r="AQ59" s="167"/>
      <c r="AR59" s="167"/>
      <c r="AS59" s="167"/>
      <c r="AT59" s="167"/>
    </row>
    <row r="60" spans="2:46" s="43" customFormat="1" outlineLevel="1">
      <c r="B60" s="15" t="s">
        <v>26</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49"/>
      <c r="AH60" s="47"/>
      <c r="AI60" s="47"/>
      <c r="AJ60" s="47"/>
      <c r="AK60" s="47"/>
      <c r="AL60" s="47"/>
      <c r="AM60" s="47"/>
      <c r="AO60" s="167"/>
      <c r="AP60" s="167"/>
      <c r="AQ60" s="167"/>
      <c r="AR60" s="167"/>
      <c r="AS60" s="167"/>
      <c r="AT60" s="167"/>
    </row>
    <row r="61" spans="2:46" s="43" customFormat="1" outlineLevel="1">
      <c r="B61" s="50" t="s">
        <v>27</v>
      </c>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9"/>
      <c r="AH61" s="47"/>
      <c r="AI61" s="47"/>
      <c r="AJ61" s="47"/>
      <c r="AK61" s="47"/>
      <c r="AL61" s="47"/>
      <c r="AM61" s="47"/>
      <c r="AO61" s="167"/>
      <c r="AP61" s="167"/>
      <c r="AQ61" s="167"/>
      <c r="AR61" s="167"/>
      <c r="AS61" s="167"/>
      <c r="AT61" s="167"/>
    </row>
    <row r="62" spans="2:46" s="43" customFormat="1" outlineLevel="1">
      <c r="B62" s="51"/>
      <c r="C62" s="51"/>
      <c r="D62" s="51"/>
      <c r="E62" s="51"/>
      <c r="F62" s="51"/>
      <c r="G62" s="51"/>
      <c r="H62" s="51"/>
      <c r="I62" s="51"/>
      <c r="J62" s="51"/>
      <c r="K62" s="51"/>
      <c r="L62" s="51"/>
      <c r="M62" s="51"/>
      <c r="N62" s="51"/>
      <c r="O62" s="52"/>
      <c r="P62" s="53"/>
      <c r="Q62" s="53"/>
      <c r="R62" s="53"/>
      <c r="S62" s="53"/>
      <c r="T62" s="53"/>
      <c r="U62" s="53"/>
      <c r="V62" s="53"/>
      <c r="W62" s="53"/>
      <c r="X62" s="54"/>
      <c r="Y62" s="31"/>
      <c r="Z62" s="31"/>
      <c r="AA62" s="31"/>
      <c r="AB62" s="31"/>
      <c r="AC62" s="31"/>
      <c r="AD62" s="31"/>
      <c r="AE62" s="31"/>
      <c r="AF62" s="31"/>
      <c r="AG62" s="49"/>
      <c r="AH62" s="47"/>
      <c r="AI62" s="47"/>
      <c r="AJ62" s="47"/>
      <c r="AK62" s="47"/>
      <c r="AL62" s="47"/>
      <c r="AM62" s="47"/>
      <c r="AO62" s="167"/>
      <c r="AP62" s="167"/>
      <c r="AQ62" s="167"/>
      <c r="AR62" s="167"/>
      <c r="AS62" s="167"/>
      <c r="AT62" s="167"/>
    </row>
    <row r="63" spans="2:46" s="43" customFormat="1" outlineLevel="1">
      <c r="B63" s="1" t="s">
        <v>1697</v>
      </c>
      <c r="C63" s="1"/>
      <c r="D63" s="1"/>
      <c r="O63" s="44"/>
      <c r="P63" s="45"/>
      <c r="Q63" s="46"/>
      <c r="R63" s="45"/>
      <c r="S63" s="45"/>
      <c r="T63" s="45"/>
      <c r="U63" s="45"/>
      <c r="V63" s="45"/>
      <c r="W63" s="45"/>
      <c r="X63" s="55">
        <v>2001</v>
      </c>
      <c r="Y63" s="56"/>
      <c r="Z63" s="33">
        <v>2003</v>
      </c>
      <c r="AA63" s="56"/>
      <c r="AB63" s="33">
        <v>2005</v>
      </c>
      <c r="AC63" s="56"/>
      <c r="AD63" s="33">
        <v>2007</v>
      </c>
      <c r="AE63" s="56"/>
      <c r="AF63" s="33">
        <v>2009</v>
      </c>
      <c r="AG63" s="33">
        <v>2010</v>
      </c>
      <c r="AH63" s="33">
        <v>2011</v>
      </c>
      <c r="AI63" s="33">
        <v>2012</v>
      </c>
      <c r="AJ63" s="33">
        <v>2013</v>
      </c>
      <c r="AK63" s="33">
        <v>2014</v>
      </c>
      <c r="AL63" s="33">
        <v>2015</v>
      </c>
      <c r="AM63" s="33">
        <v>2016</v>
      </c>
      <c r="AN63" s="33">
        <v>2017</v>
      </c>
      <c r="AO63" s="202">
        <v>2018</v>
      </c>
      <c r="AP63" s="202">
        <v>2019</v>
      </c>
      <c r="AQ63" s="202">
        <v>2020</v>
      </c>
      <c r="AR63" s="167"/>
      <c r="AS63" s="167"/>
      <c r="AT63" s="167"/>
    </row>
    <row r="64" spans="2:46" s="43" customFormat="1" outlineLevel="1">
      <c r="B64" s="1" t="s">
        <v>1698</v>
      </c>
      <c r="C64" s="1"/>
      <c r="D64" s="1"/>
      <c r="O64" s="44"/>
      <c r="P64" s="45"/>
      <c r="Q64" s="46"/>
      <c r="R64" s="45"/>
      <c r="S64" s="45"/>
      <c r="T64" s="45"/>
      <c r="U64" s="45"/>
      <c r="V64" s="45"/>
      <c r="W64" s="45"/>
      <c r="X64" s="2"/>
      <c r="Y64" s="57"/>
      <c r="Z64" s="2"/>
      <c r="AA64" s="57"/>
      <c r="AB64" s="2"/>
      <c r="AC64" s="2"/>
      <c r="AD64" s="2"/>
      <c r="AE64" s="57"/>
      <c r="AF64" s="2"/>
      <c r="AG64" s="2"/>
      <c r="AH64" s="2"/>
      <c r="AI64" s="47"/>
      <c r="AJ64" s="47"/>
      <c r="AK64" s="47"/>
      <c r="AL64" s="47"/>
      <c r="AM64" s="47"/>
      <c r="AO64" s="167"/>
      <c r="AP64" s="167"/>
      <c r="AQ64" s="167"/>
      <c r="AR64" s="167"/>
      <c r="AS64" s="167"/>
      <c r="AT64" s="167"/>
    </row>
    <row r="65" spans="2:46" s="43" customFormat="1" outlineLevel="1">
      <c r="B65" s="58" t="s">
        <v>28</v>
      </c>
      <c r="C65" s="1" t="s">
        <v>29</v>
      </c>
      <c r="D65" s="1"/>
      <c r="O65" s="44"/>
      <c r="P65" s="45"/>
      <c r="Q65" s="46"/>
      <c r="R65" s="45"/>
      <c r="S65" s="45"/>
      <c r="T65" s="45"/>
      <c r="U65" s="45"/>
      <c r="V65" s="45"/>
      <c r="W65" s="45"/>
      <c r="X65" s="59"/>
      <c r="Y65" s="2"/>
      <c r="Z65" s="59"/>
      <c r="AA65" s="2"/>
      <c r="AB65" s="59"/>
      <c r="AC65" s="59"/>
      <c r="AD65" s="12"/>
      <c r="AE65" s="2"/>
      <c r="AF65" s="12">
        <v>19934.503000000001</v>
      </c>
      <c r="AG65" s="12">
        <v>20422.210999999999</v>
      </c>
      <c r="AH65" s="12">
        <v>20949.440999999999</v>
      </c>
      <c r="AI65" s="12">
        <v>20840.769</v>
      </c>
      <c r="AJ65" s="12">
        <v>20449.406999999999</v>
      </c>
      <c r="AK65" s="12">
        <v>20692.925999999999</v>
      </c>
      <c r="AL65" s="12">
        <v>20984.964</v>
      </c>
      <c r="AM65" s="12">
        <v>21838.937999999998</v>
      </c>
      <c r="AN65" s="12">
        <v>22598.409</v>
      </c>
      <c r="AO65" s="166">
        <v>23869.68</v>
      </c>
      <c r="AP65" s="166">
        <v>25350.260999999999</v>
      </c>
      <c r="AQ65" s="166">
        <v>23562.423999999999</v>
      </c>
      <c r="AR65" s="167"/>
      <c r="AS65" s="167"/>
      <c r="AT65" s="167"/>
    </row>
    <row r="66" spans="2:46" s="43" customFormat="1" ht="5.0999999999999996" customHeight="1" outlineLevel="1">
      <c r="B66" s="1"/>
      <c r="C66" s="1"/>
      <c r="D66" s="1"/>
      <c r="O66" s="44"/>
      <c r="P66" s="45"/>
      <c r="Q66" s="46"/>
      <c r="R66" s="45"/>
      <c r="S66" s="45"/>
      <c r="T66" s="45"/>
      <c r="U66" s="45"/>
      <c r="V66" s="45"/>
      <c r="W66" s="45"/>
      <c r="X66" s="59"/>
      <c r="Y66" s="2"/>
      <c r="Z66" s="59"/>
      <c r="AA66" s="2"/>
      <c r="AB66" s="59"/>
      <c r="AC66" s="59"/>
      <c r="AD66" s="12"/>
      <c r="AE66" s="2"/>
      <c r="AF66" s="12"/>
      <c r="AG66" s="12"/>
      <c r="AH66" s="12"/>
      <c r="AI66" s="12"/>
      <c r="AJ66" s="12"/>
      <c r="AK66" s="12"/>
      <c r="AL66" s="12"/>
      <c r="AM66" s="12"/>
      <c r="AN66" s="12"/>
      <c r="AO66" s="166"/>
      <c r="AP66" s="166"/>
      <c r="AQ66" s="166"/>
      <c r="AR66" s="167"/>
      <c r="AS66" s="167"/>
      <c r="AT66" s="167"/>
    </row>
    <row r="67" spans="2:46" s="43" customFormat="1" outlineLevel="1">
      <c r="B67" s="58" t="s">
        <v>30</v>
      </c>
      <c r="C67" s="1" t="s">
        <v>31</v>
      </c>
      <c r="D67" s="1"/>
      <c r="O67" s="44"/>
      <c r="P67" s="45"/>
      <c r="Q67" s="46"/>
      <c r="R67" s="45"/>
      <c r="S67" s="45"/>
      <c r="T67" s="45"/>
      <c r="U67" s="45"/>
      <c r="V67" s="45"/>
      <c r="W67" s="45"/>
      <c r="X67" s="59"/>
      <c r="Y67" s="2"/>
      <c r="Z67" s="59"/>
      <c r="AA67" s="2"/>
      <c r="AB67" s="59"/>
      <c r="AC67" s="59"/>
      <c r="AD67" s="12"/>
      <c r="AE67" s="2"/>
      <c r="AF67" s="12">
        <v>22790.5</v>
      </c>
      <c r="AG67" s="12">
        <v>23286.775999999998</v>
      </c>
      <c r="AH67" s="12">
        <v>23899.969000000001</v>
      </c>
      <c r="AI67" s="12">
        <v>23673.816999999999</v>
      </c>
      <c r="AJ67" s="12">
        <v>23281.623999999996</v>
      </c>
      <c r="AK67" s="12">
        <v>23545.87</v>
      </c>
      <c r="AL67" s="12">
        <v>24002.972000000002</v>
      </c>
      <c r="AM67" s="12">
        <v>24954.956999999999</v>
      </c>
      <c r="AN67" s="12">
        <v>25721.017</v>
      </c>
      <c r="AO67" s="166">
        <v>27181.182000000001</v>
      </c>
      <c r="AP67" s="166">
        <v>28760.763999999999</v>
      </c>
      <c r="AQ67" s="166">
        <v>27149.344999999998</v>
      </c>
      <c r="AR67" s="167"/>
      <c r="AS67" s="167"/>
      <c r="AT67" s="167"/>
    </row>
    <row r="68" spans="2:46" s="43" customFormat="1" ht="5.0999999999999996" customHeight="1" outlineLevel="1">
      <c r="B68" s="1"/>
      <c r="C68" s="1"/>
      <c r="D68" s="1"/>
      <c r="O68" s="44"/>
      <c r="P68" s="45"/>
      <c r="Q68" s="46"/>
      <c r="R68" s="45"/>
      <c r="S68" s="45"/>
      <c r="T68" s="45"/>
      <c r="U68" s="45"/>
      <c r="V68" s="45"/>
      <c r="W68" s="45"/>
      <c r="X68" s="2"/>
      <c r="Y68" s="2"/>
      <c r="Z68" s="2"/>
      <c r="AA68" s="2"/>
      <c r="AB68" s="2"/>
      <c r="AC68" s="2"/>
      <c r="AD68" s="42"/>
      <c r="AE68" s="2"/>
      <c r="AF68" s="42"/>
      <c r="AG68" s="42"/>
      <c r="AH68" s="42"/>
      <c r="AI68" s="42"/>
      <c r="AJ68" s="42"/>
      <c r="AK68" s="42"/>
      <c r="AL68" s="42"/>
      <c r="AM68" s="42"/>
      <c r="AN68" s="42"/>
      <c r="AO68" s="75"/>
      <c r="AP68" s="75"/>
      <c r="AQ68" s="75"/>
      <c r="AR68" s="167"/>
      <c r="AS68" s="167"/>
      <c r="AT68" s="167"/>
    </row>
    <row r="69" spans="2:46" s="43" customFormat="1" outlineLevel="1">
      <c r="B69" s="58" t="s">
        <v>32</v>
      </c>
      <c r="C69" s="1" t="s">
        <v>33</v>
      </c>
      <c r="D69" s="1"/>
      <c r="O69" s="44"/>
      <c r="P69" s="45"/>
      <c r="Q69" s="46"/>
      <c r="R69" s="45"/>
      <c r="S69" s="45"/>
      <c r="T69" s="45"/>
      <c r="U69" s="45"/>
      <c r="V69" s="45"/>
      <c r="W69" s="45"/>
      <c r="X69" s="59"/>
      <c r="Y69" s="2"/>
      <c r="Z69" s="59"/>
      <c r="AA69" s="2"/>
      <c r="AB69" s="59"/>
      <c r="AC69" s="59"/>
      <c r="AD69" s="12"/>
      <c r="AE69" s="2"/>
      <c r="AF69" s="12">
        <f t="shared" ref="AF69:AQ69" si="13">SUM(AF71:AF72)</f>
        <v>4364.4089999999997</v>
      </c>
      <c r="AG69" s="12">
        <f t="shared" si="13"/>
        <v>4482.0860000000002</v>
      </c>
      <c r="AH69" s="12">
        <f t="shared" si="13"/>
        <v>4542.6959999999999</v>
      </c>
      <c r="AI69" s="12">
        <f t="shared" si="13"/>
        <v>4526.2069999999994</v>
      </c>
      <c r="AJ69" s="12">
        <f t="shared" si="13"/>
        <v>4627.0659999999998</v>
      </c>
      <c r="AK69" s="12">
        <f t="shared" si="13"/>
        <v>4756.1109999999999</v>
      </c>
      <c r="AL69" s="12">
        <f t="shared" si="13"/>
        <v>4848.3860000000004</v>
      </c>
      <c r="AM69" s="12">
        <f t="shared" si="13"/>
        <v>4989.9639999999999</v>
      </c>
      <c r="AN69" s="12">
        <f t="shared" si="13"/>
        <v>5191.3289999999997</v>
      </c>
      <c r="AO69" s="166">
        <f t="shared" si="13"/>
        <v>5446.7380000000003</v>
      </c>
      <c r="AP69" s="166">
        <f t="shared" si="13"/>
        <v>5561.3439999999991</v>
      </c>
      <c r="AQ69" s="166">
        <f t="shared" si="13"/>
        <v>4983.3490000000002</v>
      </c>
      <c r="AR69" s="167"/>
      <c r="AS69" s="167"/>
      <c r="AT69" s="167"/>
    </row>
    <row r="70" spans="2:46" s="43" customFormat="1" ht="5.0999999999999996" customHeight="1" outlineLevel="1">
      <c r="B70" s="1"/>
      <c r="C70" s="1"/>
      <c r="D70" s="1"/>
      <c r="O70" s="44"/>
      <c r="P70" s="45"/>
      <c r="Q70" s="46"/>
      <c r="R70" s="45"/>
      <c r="S70" s="45"/>
      <c r="T70" s="45"/>
      <c r="U70" s="45"/>
      <c r="V70" s="45"/>
      <c r="W70" s="45"/>
      <c r="X70" s="2"/>
      <c r="Y70" s="2"/>
      <c r="Z70" s="2"/>
      <c r="AA70" s="2"/>
      <c r="AB70" s="2"/>
      <c r="AC70" s="2"/>
      <c r="AD70" s="42"/>
      <c r="AE70" s="2"/>
      <c r="AF70" s="42"/>
      <c r="AG70" s="42"/>
      <c r="AH70" s="42"/>
      <c r="AI70" s="42"/>
      <c r="AJ70" s="42"/>
      <c r="AK70" s="42"/>
      <c r="AL70" s="42"/>
      <c r="AM70" s="42"/>
      <c r="AN70" s="42"/>
      <c r="AO70" s="75"/>
      <c r="AP70" s="75"/>
      <c r="AQ70" s="75"/>
      <c r="AR70" s="167"/>
      <c r="AS70" s="167"/>
      <c r="AT70" s="167"/>
    </row>
    <row r="71" spans="2:46" s="43" customFormat="1" outlineLevel="1">
      <c r="B71" s="1"/>
      <c r="C71" s="1" t="s">
        <v>34</v>
      </c>
      <c r="D71" s="1"/>
      <c r="O71" s="44"/>
      <c r="P71" s="45"/>
      <c r="Q71" s="46"/>
      <c r="R71" s="45"/>
      <c r="S71" s="45"/>
      <c r="T71" s="45"/>
      <c r="U71" s="45"/>
      <c r="V71" s="45"/>
      <c r="W71" s="45"/>
      <c r="X71" s="59"/>
      <c r="Y71" s="2"/>
      <c r="Z71" s="59"/>
      <c r="AA71" s="2"/>
      <c r="AB71" s="59"/>
      <c r="AC71" s="59"/>
      <c r="AD71" s="12"/>
      <c r="AE71" s="2"/>
      <c r="AF71" s="12">
        <v>2862.3889999999997</v>
      </c>
      <c r="AG71" s="12">
        <v>2927.3110000000001</v>
      </c>
      <c r="AH71" s="12">
        <v>2995.0120000000002</v>
      </c>
      <c r="AI71" s="12">
        <v>2889.0769999999998</v>
      </c>
      <c r="AJ71" s="12">
        <v>3048.1699999999996</v>
      </c>
      <c r="AK71" s="12">
        <v>3158.3879999999999</v>
      </c>
      <c r="AL71" s="12">
        <v>3222.4560000000001</v>
      </c>
      <c r="AM71" s="12">
        <v>3319.6320000000001</v>
      </c>
      <c r="AN71" s="12">
        <v>3483.8319999999999</v>
      </c>
      <c r="AO71" s="166">
        <v>3767.511</v>
      </c>
      <c r="AP71" s="166">
        <v>3890.5539999999996</v>
      </c>
      <c r="AQ71" s="166">
        <v>3551.377</v>
      </c>
      <c r="AR71" s="167"/>
      <c r="AS71" s="167"/>
      <c r="AT71" s="167"/>
    </row>
    <row r="72" spans="2:46" s="43" customFormat="1" outlineLevel="1">
      <c r="B72" s="1"/>
      <c r="C72" s="1" t="s">
        <v>35</v>
      </c>
      <c r="D72" s="1"/>
      <c r="O72" s="44"/>
      <c r="P72" s="45"/>
      <c r="Q72" s="46"/>
      <c r="R72" s="45"/>
      <c r="S72" s="45"/>
      <c r="T72" s="45"/>
      <c r="U72" s="45"/>
      <c r="V72" s="45"/>
      <c r="W72" s="45"/>
      <c r="X72" s="59"/>
      <c r="Y72" s="2"/>
      <c r="Z72" s="59"/>
      <c r="AA72" s="2"/>
      <c r="AB72" s="59"/>
      <c r="AC72" s="59"/>
      <c r="AD72" s="12"/>
      <c r="AE72" s="2"/>
      <c r="AF72" s="12">
        <v>1502.02</v>
      </c>
      <c r="AG72" s="12">
        <v>1554.7750000000001</v>
      </c>
      <c r="AH72" s="12">
        <v>1547.684</v>
      </c>
      <c r="AI72" s="12">
        <v>1637.1299999999999</v>
      </c>
      <c r="AJ72" s="12">
        <v>1578.8960000000002</v>
      </c>
      <c r="AK72" s="12">
        <v>1597.723</v>
      </c>
      <c r="AL72" s="12">
        <v>1625.93</v>
      </c>
      <c r="AM72" s="12">
        <v>1670.3319999999999</v>
      </c>
      <c r="AN72" s="12">
        <v>1707.4970000000001</v>
      </c>
      <c r="AO72" s="166">
        <v>1679.2270000000001</v>
      </c>
      <c r="AP72" s="166">
        <v>1670.79</v>
      </c>
      <c r="AQ72" s="166">
        <v>1431.972</v>
      </c>
      <c r="AR72" s="167"/>
      <c r="AS72" s="167"/>
      <c r="AT72" s="167"/>
    </row>
    <row r="73" spans="2:46" s="43" customFormat="1" ht="5.0999999999999996" customHeight="1" outlineLevel="1">
      <c r="B73" s="1"/>
      <c r="C73" s="1"/>
      <c r="D73" s="1"/>
      <c r="O73" s="44"/>
      <c r="P73" s="45"/>
      <c r="Q73" s="46"/>
      <c r="R73" s="45"/>
      <c r="S73" s="45"/>
      <c r="T73" s="45"/>
      <c r="U73" s="45"/>
      <c r="V73" s="45"/>
      <c r="W73" s="45"/>
      <c r="X73" s="59"/>
      <c r="Y73" s="2"/>
      <c r="Z73" s="59"/>
      <c r="AA73" s="2"/>
      <c r="AB73" s="59"/>
      <c r="AC73" s="59"/>
      <c r="AD73" s="12"/>
      <c r="AE73" s="2"/>
      <c r="AF73" s="12"/>
      <c r="AG73" s="12"/>
      <c r="AH73" s="12"/>
      <c r="AI73" s="12"/>
      <c r="AJ73" s="12"/>
      <c r="AK73" s="12"/>
      <c r="AL73" s="12"/>
      <c r="AM73" s="12"/>
      <c r="AN73" s="12"/>
      <c r="AO73" s="166"/>
      <c r="AP73" s="166"/>
      <c r="AQ73" s="166"/>
      <c r="AR73" s="167"/>
      <c r="AS73" s="167"/>
      <c r="AT73" s="167"/>
    </row>
    <row r="74" spans="2:46" s="43" customFormat="1" outlineLevel="1">
      <c r="B74" s="58" t="s">
        <v>36</v>
      </c>
      <c r="C74" s="1" t="s">
        <v>37</v>
      </c>
      <c r="D74" s="1"/>
      <c r="O74" s="44"/>
      <c r="P74" s="45"/>
      <c r="Q74" s="46"/>
      <c r="R74" s="45"/>
      <c r="S74" s="45"/>
      <c r="T74" s="45"/>
      <c r="U74" s="45"/>
      <c r="V74" s="45"/>
      <c r="W74" s="45"/>
      <c r="X74" s="59"/>
      <c r="Y74" s="2"/>
      <c r="Z74" s="59"/>
      <c r="AA74" s="2"/>
      <c r="AB74" s="59"/>
      <c r="AC74" s="59"/>
      <c r="AD74" s="12"/>
      <c r="AE74" s="2"/>
      <c r="AF74" s="12">
        <v>4655.9390000000003</v>
      </c>
      <c r="AG74" s="12">
        <v>4838.0950000000003</v>
      </c>
      <c r="AH74" s="12">
        <v>4914.5159999999996</v>
      </c>
      <c r="AI74" s="12">
        <v>4908.3159999999998</v>
      </c>
      <c r="AJ74" s="12">
        <v>5048.9459999999999</v>
      </c>
      <c r="AK74" s="12">
        <v>5206.451</v>
      </c>
      <c r="AL74" s="12">
        <v>5329.0420000000004</v>
      </c>
      <c r="AM74" s="12">
        <v>5469.3870000000006</v>
      </c>
      <c r="AN74" s="12">
        <v>5678.5629999999992</v>
      </c>
      <c r="AO74" s="166">
        <v>5969.0240000000003</v>
      </c>
      <c r="AP74" s="166">
        <v>6113.1080000000002</v>
      </c>
      <c r="AQ74" s="166">
        <v>5465.5290000000005</v>
      </c>
      <c r="AR74" s="167"/>
      <c r="AS74" s="167"/>
      <c r="AT74" s="167"/>
    </row>
    <row r="75" spans="2:46" s="43" customFormat="1" ht="5.0999999999999996" customHeight="1" outlineLevel="1">
      <c r="B75" s="1"/>
      <c r="C75" s="1"/>
      <c r="D75" s="1"/>
      <c r="O75" s="44"/>
      <c r="P75" s="45"/>
      <c r="Q75" s="46"/>
      <c r="R75" s="45"/>
      <c r="S75" s="45"/>
      <c r="T75" s="45"/>
      <c r="U75" s="45"/>
      <c r="V75" s="45"/>
      <c r="W75" s="45"/>
      <c r="X75" s="59"/>
      <c r="Y75" s="2"/>
      <c r="Z75" s="59"/>
      <c r="AA75" s="2"/>
      <c r="AB75" s="59"/>
      <c r="AC75" s="59"/>
      <c r="AD75" s="12"/>
      <c r="AE75" s="2"/>
      <c r="AF75" s="12"/>
      <c r="AG75" s="12"/>
      <c r="AH75" s="12"/>
      <c r="AI75" s="12"/>
      <c r="AJ75" s="12"/>
      <c r="AK75" s="12"/>
      <c r="AL75" s="12"/>
      <c r="AM75" s="12"/>
      <c r="AN75" s="12"/>
      <c r="AO75" s="166"/>
      <c r="AP75" s="166"/>
      <c r="AQ75" s="166"/>
      <c r="AR75" s="167"/>
      <c r="AS75" s="167"/>
      <c r="AT75" s="167"/>
    </row>
    <row r="76" spans="2:46" s="43" customFormat="1" outlineLevel="1">
      <c r="B76" s="58" t="s">
        <v>38</v>
      </c>
      <c r="C76" s="1" t="s">
        <v>39</v>
      </c>
      <c r="D76" s="1"/>
      <c r="O76" s="44"/>
      <c r="P76" s="45"/>
      <c r="Q76" s="46"/>
      <c r="R76" s="45"/>
      <c r="S76" s="45"/>
      <c r="T76" s="45"/>
      <c r="U76" s="45"/>
      <c r="V76" s="45"/>
      <c r="W76" s="45"/>
      <c r="X76" s="59"/>
      <c r="Y76" s="2"/>
      <c r="Z76" s="59"/>
      <c r="AA76" s="2"/>
      <c r="AB76" s="59"/>
      <c r="AC76" s="59"/>
      <c r="AD76" s="12"/>
      <c r="AE76" s="2"/>
      <c r="AF76" s="12">
        <v>4863.2340000000004</v>
      </c>
      <c r="AG76" s="12">
        <v>5053.4739999999993</v>
      </c>
      <c r="AH76" s="12">
        <v>5133.0749999999998</v>
      </c>
      <c r="AI76" s="12">
        <v>5162.1019999999999</v>
      </c>
      <c r="AJ76" s="12">
        <v>5388.5720000000001</v>
      </c>
      <c r="AK76" s="12">
        <v>5555.058</v>
      </c>
      <c r="AL76" s="12">
        <v>5705.6940000000004</v>
      </c>
      <c r="AM76" s="12">
        <v>5856.8369999999995</v>
      </c>
      <c r="AN76" s="12">
        <v>6066.72</v>
      </c>
      <c r="AO76" s="166">
        <v>6366.8769999999995</v>
      </c>
      <c r="AP76" s="166">
        <v>6574.8230000000003</v>
      </c>
      <c r="AQ76" s="166">
        <v>5916.2809999999999</v>
      </c>
      <c r="AR76" s="167"/>
      <c r="AS76" s="167"/>
      <c r="AT76" s="167"/>
    </row>
    <row r="77" spans="2:46" s="43" customFormat="1" outlineLevel="1">
      <c r="B77" s="58"/>
      <c r="C77" s="1"/>
      <c r="D77" s="1"/>
      <c r="O77" s="44"/>
      <c r="P77" s="45"/>
      <c r="Q77" s="46"/>
      <c r="R77" s="45"/>
      <c r="S77" s="45"/>
      <c r="T77" s="45"/>
      <c r="U77" s="45"/>
      <c r="V77" s="45"/>
      <c r="W77" s="45"/>
      <c r="X77" s="59"/>
      <c r="Y77" s="2"/>
      <c r="Z77" s="59"/>
      <c r="AA77" s="2"/>
      <c r="AB77" s="59"/>
      <c r="AC77" s="59"/>
      <c r="AD77" s="12"/>
      <c r="AE77" s="2"/>
      <c r="AF77" s="12"/>
      <c r="AG77" s="12"/>
      <c r="AH77" s="12"/>
      <c r="AI77" s="12"/>
      <c r="AJ77" s="12"/>
      <c r="AK77" s="12"/>
      <c r="AL77" s="12"/>
      <c r="AM77" s="12"/>
      <c r="AN77" s="12"/>
      <c r="AO77" s="166"/>
      <c r="AP77" s="166"/>
      <c r="AQ77" s="166"/>
      <c r="AR77" s="167"/>
      <c r="AS77" s="167"/>
      <c r="AT77" s="167"/>
    </row>
    <row r="78" spans="2:46" s="43" customFormat="1" outlineLevel="1">
      <c r="B78" s="1" t="s">
        <v>40</v>
      </c>
      <c r="D78" s="1"/>
      <c r="O78" s="44"/>
      <c r="P78" s="45"/>
      <c r="Q78" s="46"/>
      <c r="R78" s="45"/>
      <c r="S78" s="45"/>
      <c r="T78" s="45"/>
      <c r="U78" s="45"/>
      <c r="V78" s="45"/>
      <c r="W78" s="45"/>
      <c r="X78" s="59"/>
      <c r="Y78" s="2"/>
      <c r="Z78" s="59"/>
      <c r="AA78" s="2"/>
      <c r="AB78" s="59"/>
      <c r="AC78" s="59"/>
      <c r="AD78" s="12"/>
      <c r="AE78" s="2"/>
      <c r="AF78" s="12"/>
      <c r="AG78" s="12"/>
      <c r="AH78" s="12"/>
      <c r="AI78" s="12"/>
      <c r="AJ78" s="12"/>
      <c r="AK78" s="12"/>
      <c r="AL78" s="12"/>
      <c r="AM78" s="12"/>
      <c r="AN78" s="12"/>
      <c r="AO78" s="166"/>
      <c r="AP78" s="166"/>
      <c r="AQ78" s="166"/>
      <c r="AR78" s="167"/>
      <c r="AS78" s="167"/>
      <c r="AT78" s="167"/>
    </row>
    <row r="79" spans="2:46" s="43" customFormat="1" ht="6" customHeight="1" outlineLevel="1">
      <c r="B79" s="1"/>
      <c r="C79" s="1"/>
      <c r="D79" s="1"/>
      <c r="O79" s="44"/>
      <c r="P79" s="45"/>
      <c r="Q79" s="46"/>
      <c r="R79" s="45"/>
      <c r="S79" s="45"/>
      <c r="T79" s="45"/>
      <c r="U79" s="45"/>
      <c r="V79" s="45"/>
      <c r="W79" s="45"/>
      <c r="X79" s="59"/>
      <c r="Y79" s="2"/>
      <c r="Z79" s="59"/>
      <c r="AA79" s="2"/>
      <c r="AB79" s="59"/>
      <c r="AC79" s="59"/>
      <c r="AD79" s="12"/>
      <c r="AE79" s="2"/>
      <c r="AF79" s="12"/>
      <c r="AG79" s="12"/>
      <c r="AH79" s="12"/>
      <c r="AI79" s="12"/>
      <c r="AJ79" s="12"/>
      <c r="AK79" s="12"/>
      <c r="AL79" s="12"/>
      <c r="AM79" s="12"/>
      <c r="AN79" s="12"/>
      <c r="AO79" s="166"/>
      <c r="AP79" s="166"/>
      <c r="AQ79" s="166"/>
      <c r="AR79" s="167"/>
      <c r="AS79" s="167"/>
      <c r="AT79" s="167"/>
    </row>
    <row r="80" spans="2:46" s="43" customFormat="1" outlineLevel="1">
      <c r="B80" s="60" t="s">
        <v>41</v>
      </c>
      <c r="C80" s="13" t="s">
        <v>42</v>
      </c>
      <c r="D80" s="13"/>
      <c r="O80" s="44"/>
      <c r="P80" s="45"/>
      <c r="Q80" s="46"/>
      <c r="R80" s="45"/>
      <c r="S80" s="45"/>
      <c r="T80" s="45"/>
      <c r="U80" s="45"/>
      <c r="V80" s="45"/>
      <c r="W80" s="45"/>
      <c r="X80" s="61"/>
      <c r="Y80" s="14"/>
      <c r="Z80" s="61"/>
      <c r="AA80" s="14"/>
      <c r="AB80" s="61"/>
      <c r="AC80" s="61"/>
      <c r="AD80" s="62"/>
      <c r="AE80" s="14"/>
      <c r="AF80" s="62">
        <f t="shared" ref="AF80:AQ80" si="14">AF69/AF67</f>
        <v>0.19150123955156753</v>
      </c>
      <c r="AG80" s="62">
        <f t="shared" si="14"/>
        <v>0.19247344501445801</v>
      </c>
      <c r="AH80" s="62">
        <f t="shared" si="14"/>
        <v>0.19007120887897386</v>
      </c>
      <c r="AI80" s="62">
        <f t="shared" si="14"/>
        <v>0.19119041935654058</v>
      </c>
      <c r="AJ80" s="62">
        <f t="shared" si="14"/>
        <v>0.19874326636320561</v>
      </c>
      <c r="AK80" s="62">
        <f t="shared" si="14"/>
        <v>0.20199342814684698</v>
      </c>
      <c r="AL80" s="62">
        <f t="shared" si="14"/>
        <v>0.20199107010581857</v>
      </c>
      <c r="AM80" s="62">
        <f t="shared" si="14"/>
        <v>0.19995882982286847</v>
      </c>
      <c r="AN80" s="62">
        <f t="shared" si="14"/>
        <v>0.20183218260770946</v>
      </c>
      <c r="AO80" s="207">
        <f t="shared" si="14"/>
        <v>0.20038635553082276</v>
      </c>
      <c r="AP80" s="207">
        <f t="shared" si="14"/>
        <v>0.19336565607227957</v>
      </c>
      <c r="AQ80" s="207">
        <f t="shared" si="14"/>
        <v>0.18355319437724926</v>
      </c>
      <c r="AR80" s="167"/>
      <c r="AS80" s="167"/>
      <c r="AT80" s="167"/>
    </row>
    <row r="81" spans="2:46" s="43" customFormat="1" ht="5.0999999999999996" customHeight="1" outlineLevel="1">
      <c r="B81" s="1"/>
      <c r="C81" s="1"/>
      <c r="D81" s="1"/>
      <c r="O81" s="44"/>
      <c r="P81" s="45"/>
      <c r="Q81" s="46"/>
      <c r="R81" s="45"/>
      <c r="S81" s="45"/>
      <c r="T81" s="45"/>
      <c r="U81" s="45"/>
      <c r="V81" s="45"/>
      <c r="W81" s="45"/>
      <c r="X81" s="59"/>
      <c r="Y81" s="2"/>
      <c r="Z81" s="59"/>
      <c r="AA81" s="2"/>
      <c r="AB81" s="59"/>
      <c r="AC81" s="59"/>
      <c r="AD81" s="12"/>
      <c r="AE81" s="2"/>
      <c r="AF81" s="12"/>
      <c r="AG81" s="12"/>
      <c r="AH81" s="12"/>
      <c r="AI81" s="12"/>
      <c r="AJ81" s="12"/>
      <c r="AK81" s="12"/>
      <c r="AL81" s="12"/>
      <c r="AM81" s="12"/>
      <c r="AN81" s="12"/>
      <c r="AO81" s="166"/>
      <c r="AP81" s="166"/>
      <c r="AQ81" s="166"/>
      <c r="AR81" s="167"/>
      <c r="AS81" s="167"/>
      <c r="AT81" s="167"/>
    </row>
    <row r="82" spans="2:46" s="43" customFormat="1" outlineLevel="1">
      <c r="B82" s="58" t="s">
        <v>43</v>
      </c>
      <c r="C82" s="1" t="s">
        <v>44</v>
      </c>
      <c r="D82" s="1"/>
      <c r="O82" s="44"/>
      <c r="P82" s="45"/>
      <c r="Q82" s="46"/>
      <c r="R82" s="45"/>
      <c r="S82" s="45"/>
      <c r="T82" s="45"/>
      <c r="U82" s="45"/>
      <c r="V82" s="45"/>
      <c r="W82" s="45"/>
      <c r="X82" s="63"/>
      <c r="Y82" s="2"/>
      <c r="Z82" s="63"/>
      <c r="AA82" s="2"/>
      <c r="AB82" s="63"/>
      <c r="AC82" s="63"/>
      <c r="AD82" s="24"/>
      <c r="AE82" s="2"/>
      <c r="AF82" s="24">
        <f t="shared" ref="AF82:AQ82" si="15">AF76/AF67</f>
        <v>0.21338864877909658</v>
      </c>
      <c r="AG82" s="24">
        <f t="shared" si="15"/>
        <v>0.21701046121627141</v>
      </c>
      <c r="AH82" s="24">
        <f t="shared" si="15"/>
        <v>0.2147732911285366</v>
      </c>
      <c r="AI82" s="24">
        <f t="shared" si="15"/>
        <v>0.21805110684094584</v>
      </c>
      <c r="AJ82" s="24">
        <f t="shared" si="15"/>
        <v>0.23145172347083695</v>
      </c>
      <c r="AK82" s="24">
        <f t="shared" si="15"/>
        <v>0.2359249414016131</v>
      </c>
      <c r="AL82" s="24">
        <f t="shared" si="15"/>
        <v>0.23770781384905171</v>
      </c>
      <c r="AM82" s="24">
        <f t="shared" si="15"/>
        <v>0.23469633708445178</v>
      </c>
      <c r="AN82" s="24">
        <f t="shared" si="15"/>
        <v>0.23586625676581918</v>
      </c>
      <c r="AO82" s="208">
        <f t="shared" si="15"/>
        <v>0.23423841538605641</v>
      </c>
      <c r="AP82" s="208">
        <f t="shared" si="15"/>
        <v>0.22860390634963662</v>
      </c>
      <c r="AQ82" s="208">
        <f t="shared" si="15"/>
        <v>0.21791615967162378</v>
      </c>
      <c r="AR82" s="167"/>
      <c r="AS82" s="167"/>
      <c r="AT82" s="167"/>
    </row>
    <row r="83" spans="2:46" s="43" customFormat="1" ht="5.0999999999999996" customHeight="1" outlineLevel="1">
      <c r="B83" s="1"/>
      <c r="C83" s="1"/>
      <c r="D83" s="1"/>
      <c r="O83" s="44"/>
      <c r="P83" s="45"/>
      <c r="Q83" s="46"/>
      <c r="R83" s="45"/>
      <c r="S83" s="45"/>
      <c r="T83" s="45"/>
      <c r="U83" s="45"/>
      <c r="V83" s="45"/>
      <c r="W83" s="45"/>
      <c r="X83" s="59"/>
      <c r="Y83" s="2"/>
      <c r="Z83" s="59"/>
      <c r="AA83" s="2"/>
      <c r="AB83" s="59"/>
      <c r="AC83" s="59"/>
      <c r="AD83" s="12"/>
      <c r="AE83" s="2"/>
      <c r="AF83" s="12"/>
      <c r="AG83" s="12"/>
      <c r="AH83" s="12"/>
      <c r="AI83" s="12"/>
      <c r="AJ83" s="12"/>
      <c r="AK83" s="12"/>
      <c r="AL83" s="12"/>
      <c r="AM83" s="12"/>
      <c r="AN83" s="12"/>
      <c r="AO83" s="166"/>
      <c r="AP83" s="166"/>
      <c r="AQ83" s="166"/>
      <c r="AR83" s="167"/>
      <c r="AS83" s="167"/>
      <c r="AT83" s="167"/>
    </row>
    <row r="84" spans="2:46" s="43" customFormat="1" outlineLevel="1">
      <c r="B84" s="58" t="s">
        <v>45</v>
      </c>
      <c r="C84" s="1" t="s">
        <v>46</v>
      </c>
      <c r="D84" s="1"/>
      <c r="O84" s="44"/>
      <c r="P84" s="45"/>
      <c r="Q84" s="46"/>
      <c r="R84" s="45"/>
      <c r="S84" s="45"/>
      <c r="T84" s="45"/>
      <c r="U84" s="45"/>
      <c r="V84" s="45"/>
      <c r="W84" s="45"/>
      <c r="X84" s="63"/>
      <c r="Y84" s="2"/>
      <c r="Z84" s="63"/>
      <c r="AA84" s="2"/>
      <c r="AB84" s="63"/>
      <c r="AC84" s="63"/>
      <c r="AD84" s="24"/>
      <c r="AE84" s="2"/>
      <c r="AF84" s="64">
        <f t="shared" ref="AF84:AQ84" si="16">AF76/AF65</f>
        <v>0.24396063448383942</v>
      </c>
      <c r="AG84" s="64">
        <f t="shared" si="16"/>
        <v>0.2474498965856341</v>
      </c>
      <c r="AH84" s="64">
        <f t="shared" si="16"/>
        <v>0.24502205094637131</v>
      </c>
      <c r="AI84" s="64">
        <f t="shared" si="16"/>
        <v>0.24769249157744611</v>
      </c>
      <c r="AJ84" s="64">
        <f t="shared" si="16"/>
        <v>0.26350749437379772</v>
      </c>
      <c r="AK84" s="64">
        <f t="shared" si="16"/>
        <v>0.26845203041851112</v>
      </c>
      <c r="AL84" s="64">
        <f t="shared" si="16"/>
        <v>0.27189439066943361</v>
      </c>
      <c r="AM84" s="64">
        <f t="shared" si="16"/>
        <v>0.26818323308578468</v>
      </c>
      <c r="AN84" s="64">
        <f t="shared" si="16"/>
        <v>0.26845783700967624</v>
      </c>
      <c r="AO84" s="550">
        <f t="shared" si="16"/>
        <v>0.26673491224013057</v>
      </c>
      <c r="AP84" s="550">
        <f t="shared" si="16"/>
        <v>0.25935918371806904</v>
      </c>
      <c r="AQ84" s="550">
        <f t="shared" si="16"/>
        <v>0.2510896586870689</v>
      </c>
      <c r="AR84" s="167"/>
      <c r="AS84" s="167"/>
      <c r="AT84" s="167"/>
    </row>
    <row r="85" spans="2:46" s="43" customFormat="1" ht="5.0999999999999996" customHeight="1" outlineLevel="1">
      <c r="B85" s="16"/>
      <c r="C85" s="16"/>
      <c r="D85" s="16"/>
      <c r="O85" s="44"/>
      <c r="P85" s="45"/>
      <c r="Q85" s="46"/>
      <c r="R85" s="45"/>
      <c r="S85" s="45"/>
      <c r="T85" s="45"/>
      <c r="U85" s="45"/>
      <c r="V85" s="45"/>
      <c r="W85" s="45"/>
      <c r="X85" s="55"/>
      <c r="Y85" s="55"/>
      <c r="Z85" s="55"/>
      <c r="AA85" s="55"/>
      <c r="AB85" s="55"/>
      <c r="AC85" s="55"/>
      <c r="AD85" s="55"/>
      <c r="AE85" s="55"/>
      <c r="AF85" s="55"/>
      <c r="AG85" s="55"/>
      <c r="AH85" s="55"/>
      <c r="AI85" s="55"/>
      <c r="AJ85" s="55"/>
      <c r="AK85" s="55"/>
      <c r="AL85" s="55"/>
      <c r="AM85" s="55"/>
      <c r="AN85" s="55"/>
      <c r="AO85" s="200"/>
      <c r="AP85" s="200"/>
      <c r="AQ85" s="200"/>
      <c r="AR85" s="167"/>
      <c r="AS85" s="167"/>
      <c r="AT85" s="167"/>
    </row>
    <row r="86" spans="2:46" s="43" customFormat="1" ht="6" customHeight="1" outlineLevel="1">
      <c r="B86" s="1"/>
      <c r="C86" s="1"/>
      <c r="D86" s="1"/>
      <c r="O86" s="44"/>
      <c r="P86" s="45"/>
      <c r="Q86" s="46"/>
      <c r="R86" s="45"/>
      <c r="S86" s="45"/>
      <c r="T86" s="45"/>
      <c r="U86" s="45"/>
      <c r="V86" s="45"/>
      <c r="W86" s="45"/>
      <c r="X86" s="2"/>
      <c r="Y86" s="2"/>
      <c r="Z86" s="2"/>
      <c r="AA86" s="2"/>
      <c r="AB86" s="2"/>
      <c r="AC86" s="2"/>
      <c r="AD86" s="2"/>
      <c r="AE86" s="2"/>
      <c r="AF86" s="2"/>
      <c r="AG86" s="49"/>
      <c r="AH86" s="47"/>
      <c r="AI86" s="47"/>
      <c r="AJ86" s="47"/>
      <c r="AK86" s="47"/>
      <c r="AL86" s="47"/>
      <c r="AM86" s="47"/>
      <c r="AO86" s="167"/>
      <c r="AP86" s="545"/>
      <c r="AQ86" s="167"/>
      <c r="AR86" s="167"/>
      <c r="AS86" s="167"/>
      <c r="AT86" s="167"/>
    </row>
    <row r="87" spans="2:46" s="43" customFormat="1" ht="30" customHeight="1" outlineLevel="1">
      <c r="B87" s="2043" t="s">
        <v>47</v>
      </c>
      <c r="C87" s="2044"/>
      <c r="D87" s="2044"/>
      <c r="E87" s="2044"/>
      <c r="F87" s="2044"/>
      <c r="G87" s="2044"/>
      <c r="H87" s="2044"/>
      <c r="I87" s="2044"/>
      <c r="J87" s="2044"/>
      <c r="K87" s="2044"/>
      <c r="L87" s="2044"/>
      <c r="M87" s="2044"/>
      <c r="N87" s="2044"/>
      <c r="O87" s="2044"/>
      <c r="P87" s="2044"/>
      <c r="Q87" s="2044"/>
      <c r="R87" s="2044"/>
      <c r="S87" s="2044"/>
      <c r="T87" s="2044"/>
      <c r="U87" s="2044"/>
      <c r="V87" s="2044"/>
      <c r="W87" s="2044"/>
      <c r="X87" s="2044"/>
      <c r="Y87" s="2044"/>
      <c r="Z87" s="2044"/>
      <c r="AA87" s="2044"/>
      <c r="AB87" s="2044"/>
      <c r="AC87" s="2044"/>
      <c r="AD87" s="2044"/>
      <c r="AE87" s="2044"/>
      <c r="AF87" s="2044"/>
      <c r="AG87" s="49"/>
      <c r="AH87" s="47"/>
      <c r="AI87" s="47"/>
      <c r="AJ87" s="47"/>
      <c r="AK87" s="47"/>
      <c r="AL87" s="47"/>
      <c r="AM87" s="47"/>
      <c r="AO87" s="167"/>
      <c r="AP87" s="167"/>
      <c r="AQ87" s="167"/>
      <c r="AR87" s="167"/>
      <c r="AS87" s="167"/>
      <c r="AT87" s="167"/>
    </row>
    <row r="88" spans="2:46" s="43" customFormat="1">
      <c r="B88" s="65"/>
      <c r="O88" s="44"/>
      <c r="P88" s="45"/>
      <c r="Q88" s="46"/>
      <c r="R88" s="45"/>
      <c r="S88" s="45"/>
      <c r="T88" s="45"/>
      <c r="U88" s="45"/>
      <c r="V88" s="45"/>
      <c r="W88" s="45"/>
      <c r="X88" s="31"/>
      <c r="Y88" s="31"/>
      <c r="Z88" s="31"/>
      <c r="AA88" s="31"/>
      <c r="AB88" s="31"/>
      <c r="AC88" s="31"/>
      <c r="AD88" s="31"/>
      <c r="AE88" s="31"/>
      <c r="AF88" s="31"/>
      <c r="AG88" s="49"/>
      <c r="AH88" s="47"/>
      <c r="AI88" s="47"/>
      <c r="AJ88" s="47"/>
      <c r="AK88" s="47"/>
      <c r="AL88" s="47"/>
      <c r="AM88" s="47"/>
      <c r="AO88" s="167"/>
      <c r="AP88" s="167"/>
      <c r="AQ88" s="167"/>
      <c r="AR88" s="167"/>
      <c r="AS88" s="167"/>
      <c r="AT88" s="167"/>
    </row>
    <row r="89" spans="2:46">
      <c r="R89" s="4"/>
      <c r="S89" s="4"/>
      <c r="T89" s="4"/>
      <c r="U89" s="4"/>
      <c r="V89" s="4"/>
      <c r="W89" s="4"/>
      <c r="X89" s="5"/>
      <c r="Y89" s="5"/>
      <c r="Z89" s="5"/>
      <c r="AA89" s="5"/>
      <c r="AB89" s="5"/>
      <c r="AC89" s="5"/>
      <c r="AD89" s="5"/>
      <c r="AE89" s="5"/>
      <c r="AF89" s="5"/>
      <c r="AG89" s="5"/>
      <c r="AO89" s="165"/>
      <c r="AP89" s="165"/>
      <c r="AQ89" s="165"/>
      <c r="AR89" s="165"/>
      <c r="AS89" s="165"/>
      <c r="AT89" s="165"/>
    </row>
    <row r="90" spans="2:46">
      <c r="B90" s="15" t="s">
        <v>48</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5"/>
      <c r="AO90" s="165"/>
      <c r="AP90" s="165"/>
      <c r="AQ90" s="165"/>
      <c r="AR90" s="165"/>
      <c r="AS90" s="165"/>
      <c r="AT90" s="165"/>
    </row>
    <row r="91" spans="2:46">
      <c r="B91" s="51"/>
      <c r="C91" s="51"/>
      <c r="D91" s="51"/>
      <c r="E91" s="51"/>
      <c r="F91" s="51"/>
      <c r="G91" s="51"/>
      <c r="H91" s="51"/>
      <c r="I91" s="51"/>
      <c r="J91" s="51"/>
      <c r="K91" s="51"/>
      <c r="L91" s="51"/>
      <c r="M91" s="51"/>
      <c r="N91" s="51"/>
      <c r="O91" s="52"/>
      <c r="P91" s="53"/>
      <c r="Q91" s="53"/>
      <c r="R91" s="53"/>
      <c r="S91" s="53"/>
      <c r="T91" s="53"/>
      <c r="U91" s="53"/>
      <c r="V91" s="53"/>
      <c r="W91" s="53"/>
      <c r="X91" s="54"/>
      <c r="Y91" s="54"/>
      <c r="Z91" s="54"/>
      <c r="AA91" s="54"/>
      <c r="AB91" s="54"/>
      <c r="AC91" s="54"/>
      <c r="AD91" s="54"/>
      <c r="AE91" s="54"/>
      <c r="AF91" s="54"/>
      <c r="AG91" s="5"/>
      <c r="AO91" s="165"/>
      <c r="AP91" s="165"/>
      <c r="AQ91" s="165"/>
      <c r="AR91" s="165"/>
      <c r="AS91" s="165"/>
      <c r="AT91" s="165"/>
    </row>
    <row r="92" spans="2:46">
      <c r="B92" s="66"/>
      <c r="C92" s="66"/>
      <c r="D92" s="66"/>
      <c r="E92" s="66"/>
      <c r="F92" s="66"/>
      <c r="G92" s="66"/>
      <c r="H92" s="66"/>
      <c r="I92" s="66"/>
      <c r="J92" s="66"/>
      <c r="K92" s="66"/>
      <c r="L92" s="66"/>
      <c r="M92" s="66"/>
      <c r="N92" s="66"/>
      <c r="O92" s="67"/>
      <c r="P92" s="45"/>
      <c r="Q92" s="45"/>
      <c r="R92" s="45"/>
      <c r="S92" s="45"/>
      <c r="T92" s="45"/>
      <c r="U92" s="45"/>
      <c r="V92" s="45"/>
      <c r="W92" s="45"/>
      <c r="X92" s="30">
        <v>2001</v>
      </c>
      <c r="Y92" s="31"/>
      <c r="Z92" s="30">
        <v>2003</v>
      </c>
      <c r="AA92" s="31"/>
      <c r="AB92" s="30">
        <v>2005</v>
      </c>
      <c r="AC92" s="32"/>
      <c r="AD92" s="30">
        <v>2007</v>
      </c>
      <c r="AE92" s="31"/>
      <c r="AF92" s="30">
        <v>2009</v>
      </c>
      <c r="AG92" s="33">
        <v>2010</v>
      </c>
      <c r="AH92" s="33">
        <v>2011</v>
      </c>
      <c r="AI92" s="33">
        <v>2012</v>
      </c>
      <c r="AJ92" s="33">
        <v>2013</v>
      </c>
      <c r="AK92" s="33">
        <v>2014</v>
      </c>
      <c r="AL92" s="33">
        <v>2015</v>
      </c>
      <c r="AM92" s="33">
        <v>2016</v>
      </c>
      <c r="AN92" s="33">
        <v>2017</v>
      </c>
      <c r="AO92" s="202">
        <v>2018</v>
      </c>
      <c r="AP92" s="202">
        <v>2019</v>
      </c>
      <c r="AQ92" s="202">
        <v>2020</v>
      </c>
      <c r="AR92" s="165"/>
      <c r="AS92" s="165"/>
      <c r="AT92" s="165"/>
    </row>
    <row r="93" spans="2:46">
      <c r="R93" s="4"/>
      <c r="S93" s="4"/>
      <c r="T93" s="4"/>
      <c r="U93" s="4"/>
      <c r="V93" s="4"/>
      <c r="W93" s="4"/>
      <c r="X93" s="5"/>
      <c r="Y93" s="5"/>
      <c r="Z93" s="5"/>
      <c r="AA93" s="5"/>
      <c r="AB93" s="5"/>
      <c r="AC93" s="5"/>
      <c r="AD93" s="5"/>
      <c r="AE93" s="5"/>
      <c r="AF93" s="5"/>
      <c r="AG93" s="5"/>
      <c r="AO93" s="165"/>
      <c r="AP93" s="165"/>
      <c r="AQ93" s="165"/>
      <c r="AR93" s="165"/>
      <c r="AS93" s="165"/>
      <c r="AT93" s="165"/>
    </row>
    <row r="94" spans="2:46">
      <c r="B94" s="68" t="s">
        <v>49</v>
      </c>
      <c r="R94" s="69">
        <f t="shared" ref="R94:W94" si="17">SUM(R138:R192)</f>
        <v>0</v>
      </c>
      <c r="S94" s="69">
        <f t="shared" si="17"/>
        <v>0</v>
      </c>
      <c r="T94" s="69">
        <f t="shared" si="17"/>
        <v>0</v>
      </c>
      <c r="U94" s="69">
        <f t="shared" si="17"/>
        <v>0</v>
      </c>
      <c r="V94" s="69">
        <f t="shared" si="17"/>
        <v>0</v>
      </c>
      <c r="W94" s="69">
        <f t="shared" si="17"/>
        <v>0</v>
      </c>
      <c r="X94" s="70"/>
      <c r="Y94" s="70"/>
      <c r="Z94" s="70"/>
      <c r="AA94" s="70"/>
      <c r="AB94" s="70"/>
      <c r="AC94" s="70"/>
      <c r="AD94" s="70"/>
      <c r="AE94" s="70"/>
      <c r="AF94" s="70">
        <v>20.87</v>
      </c>
      <c r="AG94" s="70">
        <v>18.705028960307889</v>
      </c>
      <c r="AH94" s="70">
        <v>19.095834002954266</v>
      </c>
      <c r="AI94" s="71">
        <v>20.099999999999998</v>
      </c>
      <c r="AJ94" s="71">
        <v>2.6</v>
      </c>
      <c r="AK94" s="71">
        <v>2.17</v>
      </c>
      <c r="AL94" s="71">
        <v>3.2</v>
      </c>
      <c r="AM94" s="71">
        <v>3</v>
      </c>
      <c r="AN94" s="71">
        <v>3.3</v>
      </c>
      <c r="AO94" s="71">
        <v>3.5</v>
      </c>
      <c r="AP94" s="71">
        <v>3.9</v>
      </c>
      <c r="AQ94" s="71"/>
      <c r="AR94" s="165"/>
      <c r="AS94" s="165"/>
      <c r="AT94" s="165"/>
    </row>
    <row r="95" spans="2:46" ht="15" customHeight="1">
      <c r="B95" s="72"/>
      <c r="C95" s="73" t="s">
        <v>50</v>
      </c>
      <c r="D95" s="616"/>
      <c r="R95" s="4"/>
      <c r="S95" s="4"/>
      <c r="T95" s="4"/>
      <c r="U95" s="4"/>
      <c r="V95" s="4"/>
      <c r="W95" s="4"/>
      <c r="X95" s="5"/>
      <c r="Y95" s="5"/>
      <c r="Z95" s="5"/>
      <c r="AA95" s="5"/>
      <c r="AB95" s="5"/>
      <c r="AC95" s="5"/>
      <c r="AD95" s="5"/>
      <c r="AE95" s="5"/>
      <c r="AF95" s="74"/>
      <c r="AG95" s="74"/>
      <c r="AH95" s="74"/>
      <c r="AI95" s="74"/>
      <c r="AJ95" s="74"/>
      <c r="AK95" s="74"/>
      <c r="AL95" s="74"/>
      <c r="AM95" s="74"/>
      <c r="AN95" s="74"/>
      <c r="AO95" s="244"/>
      <c r="AP95" s="244"/>
      <c r="AQ95" s="71"/>
      <c r="AR95" s="165"/>
      <c r="AS95" s="165"/>
      <c r="AT95" s="165"/>
    </row>
    <row r="96" spans="2:46" ht="15" customHeight="1">
      <c r="B96" s="72"/>
      <c r="C96" s="73" t="s">
        <v>51</v>
      </c>
      <c r="D96" s="616"/>
      <c r="R96" s="4"/>
      <c r="S96" s="4"/>
      <c r="T96" s="4"/>
      <c r="U96" s="4"/>
      <c r="V96" s="4"/>
      <c r="W96" s="4"/>
      <c r="X96" s="5"/>
      <c r="Y96" s="5"/>
      <c r="Z96" s="5"/>
      <c r="AA96" s="5"/>
      <c r="AB96" s="5"/>
      <c r="AC96" s="5"/>
      <c r="AD96" s="5"/>
      <c r="AE96" s="5"/>
      <c r="AF96" s="74"/>
      <c r="AG96" s="5"/>
      <c r="AN96" s="71"/>
      <c r="AO96" s="71"/>
      <c r="AP96" s="71"/>
      <c r="AQ96" s="71"/>
      <c r="AR96" s="165"/>
      <c r="AS96" s="165"/>
      <c r="AT96" s="165"/>
    </row>
    <row r="97" spans="2:46" ht="33" customHeight="1">
      <c r="B97" s="72"/>
      <c r="C97" s="2045" t="s">
        <v>52</v>
      </c>
      <c r="D97" s="2045"/>
      <c r="R97" s="4"/>
      <c r="S97" s="4"/>
      <c r="T97" s="4"/>
      <c r="U97" s="4"/>
      <c r="V97" s="4"/>
      <c r="W97" s="4"/>
      <c r="X97" s="5"/>
      <c r="Y97" s="5"/>
      <c r="Z97" s="5"/>
      <c r="AA97" s="5"/>
      <c r="AB97" s="5"/>
      <c r="AC97" s="5"/>
      <c r="AD97" s="5"/>
      <c r="AE97" s="5"/>
      <c r="AF97" s="74">
        <v>0.41</v>
      </c>
      <c r="AG97" s="5">
        <v>0.75094000000000005</v>
      </c>
      <c r="AH97" s="5">
        <v>1.0787709999999999</v>
      </c>
      <c r="AI97" s="75">
        <v>0.8</v>
      </c>
      <c r="AJ97" s="75">
        <v>1</v>
      </c>
      <c r="AK97" s="75">
        <v>0.6</v>
      </c>
      <c r="AL97" s="75">
        <v>0.6</v>
      </c>
      <c r="AM97" s="2">
        <v>0.5</v>
      </c>
      <c r="AN97" s="625">
        <v>0.6</v>
      </c>
      <c r="AO97" s="625">
        <v>0.7</v>
      </c>
      <c r="AP97" s="625">
        <v>0.7</v>
      </c>
      <c r="AQ97" s="71"/>
      <c r="AR97" s="165"/>
      <c r="AS97" s="165"/>
      <c r="AT97" s="165"/>
    </row>
    <row r="98" spans="2:46" ht="15" customHeight="1">
      <c r="B98" s="72"/>
      <c r="C98" s="73" t="s">
        <v>53</v>
      </c>
      <c r="D98" s="73"/>
      <c r="R98" s="4"/>
      <c r="S98" s="4"/>
      <c r="T98" s="4"/>
      <c r="U98" s="4"/>
      <c r="V98" s="4"/>
      <c r="W98" s="4"/>
      <c r="X98" s="5"/>
      <c r="Y98" s="5"/>
      <c r="Z98" s="5"/>
      <c r="AA98" s="5"/>
      <c r="AB98" s="5"/>
      <c r="AC98" s="5"/>
      <c r="AD98" s="5"/>
      <c r="AE98" s="5"/>
      <c r="AF98" s="74"/>
      <c r="AG98" s="5"/>
      <c r="AN98" s="71"/>
      <c r="AO98" s="71"/>
      <c r="AP98" s="71"/>
      <c r="AQ98" s="71"/>
      <c r="AR98" s="165"/>
      <c r="AS98" s="165"/>
      <c r="AT98" s="165"/>
    </row>
    <row r="99" spans="2:46">
      <c r="B99" s="72"/>
      <c r="C99" s="73"/>
      <c r="D99" s="73"/>
      <c r="R99" s="4"/>
      <c r="S99" s="4"/>
      <c r="T99" s="4"/>
      <c r="U99" s="4"/>
      <c r="V99" s="4"/>
      <c r="W99" s="4"/>
      <c r="X99" s="5"/>
      <c r="Y99" s="5"/>
      <c r="Z99" s="5"/>
      <c r="AA99" s="5"/>
      <c r="AB99" s="5"/>
      <c r="AC99" s="5"/>
      <c r="AD99" s="5"/>
      <c r="AE99" s="5"/>
      <c r="AF99" s="74"/>
      <c r="AG99" s="5"/>
      <c r="AN99" s="71"/>
      <c r="AO99" s="71"/>
      <c r="AP99" s="71"/>
      <c r="AQ99" s="71"/>
      <c r="AR99" s="165"/>
      <c r="AS99" s="165"/>
      <c r="AT99" s="165"/>
    </row>
    <row r="100" spans="2:46">
      <c r="B100" s="72"/>
      <c r="C100" s="2045" t="s">
        <v>54</v>
      </c>
      <c r="D100" s="2045"/>
      <c r="R100" s="4"/>
      <c r="S100" s="4"/>
      <c r="T100" s="4"/>
      <c r="U100" s="4"/>
      <c r="V100" s="4"/>
      <c r="W100" s="4"/>
      <c r="X100" s="5"/>
      <c r="Y100" s="5"/>
      <c r="Z100" s="5"/>
      <c r="AA100" s="5"/>
      <c r="AB100" s="5"/>
      <c r="AC100" s="5"/>
      <c r="AD100" s="5"/>
      <c r="AE100" s="5"/>
      <c r="AF100" s="74"/>
      <c r="AG100" s="5"/>
      <c r="AN100" s="71"/>
      <c r="AO100" s="71"/>
      <c r="AP100" s="71"/>
      <c r="AQ100" s="71"/>
      <c r="AR100" s="165"/>
      <c r="AS100" s="165"/>
      <c r="AT100" s="165"/>
    </row>
    <row r="101" spans="2:46">
      <c r="B101" s="72"/>
      <c r="C101" s="616"/>
      <c r="D101" s="616"/>
      <c r="R101" s="4"/>
      <c r="S101" s="4"/>
      <c r="T101" s="4"/>
      <c r="U101" s="4"/>
      <c r="V101" s="4"/>
      <c r="W101" s="4"/>
      <c r="X101" s="5"/>
      <c r="Y101" s="5"/>
      <c r="Z101" s="5"/>
      <c r="AA101" s="5"/>
      <c r="AB101" s="5"/>
      <c r="AC101" s="5"/>
      <c r="AD101" s="5"/>
      <c r="AE101" s="5"/>
      <c r="AF101" s="74"/>
      <c r="AG101" s="5"/>
      <c r="AN101" s="71"/>
      <c r="AO101" s="71"/>
      <c r="AP101" s="71"/>
      <c r="AQ101" s="71"/>
      <c r="AR101" s="165"/>
      <c r="AS101" s="165"/>
      <c r="AT101" s="165"/>
    </row>
    <row r="102" spans="2:46">
      <c r="B102" s="72"/>
      <c r="C102" s="2045" t="s">
        <v>55</v>
      </c>
      <c r="D102" s="2045"/>
      <c r="R102" s="4"/>
      <c r="S102" s="4"/>
      <c r="T102" s="4"/>
      <c r="U102" s="4"/>
      <c r="V102" s="4"/>
      <c r="W102" s="4"/>
      <c r="X102" s="5"/>
      <c r="Y102" s="5"/>
      <c r="Z102" s="5"/>
      <c r="AA102" s="5"/>
      <c r="AB102" s="5"/>
      <c r="AC102" s="5"/>
      <c r="AD102" s="5"/>
      <c r="AE102" s="5"/>
      <c r="AF102" s="76">
        <v>282.7</v>
      </c>
      <c r="AG102" s="77">
        <v>282.95999999999998</v>
      </c>
      <c r="AH102" s="77">
        <v>283.72849000000002</v>
      </c>
      <c r="AI102" s="42">
        <v>300.5</v>
      </c>
      <c r="AJ102" s="42">
        <v>288.60000000000002</v>
      </c>
      <c r="AK102" s="42">
        <v>264.10000000000002</v>
      </c>
      <c r="AL102" s="42">
        <v>299.7</v>
      </c>
      <c r="AM102" s="2">
        <v>304.10000000000002</v>
      </c>
      <c r="AN102" s="625">
        <v>292.89999999999998</v>
      </c>
      <c r="AO102" s="625">
        <v>303.3</v>
      </c>
      <c r="AP102" s="625">
        <v>301.89999999999998</v>
      </c>
      <c r="AQ102" s="71"/>
      <c r="AR102" s="165"/>
      <c r="AS102" s="165"/>
      <c r="AT102" s="165"/>
    </row>
    <row r="103" spans="2:46">
      <c r="B103" s="72"/>
      <c r="C103" s="616"/>
      <c r="D103" s="616"/>
      <c r="R103" s="4"/>
      <c r="S103" s="4"/>
      <c r="T103" s="4"/>
      <c r="U103" s="4"/>
      <c r="V103" s="4"/>
      <c r="W103" s="4"/>
      <c r="X103" s="5"/>
      <c r="Y103" s="5"/>
      <c r="Z103" s="5"/>
      <c r="AA103" s="5"/>
      <c r="AB103" s="5"/>
      <c r="AC103" s="5"/>
      <c r="AD103" s="5"/>
      <c r="AE103" s="5"/>
      <c r="AF103" s="74"/>
      <c r="AG103" s="5"/>
      <c r="AI103" s="42"/>
      <c r="AJ103" s="42"/>
      <c r="AK103" s="42"/>
      <c r="AL103" s="42"/>
      <c r="AN103" s="71"/>
      <c r="AO103" s="71"/>
      <c r="AP103" s="71"/>
      <c r="AQ103" s="71"/>
      <c r="AR103" s="165"/>
      <c r="AS103" s="165"/>
      <c r="AT103" s="165"/>
    </row>
    <row r="104" spans="2:46">
      <c r="B104" s="72"/>
      <c r="C104" s="616" t="s">
        <v>56</v>
      </c>
      <c r="D104" s="616"/>
      <c r="R104" s="4"/>
      <c r="S104" s="4"/>
      <c r="T104" s="4"/>
      <c r="U104" s="4"/>
      <c r="V104" s="4"/>
      <c r="W104" s="4"/>
      <c r="X104" s="5"/>
      <c r="Y104" s="5"/>
      <c r="Z104" s="5"/>
      <c r="AA104" s="5"/>
      <c r="AB104" s="5"/>
      <c r="AC104" s="5"/>
      <c r="AD104" s="5"/>
      <c r="AE104" s="5"/>
      <c r="AF104" s="74"/>
      <c r="AG104" s="5"/>
      <c r="AI104" s="42"/>
      <c r="AJ104" s="42"/>
      <c r="AK104" s="42"/>
      <c r="AL104" s="42"/>
      <c r="AN104" s="71"/>
      <c r="AO104" s="71"/>
      <c r="AP104" s="71"/>
      <c r="AQ104" s="71"/>
      <c r="AR104" s="165"/>
      <c r="AS104" s="165"/>
      <c r="AT104" s="165"/>
    </row>
    <row r="105" spans="2:46">
      <c r="B105" s="72"/>
      <c r="C105" s="2045" t="s">
        <v>57</v>
      </c>
      <c r="D105" s="2045"/>
      <c r="R105" s="4"/>
      <c r="S105" s="4"/>
      <c r="T105" s="4"/>
      <c r="U105" s="4"/>
      <c r="V105" s="4"/>
      <c r="W105" s="4"/>
      <c r="X105" s="5"/>
      <c r="Y105" s="5"/>
      <c r="Z105" s="5"/>
      <c r="AA105" s="5"/>
      <c r="AB105" s="5"/>
      <c r="AC105" s="5"/>
      <c r="AD105" s="5"/>
      <c r="AE105" s="5"/>
      <c r="AF105" s="74">
        <v>18.3</v>
      </c>
      <c r="AG105" s="5">
        <v>16.152999999999999</v>
      </c>
      <c r="AH105" s="5">
        <v>16.252244999999601</v>
      </c>
      <c r="AI105" s="42">
        <v>17.5</v>
      </c>
      <c r="AJ105" s="42">
        <v>0</v>
      </c>
      <c r="AK105" s="42">
        <v>0</v>
      </c>
      <c r="AL105" s="42">
        <v>0</v>
      </c>
      <c r="AM105" s="2">
        <v>0</v>
      </c>
      <c r="AN105" s="625">
        <v>0</v>
      </c>
      <c r="AO105" s="625">
        <v>0</v>
      </c>
      <c r="AP105" s="625">
        <v>0</v>
      </c>
      <c r="AQ105" s="71"/>
      <c r="AR105" s="165"/>
      <c r="AS105" s="165"/>
      <c r="AT105" s="165"/>
    </row>
    <row r="106" spans="2:46">
      <c r="B106" s="72"/>
      <c r="C106" s="2045" t="s">
        <v>58</v>
      </c>
      <c r="D106" s="2045"/>
      <c r="R106" s="4"/>
      <c r="S106" s="4"/>
      <c r="T106" s="4"/>
      <c r="U106" s="4"/>
      <c r="V106" s="4"/>
      <c r="W106" s="4"/>
      <c r="X106" s="5"/>
      <c r="Y106" s="5"/>
      <c r="Z106" s="5"/>
      <c r="AA106" s="5"/>
      <c r="AB106" s="5"/>
      <c r="AC106" s="5"/>
      <c r="AD106" s="5"/>
      <c r="AE106" s="5"/>
      <c r="AF106" s="74">
        <v>1.7</v>
      </c>
      <c r="AG106" s="5">
        <v>1.5489999999999999</v>
      </c>
      <c r="AH106" s="5">
        <v>1.52673000000044</v>
      </c>
      <c r="AI106" s="42">
        <v>1.4</v>
      </c>
      <c r="AJ106" s="42">
        <v>1.1000000000000001</v>
      </c>
      <c r="AK106" s="42">
        <v>1.07</v>
      </c>
      <c r="AL106" s="42">
        <v>2</v>
      </c>
      <c r="AM106" s="2">
        <v>1.9</v>
      </c>
      <c r="AN106" s="625">
        <v>1.9</v>
      </c>
      <c r="AO106" s="625">
        <v>2</v>
      </c>
      <c r="AP106" s="625">
        <v>2.2000000000000002</v>
      </c>
      <c r="AQ106" s="71"/>
      <c r="AR106" s="165"/>
      <c r="AS106" s="165"/>
      <c r="AT106" s="165"/>
    </row>
    <row r="107" spans="2:46">
      <c r="B107" s="72"/>
      <c r="C107" s="2045" t="s">
        <v>59</v>
      </c>
      <c r="D107" s="2045"/>
      <c r="R107" s="4"/>
      <c r="S107" s="4"/>
      <c r="T107" s="4"/>
      <c r="U107" s="4"/>
      <c r="V107" s="4"/>
      <c r="W107" s="4"/>
      <c r="X107" s="5"/>
      <c r="Y107" s="5"/>
      <c r="Z107" s="5"/>
      <c r="AA107" s="5"/>
      <c r="AB107" s="5"/>
      <c r="AC107" s="5"/>
      <c r="AD107" s="5"/>
      <c r="AE107" s="5"/>
      <c r="AF107" s="74">
        <v>0.46</v>
      </c>
      <c r="AG107" s="5">
        <v>0.25208896030789013</v>
      </c>
      <c r="AH107" s="5">
        <v>0.23808800295422358</v>
      </c>
      <c r="AI107" s="42">
        <v>0.4</v>
      </c>
      <c r="AJ107" s="42">
        <v>0.5</v>
      </c>
      <c r="AK107" s="42">
        <v>0.5</v>
      </c>
      <c r="AL107" s="42">
        <v>0.6</v>
      </c>
      <c r="AM107" s="2">
        <v>0.6</v>
      </c>
      <c r="AN107" s="625">
        <v>0.8</v>
      </c>
      <c r="AO107" s="625">
        <v>0.8</v>
      </c>
      <c r="AP107" s="625">
        <v>1</v>
      </c>
      <c r="AQ107" s="71"/>
      <c r="AR107" s="165"/>
      <c r="AS107" s="165"/>
      <c r="AT107" s="165"/>
    </row>
    <row r="108" spans="2:46">
      <c r="B108" s="72"/>
      <c r="C108" s="617"/>
      <c r="D108" s="618"/>
      <c r="R108" s="4"/>
      <c r="S108" s="4"/>
      <c r="T108" s="4"/>
      <c r="U108" s="4"/>
      <c r="V108" s="4"/>
      <c r="W108" s="4"/>
      <c r="X108" s="5"/>
      <c r="Y108" s="5"/>
      <c r="Z108" s="5"/>
      <c r="AA108" s="5"/>
      <c r="AB108" s="5"/>
      <c r="AC108" s="5"/>
      <c r="AD108" s="5"/>
      <c r="AE108" s="5"/>
      <c r="AF108" s="74"/>
      <c r="AG108" s="78"/>
      <c r="AH108" s="41"/>
      <c r="AO108" s="165"/>
      <c r="AP108" s="165"/>
      <c r="AQ108" s="165"/>
      <c r="AR108" s="165"/>
      <c r="AS108" s="165"/>
      <c r="AT108" s="165"/>
    </row>
    <row r="109" spans="2:46">
      <c r="B109" s="72"/>
      <c r="C109" s="617"/>
      <c r="D109" s="618"/>
      <c r="R109" s="4"/>
      <c r="S109" s="4"/>
      <c r="T109" s="4"/>
      <c r="U109" s="4"/>
      <c r="V109" s="4"/>
      <c r="W109" s="4"/>
      <c r="X109" s="5"/>
      <c r="Y109" s="5"/>
      <c r="Z109" s="5"/>
      <c r="AA109" s="5"/>
      <c r="AB109" s="5"/>
      <c r="AC109" s="5"/>
      <c r="AD109" s="5"/>
      <c r="AE109" s="5"/>
      <c r="AF109" s="74"/>
      <c r="AG109" s="78"/>
      <c r="AH109" s="41"/>
      <c r="AO109" s="165"/>
      <c r="AP109" s="165"/>
      <c r="AQ109" s="165"/>
      <c r="AR109" s="165"/>
      <c r="AS109" s="165"/>
      <c r="AT109" s="165"/>
    </row>
    <row r="110" spans="2:46" ht="29.25" customHeight="1">
      <c r="B110" s="72"/>
      <c r="C110" s="615" t="s">
        <v>60</v>
      </c>
      <c r="R110" s="4"/>
      <c r="S110" s="4"/>
      <c r="T110" s="4"/>
      <c r="U110" s="4"/>
      <c r="V110" s="4"/>
      <c r="W110" s="4"/>
      <c r="X110" s="5"/>
      <c r="Y110" s="5"/>
      <c r="Z110" s="5"/>
      <c r="AA110" s="5"/>
      <c r="AB110" s="5"/>
      <c r="AC110" s="5"/>
      <c r="AD110" s="5"/>
      <c r="AE110" s="5"/>
      <c r="AF110" s="54"/>
      <c r="AG110" s="5"/>
      <c r="AO110" s="165"/>
      <c r="AP110" s="165"/>
      <c r="AQ110" s="165"/>
      <c r="AR110" s="165"/>
      <c r="AS110" s="165"/>
      <c r="AT110" s="165"/>
    </row>
    <row r="111" spans="2:46">
      <c r="B111" s="72"/>
      <c r="C111" s="79" t="s">
        <v>61</v>
      </c>
      <c r="D111" s="73"/>
      <c r="R111" s="4"/>
      <c r="S111" s="4"/>
      <c r="T111" s="4"/>
      <c r="U111" s="4"/>
      <c r="V111" s="4"/>
      <c r="W111" s="4"/>
      <c r="X111" s="5"/>
      <c r="Y111" s="5"/>
      <c r="Z111" s="5"/>
      <c r="AA111" s="5"/>
      <c r="AB111" s="5"/>
      <c r="AC111" s="5"/>
      <c r="AD111" s="5"/>
      <c r="AE111" s="5"/>
      <c r="AF111" s="30">
        <v>2009</v>
      </c>
      <c r="AG111" s="33">
        <v>2010</v>
      </c>
      <c r="AH111" s="33">
        <v>2011</v>
      </c>
      <c r="AI111" s="33">
        <v>2012</v>
      </c>
      <c r="AJ111" s="33">
        <v>2013</v>
      </c>
      <c r="AK111" s="33">
        <v>2014</v>
      </c>
      <c r="AL111" s="33">
        <v>2015</v>
      </c>
      <c r="AM111" s="33">
        <v>2016</v>
      </c>
      <c r="AN111" s="33">
        <v>2017</v>
      </c>
      <c r="AO111" s="202">
        <v>2018</v>
      </c>
      <c r="AP111" s="202">
        <v>2019</v>
      </c>
      <c r="AQ111" s="202">
        <v>2020</v>
      </c>
      <c r="AR111" s="165"/>
      <c r="AS111" s="165"/>
      <c r="AT111" s="165"/>
    </row>
    <row r="112" spans="2:46">
      <c r="B112" s="72"/>
      <c r="C112" s="80"/>
      <c r="D112" s="73"/>
      <c r="R112" s="4"/>
      <c r="S112" s="4"/>
      <c r="T112" s="4"/>
      <c r="U112" s="4"/>
      <c r="V112" s="4"/>
      <c r="W112" s="4"/>
      <c r="X112" s="5"/>
      <c r="Y112" s="5"/>
      <c r="Z112" s="5"/>
      <c r="AA112" s="5"/>
      <c r="AB112" s="5"/>
      <c r="AC112" s="5"/>
      <c r="AD112" s="5"/>
      <c r="AE112" s="5"/>
      <c r="AF112" s="5"/>
      <c r="AG112" s="5"/>
      <c r="AO112" s="165"/>
      <c r="AP112" s="165"/>
      <c r="AQ112" s="165"/>
      <c r="AR112" s="165"/>
      <c r="AS112" s="165"/>
      <c r="AT112" s="165"/>
    </row>
    <row r="113" spans="2:46">
      <c r="B113" s="72"/>
      <c r="C113" s="2045" t="s">
        <v>62</v>
      </c>
      <c r="D113" s="2045"/>
      <c r="R113" s="4"/>
      <c r="S113" s="4"/>
      <c r="T113" s="4"/>
      <c r="U113" s="4"/>
      <c r="V113" s="4"/>
      <c r="W113" s="4"/>
      <c r="X113" s="5"/>
      <c r="Y113" s="5"/>
      <c r="Z113" s="5"/>
      <c r="AA113" s="5"/>
      <c r="AB113" s="5"/>
      <c r="AC113" s="5"/>
      <c r="AD113" s="5"/>
      <c r="AE113" s="5"/>
      <c r="AF113" s="74">
        <v>33.455145609040002</v>
      </c>
      <c r="AG113" s="5">
        <v>48.887426169999998</v>
      </c>
      <c r="AH113" s="5">
        <v>64.406580074999994</v>
      </c>
      <c r="AI113" s="42">
        <v>58.9</v>
      </c>
      <c r="AJ113" s="42">
        <v>56.2</v>
      </c>
      <c r="AK113" s="42">
        <v>44.4</v>
      </c>
      <c r="AL113" s="42">
        <v>36.5</v>
      </c>
      <c r="AM113" s="2">
        <v>35</v>
      </c>
      <c r="AN113" s="2">
        <v>33.5</v>
      </c>
      <c r="AO113" s="75">
        <v>31.1</v>
      </c>
      <c r="AP113" s="75">
        <v>30.9</v>
      </c>
      <c r="AQ113" s="75"/>
      <c r="AR113" s="165"/>
      <c r="AS113" s="165"/>
      <c r="AT113" s="165"/>
    </row>
    <row r="114" spans="2:46">
      <c r="B114" s="72"/>
      <c r="C114" s="2045" t="s">
        <v>63</v>
      </c>
      <c r="D114" s="2045"/>
      <c r="R114" s="4"/>
      <c r="S114" s="4"/>
      <c r="T114" s="4"/>
      <c r="U114" s="4"/>
      <c r="V114" s="4"/>
      <c r="W114" s="4"/>
      <c r="X114" s="5"/>
      <c r="Y114" s="5"/>
      <c r="Z114" s="5"/>
      <c r="AA114" s="5"/>
      <c r="AB114" s="5"/>
      <c r="AC114" s="5"/>
      <c r="AD114" s="5"/>
      <c r="AE114" s="5"/>
      <c r="AF114" s="74">
        <v>135.31147772992</v>
      </c>
      <c r="AG114" s="5">
        <v>139.58284568600001</v>
      </c>
      <c r="AH114" s="5">
        <v>141.85652039999999</v>
      </c>
      <c r="AI114" s="42">
        <v>129.6</v>
      </c>
      <c r="AJ114" s="42">
        <v>112.6</v>
      </c>
      <c r="AK114" s="42">
        <v>106.1</v>
      </c>
      <c r="AL114" s="42">
        <v>98</v>
      </c>
      <c r="AM114" s="2">
        <v>98.8</v>
      </c>
      <c r="AN114" s="2">
        <v>100.9</v>
      </c>
      <c r="AO114" s="75">
        <v>103.1</v>
      </c>
      <c r="AP114" s="75">
        <v>110.2</v>
      </c>
      <c r="AQ114" s="75"/>
      <c r="AR114" s="165"/>
      <c r="AS114" s="165"/>
      <c r="AT114" s="165"/>
    </row>
    <row r="115" spans="2:46">
      <c r="B115" s="72"/>
      <c r="C115" s="2045" t="s">
        <v>64</v>
      </c>
      <c r="D115" s="2045"/>
      <c r="R115" s="4"/>
      <c r="S115" s="4"/>
      <c r="T115" s="4"/>
      <c r="U115" s="4"/>
      <c r="V115" s="4"/>
      <c r="W115" s="4"/>
      <c r="X115" s="5"/>
      <c r="Y115" s="5"/>
      <c r="Z115" s="5"/>
      <c r="AA115" s="5"/>
      <c r="AB115" s="5"/>
      <c r="AC115" s="5"/>
      <c r="AD115" s="5"/>
      <c r="AE115" s="5"/>
      <c r="AF115" s="74">
        <v>85.116418672530017</v>
      </c>
      <c r="AG115" s="5">
        <v>40.268610166000002</v>
      </c>
      <c r="AH115" s="5">
        <v>39.480851025</v>
      </c>
      <c r="AI115" s="42">
        <v>48.4</v>
      </c>
      <c r="AJ115" s="42">
        <v>43.3</v>
      </c>
      <c r="AK115" s="42">
        <v>47</v>
      </c>
      <c r="AL115" s="42">
        <v>48.1</v>
      </c>
      <c r="AM115" s="2">
        <v>50</v>
      </c>
      <c r="AN115" s="2">
        <v>54.2</v>
      </c>
      <c r="AO115" s="75">
        <v>59.2</v>
      </c>
      <c r="AP115" s="75">
        <v>78.2</v>
      </c>
      <c r="AQ115" s="75"/>
      <c r="AR115" s="165"/>
      <c r="AS115" s="165"/>
      <c r="AT115" s="165"/>
    </row>
    <row r="116" spans="2:46">
      <c r="B116" s="72"/>
      <c r="C116" s="2045" t="s">
        <v>65</v>
      </c>
      <c r="D116" s="2045"/>
      <c r="R116" s="4"/>
      <c r="S116" s="4"/>
      <c r="T116" s="4"/>
      <c r="U116" s="4"/>
      <c r="V116" s="4"/>
      <c r="W116" s="4"/>
      <c r="X116" s="5"/>
      <c r="Y116" s="5"/>
      <c r="Z116" s="5"/>
      <c r="AA116" s="5"/>
      <c r="AB116" s="5"/>
      <c r="AC116" s="5"/>
      <c r="AD116" s="5"/>
      <c r="AE116" s="5"/>
      <c r="AF116" s="74">
        <v>17.463652756599998</v>
      </c>
      <c r="AG116" s="5">
        <v>17.958088367999999</v>
      </c>
      <c r="AH116" s="5">
        <v>17.885945700000001</v>
      </c>
      <c r="AI116" s="42">
        <v>16.600000000000001</v>
      </c>
      <c r="AJ116" s="42">
        <v>13.7</v>
      </c>
      <c r="AK116" s="42">
        <v>12.6</v>
      </c>
      <c r="AL116" s="42">
        <v>11</v>
      </c>
      <c r="AM116" s="2">
        <v>11.6</v>
      </c>
      <c r="AN116" s="2">
        <v>12.3</v>
      </c>
      <c r="AO116" s="75">
        <v>11.6</v>
      </c>
      <c r="AP116" s="75">
        <v>11.5</v>
      </c>
      <c r="AQ116" s="75"/>
      <c r="AR116" s="165"/>
      <c r="AS116" s="165"/>
      <c r="AT116" s="165"/>
    </row>
    <row r="117" spans="2:46">
      <c r="B117" s="72"/>
      <c r="C117" s="2045" t="s">
        <v>66</v>
      </c>
      <c r="D117" s="2045"/>
      <c r="R117" s="4"/>
      <c r="S117" s="4"/>
      <c r="T117" s="4"/>
      <c r="U117" s="4"/>
      <c r="V117" s="4"/>
      <c r="W117" s="4"/>
      <c r="X117" s="5"/>
      <c r="Y117" s="5"/>
      <c r="Z117" s="5"/>
      <c r="AA117" s="5"/>
      <c r="AB117" s="5"/>
      <c r="AC117" s="5"/>
      <c r="AD117" s="5"/>
      <c r="AE117" s="5"/>
      <c r="AF117" s="74"/>
      <c r="AG117" s="5"/>
      <c r="AN117" s="2"/>
      <c r="AO117" s="75"/>
      <c r="AP117" s="75"/>
      <c r="AQ117" s="75"/>
      <c r="AR117" s="165"/>
      <c r="AS117" s="165"/>
      <c r="AT117" s="165"/>
    </row>
    <row r="118" spans="2:46">
      <c r="B118" s="72"/>
      <c r="C118" s="2045" t="s">
        <v>67</v>
      </c>
      <c r="D118" s="2045"/>
      <c r="R118" s="4"/>
      <c r="S118" s="4"/>
      <c r="T118" s="4"/>
      <c r="U118" s="4"/>
      <c r="V118" s="4"/>
      <c r="W118" s="4"/>
      <c r="X118" s="5"/>
      <c r="Y118" s="5"/>
      <c r="Z118" s="5"/>
      <c r="AA118" s="5"/>
      <c r="AB118" s="5"/>
      <c r="AC118" s="5"/>
      <c r="AD118" s="5"/>
      <c r="AE118" s="5"/>
      <c r="AF118" s="74"/>
      <c r="AG118" s="5"/>
      <c r="AO118" s="165"/>
      <c r="AP118" s="165"/>
      <c r="AQ118" s="165"/>
      <c r="AR118" s="165"/>
      <c r="AS118" s="165"/>
      <c r="AT118" s="165"/>
    </row>
    <row r="119" spans="2:46">
      <c r="B119" s="72"/>
      <c r="C119" s="2045" t="s">
        <v>68</v>
      </c>
      <c r="D119" s="2045"/>
      <c r="R119" s="4"/>
      <c r="S119" s="4"/>
      <c r="T119" s="4"/>
      <c r="U119" s="4"/>
      <c r="V119" s="4"/>
      <c r="W119" s="4"/>
      <c r="X119" s="5"/>
      <c r="Y119" s="5"/>
      <c r="Z119" s="5"/>
      <c r="AA119" s="5"/>
      <c r="AB119" s="5"/>
      <c r="AC119" s="5"/>
      <c r="AD119" s="5"/>
      <c r="AE119" s="5"/>
      <c r="AF119" s="74"/>
      <c r="AG119" s="5"/>
      <c r="AO119" s="165"/>
      <c r="AP119" s="165"/>
      <c r="AQ119" s="165"/>
      <c r="AR119" s="165"/>
      <c r="AS119" s="165"/>
      <c r="AT119" s="165"/>
    </row>
    <row r="120" spans="2:46">
      <c r="B120" s="72"/>
      <c r="C120" s="2045" t="s">
        <v>69</v>
      </c>
      <c r="D120" s="2045"/>
      <c r="R120" s="4"/>
      <c r="S120" s="4"/>
      <c r="T120" s="4"/>
      <c r="U120" s="4"/>
      <c r="V120" s="4"/>
      <c r="W120" s="4"/>
      <c r="X120" s="5"/>
      <c r="Y120" s="5"/>
      <c r="Z120" s="5"/>
      <c r="AA120" s="5"/>
      <c r="AB120" s="5"/>
      <c r="AC120" s="5"/>
      <c r="AD120" s="5"/>
      <c r="AE120" s="5"/>
      <c r="AF120" s="74"/>
      <c r="AG120" s="5"/>
      <c r="AO120" s="165"/>
      <c r="AP120" s="165"/>
      <c r="AQ120" s="165"/>
      <c r="AR120" s="165"/>
      <c r="AS120" s="165"/>
      <c r="AT120" s="165"/>
    </row>
    <row r="121" spans="2:46">
      <c r="B121" s="72"/>
      <c r="C121" s="2045" t="s">
        <v>70</v>
      </c>
      <c r="D121" s="2045"/>
      <c r="R121" s="4"/>
      <c r="S121" s="4"/>
      <c r="T121" s="4"/>
      <c r="U121" s="4"/>
      <c r="V121" s="4"/>
      <c r="W121" s="4"/>
      <c r="X121" s="5"/>
      <c r="Y121" s="5"/>
      <c r="Z121" s="5"/>
      <c r="AA121" s="5"/>
      <c r="AB121" s="5"/>
      <c r="AC121" s="5"/>
      <c r="AD121" s="5"/>
      <c r="AE121" s="5"/>
      <c r="AF121" s="74"/>
      <c r="AG121" s="5"/>
      <c r="AO121" s="165"/>
      <c r="AP121" s="165"/>
      <c r="AQ121" s="165"/>
      <c r="AR121" s="165"/>
      <c r="AS121" s="165"/>
      <c r="AT121" s="165"/>
    </row>
    <row r="122" spans="2:46">
      <c r="B122" s="72"/>
      <c r="C122" s="617"/>
      <c r="D122" s="618"/>
      <c r="R122" s="4"/>
      <c r="S122" s="4"/>
      <c r="T122" s="4"/>
      <c r="U122" s="4"/>
      <c r="V122" s="4"/>
      <c r="W122" s="4"/>
      <c r="X122" s="5"/>
      <c r="Y122" s="5"/>
      <c r="Z122" s="5"/>
      <c r="AA122" s="5"/>
      <c r="AB122" s="5"/>
      <c r="AC122" s="5"/>
      <c r="AD122" s="5"/>
      <c r="AE122" s="5"/>
      <c r="AF122" s="74"/>
      <c r="AG122" s="5"/>
      <c r="AO122" s="165"/>
      <c r="AP122" s="165"/>
      <c r="AQ122" s="165"/>
      <c r="AR122" s="165"/>
      <c r="AS122" s="165"/>
      <c r="AT122" s="165"/>
    </row>
    <row r="123" spans="2:46">
      <c r="B123" s="72"/>
      <c r="C123" s="617"/>
      <c r="D123" s="618"/>
      <c r="R123" s="4"/>
      <c r="S123" s="4"/>
      <c r="T123" s="4"/>
      <c r="U123" s="4"/>
      <c r="V123" s="4"/>
      <c r="W123" s="4"/>
      <c r="X123" s="5"/>
      <c r="Y123" s="5"/>
      <c r="Z123" s="5"/>
      <c r="AA123" s="5"/>
      <c r="AB123" s="5"/>
      <c r="AC123" s="5"/>
      <c r="AD123" s="5"/>
      <c r="AE123" s="5"/>
      <c r="AF123" s="74"/>
      <c r="AG123" s="5"/>
      <c r="AO123" s="165"/>
      <c r="AP123" s="165"/>
      <c r="AQ123" s="165"/>
      <c r="AR123" s="165"/>
      <c r="AS123" s="165"/>
      <c r="AT123" s="165"/>
    </row>
    <row r="124" spans="2:46" hidden="1">
      <c r="B124" s="72"/>
      <c r="C124" s="617"/>
      <c r="D124" s="618"/>
      <c r="R124" s="4"/>
      <c r="S124" s="4"/>
      <c r="T124" s="4"/>
      <c r="U124" s="4"/>
      <c r="V124" s="4"/>
      <c r="W124" s="4"/>
      <c r="X124" s="5"/>
      <c r="Y124" s="5"/>
      <c r="Z124" s="5"/>
      <c r="AA124" s="5"/>
      <c r="AB124" s="5"/>
      <c r="AC124" s="5"/>
      <c r="AD124" s="5"/>
      <c r="AE124" s="5"/>
      <c r="AF124" s="74"/>
      <c r="AG124" s="5"/>
      <c r="AO124" s="165"/>
      <c r="AP124" s="165"/>
      <c r="AQ124" s="165"/>
      <c r="AR124" s="165"/>
      <c r="AS124" s="165"/>
      <c r="AT124" s="165"/>
    </row>
    <row r="125" spans="2:46" hidden="1">
      <c r="B125" s="72"/>
      <c r="C125" s="2047" t="s">
        <v>71</v>
      </c>
      <c r="D125" s="2047"/>
      <c r="R125" s="4"/>
      <c r="S125" s="4"/>
      <c r="T125" s="4"/>
      <c r="U125" s="4"/>
      <c r="V125" s="4"/>
      <c r="W125" s="4"/>
      <c r="X125" s="5"/>
      <c r="Y125" s="5"/>
      <c r="Z125" s="5"/>
      <c r="AA125" s="5"/>
      <c r="AB125" s="5"/>
      <c r="AC125" s="5"/>
      <c r="AD125" s="5"/>
      <c r="AE125" s="5"/>
      <c r="AF125" s="81"/>
      <c r="AG125" s="5"/>
      <c r="AO125" s="165"/>
      <c r="AP125" s="165"/>
      <c r="AQ125" s="165"/>
      <c r="AR125" s="165"/>
      <c r="AS125" s="165"/>
      <c r="AT125" s="165"/>
    </row>
    <row r="126" spans="2:46" hidden="1">
      <c r="B126" s="72"/>
      <c r="C126" s="82" t="s">
        <v>72</v>
      </c>
      <c r="D126" s="82"/>
      <c r="R126" s="4"/>
      <c r="S126" s="4"/>
      <c r="T126" s="4"/>
      <c r="U126" s="4"/>
      <c r="V126" s="4"/>
      <c r="W126" s="4"/>
      <c r="X126" s="5"/>
      <c r="Y126" s="5"/>
      <c r="Z126" s="5"/>
      <c r="AA126" s="5"/>
      <c r="AB126" s="5"/>
      <c r="AC126" s="5"/>
      <c r="AD126" s="5"/>
      <c r="AE126" s="5"/>
      <c r="AF126" s="74"/>
      <c r="AG126" s="5"/>
      <c r="AO126" s="165"/>
      <c r="AP126" s="165"/>
      <c r="AQ126" s="165"/>
      <c r="AR126" s="165"/>
      <c r="AS126" s="165"/>
      <c r="AT126" s="165"/>
    </row>
    <row r="127" spans="2:46" hidden="1">
      <c r="B127" s="72"/>
      <c r="C127" s="82" t="s">
        <v>73</v>
      </c>
      <c r="D127" s="82"/>
      <c r="R127" s="4"/>
      <c r="S127" s="4"/>
      <c r="T127" s="4"/>
      <c r="U127" s="4"/>
      <c r="V127" s="4"/>
      <c r="W127" s="4"/>
      <c r="X127" s="5"/>
      <c r="Y127" s="5"/>
      <c r="Z127" s="5"/>
      <c r="AA127" s="5"/>
      <c r="AB127" s="5"/>
      <c r="AC127" s="5"/>
      <c r="AD127" s="5"/>
      <c r="AE127" s="5"/>
      <c r="AF127" s="74"/>
      <c r="AG127" s="5"/>
      <c r="AO127" s="165"/>
      <c r="AP127" s="165"/>
      <c r="AQ127" s="165"/>
      <c r="AR127" s="165"/>
      <c r="AS127" s="165"/>
      <c r="AT127" s="165"/>
    </row>
    <row r="128" spans="2:46" hidden="1">
      <c r="B128" s="72"/>
      <c r="C128" s="82" t="s">
        <v>74</v>
      </c>
      <c r="D128" s="82"/>
      <c r="R128" s="4"/>
      <c r="S128" s="4"/>
      <c r="T128" s="4"/>
      <c r="U128" s="4"/>
      <c r="V128" s="4"/>
      <c r="W128" s="4"/>
      <c r="X128" s="5"/>
      <c r="Y128" s="5"/>
      <c r="Z128" s="5"/>
      <c r="AA128" s="5"/>
      <c r="AB128" s="5"/>
      <c r="AC128" s="5"/>
      <c r="AD128" s="5"/>
      <c r="AE128" s="5"/>
      <c r="AF128" s="74"/>
      <c r="AG128" s="5"/>
      <c r="AO128" s="165"/>
      <c r="AP128" s="165"/>
      <c r="AQ128" s="165"/>
      <c r="AR128" s="165"/>
      <c r="AS128" s="165"/>
      <c r="AT128" s="165"/>
    </row>
    <row r="129" spans="2:46" hidden="1">
      <c r="B129" s="72"/>
      <c r="C129" s="82" t="s">
        <v>75</v>
      </c>
      <c r="D129" s="82"/>
      <c r="R129" s="4"/>
      <c r="S129" s="4"/>
      <c r="T129" s="4"/>
      <c r="U129" s="4"/>
      <c r="V129" s="4"/>
      <c r="W129" s="4"/>
      <c r="X129" s="5"/>
      <c r="Y129" s="5"/>
      <c r="Z129" s="5"/>
      <c r="AA129" s="5"/>
      <c r="AB129" s="5"/>
      <c r="AC129" s="5"/>
      <c r="AD129" s="5"/>
      <c r="AE129" s="5"/>
      <c r="AF129" s="74"/>
      <c r="AG129" s="5"/>
      <c r="AO129" s="165"/>
      <c r="AP129" s="165"/>
      <c r="AQ129" s="165"/>
      <c r="AR129" s="165"/>
      <c r="AS129" s="165"/>
      <c r="AT129" s="165"/>
    </row>
    <row r="130" spans="2:46" hidden="1">
      <c r="B130" s="72"/>
      <c r="C130" s="82" t="s">
        <v>76</v>
      </c>
      <c r="D130" s="82"/>
      <c r="R130" s="4"/>
      <c r="S130" s="4"/>
      <c r="T130" s="4"/>
      <c r="U130" s="4"/>
      <c r="V130" s="4"/>
      <c r="W130" s="4"/>
      <c r="X130" s="5"/>
      <c r="Y130" s="5"/>
      <c r="Z130" s="5"/>
      <c r="AA130" s="5"/>
      <c r="AB130" s="5"/>
      <c r="AC130" s="5"/>
      <c r="AD130" s="5"/>
      <c r="AE130" s="5"/>
      <c r="AF130" s="74"/>
      <c r="AG130" s="5"/>
      <c r="AO130" s="165"/>
      <c r="AP130" s="165"/>
      <c r="AQ130" s="165"/>
      <c r="AR130" s="165"/>
      <c r="AS130" s="165"/>
      <c r="AT130" s="165"/>
    </row>
    <row r="131" spans="2:46" hidden="1">
      <c r="B131" s="72"/>
      <c r="C131" s="82"/>
      <c r="D131" s="82"/>
      <c r="R131" s="4"/>
      <c r="S131" s="4"/>
      <c r="T131" s="4"/>
      <c r="U131" s="4"/>
      <c r="V131" s="4"/>
      <c r="W131" s="4"/>
      <c r="X131" s="5"/>
      <c r="Y131" s="5"/>
      <c r="Z131" s="5"/>
      <c r="AA131" s="5"/>
      <c r="AB131" s="5"/>
      <c r="AC131" s="5"/>
      <c r="AD131" s="5"/>
      <c r="AE131" s="5"/>
      <c r="AF131" s="74"/>
      <c r="AG131" s="5"/>
      <c r="AO131" s="165"/>
      <c r="AP131" s="165"/>
      <c r="AQ131" s="165"/>
      <c r="AR131" s="165"/>
      <c r="AS131" s="165"/>
      <c r="AT131" s="165"/>
    </row>
    <row r="132" spans="2:46" ht="14.25" hidden="1">
      <c r="B132" s="72"/>
      <c r="C132" s="82" t="s">
        <v>77</v>
      </c>
      <c r="D132" s="82"/>
      <c r="R132" s="4"/>
      <c r="S132" s="4"/>
      <c r="T132" s="4"/>
      <c r="U132" s="4"/>
      <c r="V132" s="4"/>
      <c r="W132" s="4"/>
      <c r="X132" s="5"/>
      <c r="Y132" s="5"/>
      <c r="Z132" s="5"/>
      <c r="AA132" s="5"/>
      <c r="AB132" s="5"/>
      <c r="AC132" s="5"/>
      <c r="AD132" s="5"/>
      <c r="AE132" s="5"/>
      <c r="AF132" s="74"/>
      <c r="AG132" s="5"/>
      <c r="AO132" s="165"/>
      <c r="AP132" s="165"/>
      <c r="AQ132" s="165"/>
      <c r="AR132" s="165"/>
      <c r="AS132" s="165"/>
      <c r="AT132" s="165"/>
    </row>
    <row r="133" spans="2:46" hidden="1">
      <c r="B133" s="72"/>
      <c r="C133" s="72"/>
      <c r="D133" s="72"/>
      <c r="R133" s="4"/>
      <c r="S133" s="4"/>
      <c r="T133" s="4"/>
      <c r="U133" s="4"/>
      <c r="V133" s="4"/>
      <c r="W133" s="4"/>
      <c r="X133" s="5"/>
      <c r="Y133" s="5"/>
      <c r="Z133" s="5"/>
      <c r="AA133" s="5"/>
      <c r="AB133" s="5"/>
      <c r="AC133" s="5"/>
      <c r="AD133" s="5"/>
      <c r="AE133" s="5"/>
      <c r="AF133" s="74"/>
      <c r="AG133" s="5"/>
      <c r="AO133" s="165"/>
      <c r="AP133" s="165"/>
      <c r="AQ133" s="165"/>
      <c r="AR133" s="165"/>
      <c r="AS133" s="165"/>
      <c r="AT133" s="165"/>
    </row>
    <row r="134" spans="2:46" hidden="1">
      <c r="B134" s="72"/>
      <c r="C134" s="72"/>
      <c r="D134" s="72"/>
      <c r="R134" s="4"/>
      <c r="S134" s="4"/>
      <c r="T134" s="4"/>
      <c r="U134" s="4"/>
      <c r="V134" s="4"/>
      <c r="W134" s="4"/>
      <c r="X134" s="5"/>
      <c r="Y134" s="5"/>
      <c r="Z134" s="5"/>
      <c r="AA134" s="5"/>
      <c r="AB134" s="5"/>
      <c r="AC134" s="5"/>
      <c r="AD134" s="5"/>
      <c r="AE134" s="5"/>
      <c r="AF134" s="74"/>
      <c r="AG134" s="5"/>
      <c r="AO134" s="165"/>
      <c r="AP134" s="165"/>
      <c r="AQ134" s="165"/>
      <c r="AR134" s="165"/>
      <c r="AS134" s="165"/>
      <c r="AT134" s="165"/>
    </row>
    <row r="135" spans="2:46" hidden="1">
      <c r="B135" s="72"/>
      <c r="C135" s="72"/>
      <c r="D135" s="72"/>
      <c r="R135" s="4"/>
      <c r="S135" s="4"/>
      <c r="T135" s="4"/>
      <c r="U135" s="4"/>
      <c r="V135" s="4"/>
      <c r="W135" s="4"/>
      <c r="X135" s="5"/>
      <c r="Y135" s="5"/>
      <c r="Z135" s="5"/>
      <c r="AA135" s="5"/>
      <c r="AB135" s="5"/>
      <c r="AC135" s="5"/>
      <c r="AD135" s="5"/>
      <c r="AE135" s="5"/>
      <c r="AF135" s="74"/>
      <c r="AG135" s="5"/>
      <c r="AO135" s="165"/>
      <c r="AP135" s="165"/>
      <c r="AQ135" s="165"/>
      <c r="AR135" s="165"/>
      <c r="AS135" s="165"/>
      <c r="AT135" s="165"/>
    </row>
    <row r="136" spans="2:46" hidden="1">
      <c r="B136" s="72"/>
      <c r="C136" s="72"/>
      <c r="D136" s="72"/>
      <c r="R136" s="4"/>
      <c r="S136" s="4"/>
      <c r="T136" s="4"/>
      <c r="U136" s="4"/>
      <c r="V136" s="4"/>
      <c r="W136" s="4"/>
      <c r="X136" s="5"/>
      <c r="Y136" s="5"/>
      <c r="Z136" s="5"/>
      <c r="AA136" s="5"/>
      <c r="AB136" s="5"/>
      <c r="AC136" s="5"/>
      <c r="AD136" s="5"/>
      <c r="AE136" s="5"/>
      <c r="AF136" s="74"/>
      <c r="AG136" s="5"/>
      <c r="AO136" s="165"/>
      <c r="AP136" s="165"/>
      <c r="AQ136" s="165"/>
      <c r="AR136" s="165"/>
      <c r="AS136" s="165"/>
      <c r="AT136" s="165"/>
    </row>
    <row r="137" spans="2:46" hidden="1">
      <c r="B137" s="68"/>
      <c r="R137" s="4"/>
      <c r="S137" s="4"/>
      <c r="T137" s="4"/>
      <c r="U137" s="4"/>
      <c r="V137" s="4"/>
      <c r="W137" s="4"/>
      <c r="X137" s="5"/>
      <c r="Y137" s="5"/>
      <c r="Z137" s="5"/>
      <c r="AA137" s="5"/>
      <c r="AB137" s="5"/>
      <c r="AC137" s="5"/>
      <c r="AD137" s="5"/>
      <c r="AE137" s="5"/>
      <c r="AF137" s="74"/>
      <c r="AG137" s="5"/>
      <c r="AO137" s="165"/>
      <c r="AP137" s="165"/>
      <c r="AQ137" s="165"/>
      <c r="AR137" s="165"/>
      <c r="AS137" s="165"/>
      <c r="AT137" s="165"/>
    </row>
    <row r="138" spans="2:46">
      <c r="AF138" s="42"/>
      <c r="AO138" s="165"/>
      <c r="AP138" s="165"/>
      <c r="AQ138" s="165"/>
      <c r="AR138" s="165"/>
      <c r="AS138" s="165"/>
      <c r="AT138" s="165"/>
    </row>
    <row r="139" spans="2:46">
      <c r="B139" s="68" t="s">
        <v>78</v>
      </c>
      <c r="C139" s="83"/>
      <c r="R139" s="69">
        <f t="shared" ref="R139:W139" si="18">R157</f>
        <v>0</v>
      </c>
      <c r="S139" s="69">
        <f t="shared" si="18"/>
        <v>0</v>
      </c>
      <c r="T139" s="69">
        <f t="shared" si="18"/>
        <v>0</v>
      </c>
      <c r="U139" s="69">
        <f t="shared" si="18"/>
        <v>0</v>
      </c>
      <c r="V139" s="69">
        <f t="shared" si="18"/>
        <v>0</v>
      </c>
      <c r="W139" s="69">
        <f t="shared" si="18"/>
        <v>0</v>
      </c>
      <c r="X139" s="70"/>
      <c r="Y139" s="70"/>
      <c r="Z139" s="70"/>
      <c r="AA139" s="70"/>
      <c r="AB139" s="70"/>
      <c r="AC139" s="70"/>
      <c r="AD139" s="70"/>
      <c r="AE139" s="70"/>
      <c r="AF139" s="84">
        <v>45.587122199999996</v>
      </c>
      <c r="AG139" s="84">
        <v>43.540119692000005</v>
      </c>
      <c r="AH139" s="84">
        <v>44.240415983999753</v>
      </c>
      <c r="AI139" s="84">
        <v>35.400000000000006</v>
      </c>
      <c r="AJ139" s="84">
        <v>31.200000000000003</v>
      </c>
      <c r="AK139" s="84">
        <v>34.300000000000004</v>
      </c>
      <c r="AL139" s="84">
        <v>35.5</v>
      </c>
      <c r="AM139" s="84">
        <v>38</v>
      </c>
      <c r="AN139" s="84">
        <v>43.7</v>
      </c>
      <c r="AO139" s="71">
        <v>46.16034085830038</v>
      </c>
      <c r="AP139" s="71">
        <v>49.369304973399665</v>
      </c>
      <c r="AQ139" s="71"/>
      <c r="AR139" s="165"/>
      <c r="AS139" s="165"/>
      <c r="AT139" s="165"/>
    </row>
    <row r="140" spans="2:46">
      <c r="B140" s="68"/>
      <c r="C140" s="83"/>
      <c r="R140" s="69"/>
      <c r="S140" s="69"/>
      <c r="T140" s="69"/>
      <c r="U140" s="69"/>
      <c r="V140" s="69"/>
      <c r="W140" s="69"/>
      <c r="X140" s="70"/>
      <c r="Y140" s="70"/>
      <c r="Z140" s="70"/>
      <c r="AA140" s="70"/>
      <c r="AB140" s="70"/>
      <c r="AC140" s="70"/>
      <c r="AD140" s="70"/>
      <c r="AE140" s="70"/>
      <c r="AF140" s="84"/>
      <c r="AG140" s="70"/>
      <c r="AK140" s="84"/>
      <c r="AL140" s="84"/>
      <c r="AM140" s="84"/>
      <c r="AN140" s="84"/>
      <c r="AO140" s="71"/>
      <c r="AP140" s="71"/>
      <c r="AQ140" s="71"/>
      <c r="AR140" s="165"/>
      <c r="AS140" s="165"/>
      <c r="AT140" s="165"/>
    </row>
    <row r="141" spans="2:46" ht="13.5">
      <c r="B141" s="72"/>
      <c r="C141" s="85" t="s">
        <v>79</v>
      </c>
      <c r="D141" s="86"/>
      <c r="R141" s="69"/>
      <c r="S141" s="69"/>
      <c r="T141" s="69"/>
      <c r="U141" s="69"/>
      <c r="V141" s="69"/>
      <c r="W141" s="69"/>
      <c r="X141" s="70"/>
      <c r="Y141" s="70"/>
      <c r="Z141" s="70"/>
      <c r="AA141" s="70"/>
      <c r="AB141" s="70"/>
      <c r="AC141" s="70"/>
      <c r="AD141" s="70"/>
      <c r="AE141" s="70"/>
      <c r="AF141" s="74"/>
      <c r="AG141" s="70"/>
      <c r="AK141" s="74"/>
      <c r="AL141" s="74"/>
      <c r="AM141" s="74"/>
      <c r="AN141" s="74"/>
      <c r="AO141" s="244"/>
      <c r="AP141" s="244"/>
      <c r="AQ141" s="244"/>
      <c r="AR141" s="165"/>
      <c r="AS141" s="165"/>
      <c r="AT141" s="165"/>
    </row>
    <row r="142" spans="2:46">
      <c r="B142" s="72"/>
      <c r="C142" s="2048" t="s">
        <v>80</v>
      </c>
      <c r="D142" s="2049"/>
      <c r="R142" s="69"/>
      <c r="S142" s="69"/>
      <c r="T142" s="69"/>
      <c r="U142" s="69"/>
      <c r="V142" s="69"/>
      <c r="W142" s="69"/>
      <c r="X142" s="70"/>
      <c r="Y142" s="70"/>
      <c r="Z142" s="70"/>
      <c r="AA142" s="70"/>
      <c r="AB142" s="70"/>
      <c r="AC142" s="70"/>
      <c r="AD142" s="70"/>
      <c r="AE142" s="70"/>
      <c r="AF142" s="74">
        <v>15.784146999999999</v>
      </c>
      <c r="AG142" s="87">
        <v>15.278571068000002</v>
      </c>
      <c r="AH142" s="87">
        <v>16.745239784000002</v>
      </c>
      <c r="AI142" s="42">
        <v>12.4</v>
      </c>
      <c r="AJ142" s="42">
        <v>11.7</v>
      </c>
      <c r="AK142" s="74">
        <v>13.4</v>
      </c>
      <c r="AL142" s="74">
        <v>14</v>
      </c>
      <c r="AM142" s="74">
        <v>14.7</v>
      </c>
      <c r="AN142" s="74">
        <v>18</v>
      </c>
      <c r="AO142" s="244">
        <v>18.805441206499999</v>
      </c>
      <c r="AP142" s="244">
        <v>20.011884892400001</v>
      </c>
      <c r="AQ142" s="244"/>
      <c r="AR142" s="165"/>
      <c r="AS142" s="165"/>
      <c r="AT142" s="165"/>
    </row>
    <row r="143" spans="2:46">
      <c r="B143" s="72"/>
      <c r="C143" s="2048" t="s">
        <v>81</v>
      </c>
      <c r="D143" s="2049"/>
      <c r="R143" s="69"/>
      <c r="S143" s="69"/>
      <c r="T143" s="69"/>
      <c r="U143" s="69"/>
      <c r="V143" s="69"/>
      <c r="W143" s="69"/>
      <c r="X143" s="70"/>
      <c r="Y143" s="70"/>
      <c r="Z143" s="70"/>
      <c r="AA143" s="70"/>
      <c r="AB143" s="70"/>
      <c r="AC143" s="70"/>
      <c r="AD143" s="70"/>
      <c r="AE143" s="70"/>
      <c r="AF143" s="74">
        <v>21.102975200000003</v>
      </c>
      <c r="AG143" s="87">
        <v>19.799548624000003</v>
      </c>
      <c r="AH143" s="87">
        <v>19.883544199999999</v>
      </c>
      <c r="AI143" s="42">
        <v>15.8</v>
      </c>
      <c r="AJ143" s="42">
        <v>13.4</v>
      </c>
      <c r="AK143" s="74">
        <v>14.7</v>
      </c>
      <c r="AL143" s="74">
        <v>14.3</v>
      </c>
      <c r="AM143" s="74">
        <v>16</v>
      </c>
      <c r="AN143" s="74">
        <v>18.600000000000001</v>
      </c>
      <c r="AO143" s="244">
        <v>19.6871956518</v>
      </c>
      <c r="AP143" s="244">
        <v>21.266280081000001</v>
      </c>
      <c r="AQ143" s="244"/>
      <c r="AR143" s="165"/>
      <c r="AS143" s="165"/>
      <c r="AT143" s="165"/>
    </row>
    <row r="144" spans="2:46">
      <c r="B144" s="72"/>
      <c r="C144" s="617"/>
      <c r="D144" s="618"/>
      <c r="R144" s="69"/>
      <c r="S144" s="69"/>
      <c r="T144" s="69"/>
      <c r="U144" s="69"/>
      <c r="V144" s="69"/>
      <c r="W144" s="69"/>
      <c r="X144" s="70"/>
      <c r="Y144" s="70"/>
      <c r="Z144" s="70"/>
      <c r="AA144" s="70"/>
      <c r="AB144" s="70"/>
      <c r="AC144" s="70"/>
      <c r="AD144" s="70"/>
      <c r="AE144" s="70"/>
      <c r="AF144" s="74"/>
      <c r="AG144" s="87"/>
      <c r="AH144" s="87"/>
      <c r="AI144" s="42"/>
      <c r="AJ144" s="42"/>
      <c r="AK144" s="74"/>
      <c r="AL144" s="74"/>
      <c r="AM144" s="74"/>
      <c r="AN144" s="74"/>
      <c r="AO144" s="244"/>
      <c r="AP144" s="244"/>
      <c r="AQ144" s="244"/>
      <c r="AR144" s="165"/>
      <c r="AS144" s="165"/>
      <c r="AT144" s="165"/>
    </row>
    <row r="145" spans="1:46">
      <c r="B145" s="72"/>
      <c r="C145" s="2048" t="s">
        <v>82</v>
      </c>
      <c r="D145" s="2049"/>
      <c r="R145" s="69"/>
      <c r="S145" s="69"/>
      <c r="T145" s="69"/>
      <c r="U145" s="69"/>
      <c r="V145" s="69"/>
      <c r="W145" s="69"/>
      <c r="X145" s="70"/>
      <c r="Y145" s="70"/>
      <c r="Z145" s="70"/>
      <c r="AA145" s="70"/>
      <c r="AB145" s="70"/>
      <c r="AC145" s="70"/>
      <c r="AD145" s="70"/>
      <c r="AE145" s="70"/>
      <c r="AF145" s="74">
        <v>8.6999999999999993</v>
      </c>
      <c r="AG145" s="87">
        <v>8.4619999999999997</v>
      </c>
      <c r="AH145" s="87">
        <v>7.6116319999997497</v>
      </c>
      <c r="AI145" s="42">
        <v>7.2</v>
      </c>
      <c r="AJ145" s="42">
        <v>6.1</v>
      </c>
      <c r="AK145" s="74">
        <v>6.2</v>
      </c>
      <c r="AL145" s="74">
        <v>7.2</v>
      </c>
      <c r="AM145" s="74">
        <v>7.3</v>
      </c>
      <c r="AN145" s="74">
        <v>7.1</v>
      </c>
      <c r="AO145" s="244">
        <v>7.6677040000003762</v>
      </c>
      <c r="AP145" s="244">
        <v>8.0911399999996654</v>
      </c>
      <c r="AQ145" s="244"/>
      <c r="AR145" s="165"/>
      <c r="AS145" s="165"/>
      <c r="AT145" s="165"/>
    </row>
    <row r="146" spans="1:46">
      <c r="B146" s="72"/>
      <c r="C146" s="617"/>
      <c r="D146" s="618"/>
      <c r="R146" s="69"/>
      <c r="S146" s="69"/>
      <c r="T146" s="69"/>
      <c r="U146" s="69"/>
      <c r="V146" s="69"/>
      <c r="W146" s="69"/>
      <c r="X146" s="70"/>
      <c r="Y146" s="70"/>
      <c r="Z146" s="70"/>
      <c r="AA146" s="70"/>
      <c r="AB146" s="70"/>
      <c r="AC146" s="70"/>
      <c r="AD146" s="70"/>
      <c r="AE146" s="70"/>
      <c r="AF146" s="74"/>
      <c r="AG146" s="70"/>
      <c r="AI146" s="42"/>
      <c r="AJ146" s="42"/>
      <c r="AK146" s="74"/>
      <c r="AL146" s="74"/>
      <c r="AM146" s="74"/>
      <c r="AN146" s="74"/>
      <c r="AO146" s="244"/>
      <c r="AP146" s="244"/>
      <c r="AQ146" s="244"/>
      <c r="AR146" s="165"/>
      <c r="AS146" s="165"/>
      <c r="AT146" s="165"/>
    </row>
    <row r="147" spans="1:46" hidden="1">
      <c r="B147" s="72"/>
      <c r="C147" s="88" t="s">
        <v>83</v>
      </c>
      <c r="D147" s="82"/>
      <c r="R147" s="69"/>
      <c r="S147" s="69"/>
      <c r="T147" s="69"/>
      <c r="U147" s="69"/>
      <c r="V147" s="69"/>
      <c r="W147" s="69"/>
      <c r="X147" s="70"/>
      <c r="Y147" s="70"/>
      <c r="Z147" s="70"/>
      <c r="AA147" s="70"/>
      <c r="AB147" s="70"/>
      <c r="AC147" s="70"/>
      <c r="AD147" s="70"/>
      <c r="AE147" s="70"/>
      <c r="AF147" s="74"/>
      <c r="AG147" s="70"/>
      <c r="AI147" s="42"/>
      <c r="AJ147" s="42"/>
      <c r="AK147" s="74"/>
      <c r="AL147" s="74"/>
      <c r="AM147" s="74"/>
      <c r="AN147" s="74"/>
      <c r="AO147" s="244"/>
      <c r="AP147" s="244"/>
      <c r="AQ147" s="244"/>
      <c r="AR147" s="165"/>
      <c r="AS147" s="165"/>
      <c r="AT147" s="165"/>
    </row>
    <row r="148" spans="1:46" hidden="1">
      <c r="B148" s="72"/>
      <c r="C148" s="82" t="s">
        <v>84</v>
      </c>
      <c r="D148" s="82"/>
      <c r="R148" s="69"/>
      <c r="S148" s="69"/>
      <c r="T148" s="69"/>
      <c r="U148" s="69"/>
      <c r="V148" s="69"/>
      <c r="W148" s="69"/>
      <c r="X148" s="70"/>
      <c r="Y148" s="70"/>
      <c r="Z148" s="70"/>
      <c r="AA148" s="70"/>
      <c r="AB148" s="70"/>
      <c r="AC148" s="70"/>
      <c r="AD148" s="70"/>
      <c r="AE148" s="70"/>
      <c r="AF148" s="74"/>
      <c r="AG148" s="70"/>
      <c r="AI148" s="42"/>
      <c r="AJ148" s="42"/>
      <c r="AK148" s="74"/>
      <c r="AL148" s="74"/>
      <c r="AM148" s="74"/>
      <c r="AN148" s="74"/>
      <c r="AO148" s="244"/>
      <c r="AP148" s="244"/>
      <c r="AQ148" s="244"/>
      <c r="AR148" s="165"/>
      <c r="AS148" s="165"/>
      <c r="AT148" s="165"/>
    </row>
    <row r="149" spans="1:46" hidden="1">
      <c r="B149" s="72"/>
      <c r="C149" s="2047" t="s">
        <v>85</v>
      </c>
      <c r="D149" s="2047"/>
      <c r="R149" s="69"/>
      <c r="S149" s="69"/>
      <c r="T149" s="69"/>
      <c r="U149" s="69"/>
      <c r="V149" s="69"/>
      <c r="W149" s="69"/>
      <c r="X149" s="70"/>
      <c r="Y149" s="70"/>
      <c r="Z149" s="70"/>
      <c r="AA149" s="70"/>
      <c r="AB149" s="70"/>
      <c r="AC149" s="70"/>
      <c r="AD149" s="70"/>
      <c r="AE149" s="70"/>
      <c r="AF149" s="81"/>
      <c r="AG149" s="70"/>
      <c r="AI149" s="42"/>
      <c r="AJ149" s="42"/>
      <c r="AK149" s="81"/>
      <c r="AL149" s="81"/>
      <c r="AM149" s="81"/>
      <c r="AN149" s="81"/>
      <c r="AO149" s="626"/>
      <c r="AP149" s="626"/>
      <c r="AQ149" s="626"/>
      <c r="AR149" s="165"/>
      <c r="AS149" s="165"/>
      <c r="AT149" s="165"/>
    </row>
    <row r="150" spans="1:46" hidden="1">
      <c r="B150" s="72"/>
      <c r="C150" s="82" t="s">
        <v>86</v>
      </c>
      <c r="D150" s="82"/>
      <c r="R150" s="69"/>
      <c r="S150" s="69"/>
      <c r="T150" s="69"/>
      <c r="U150" s="69"/>
      <c r="V150" s="69"/>
      <c r="W150" s="69"/>
      <c r="X150" s="70"/>
      <c r="Y150" s="70"/>
      <c r="Z150" s="70"/>
      <c r="AA150" s="70"/>
      <c r="AB150" s="70"/>
      <c r="AC150" s="70"/>
      <c r="AD150" s="70"/>
      <c r="AE150" s="70"/>
      <c r="AF150" s="74"/>
      <c r="AG150" s="70"/>
      <c r="AI150" s="42"/>
      <c r="AJ150" s="42"/>
      <c r="AK150" s="74"/>
      <c r="AL150" s="74"/>
      <c r="AM150" s="74"/>
      <c r="AN150" s="74"/>
      <c r="AO150" s="244"/>
      <c r="AP150" s="244"/>
      <c r="AQ150" s="244"/>
      <c r="AR150" s="165"/>
      <c r="AS150" s="165"/>
      <c r="AT150" s="165"/>
    </row>
    <row r="151" spans="1:46" hidden="1">
      <c r="B151" s="72"/>
      <c r="C151" s="82" t="s">
        <v>87</v>
      </c>
      <c r="D151" s="82"/>
      <c r="R151" s="69"/>
      <c r="S151" s="69"/>
      <c r="T151" s="69"/>
      <c r="U151" s="69"/>
      <c r="V151" s="69"/>
      <c r="W151" s="69"/>
      <c r="X151" s="70"/>
      <c r="Y151" s="70"/>
      <c r="Z151" s="70"/>
      <c r="AA151" s="70"/>
      <c r="AB151" s="70"/>
      <c r="AC151" s="70"/>
      <c r="AD151" s="70"/>
      <c r="AE151" s="70"/>
      <c r="AF151" s="74"/>
      <c r="AG151" s="70"/>
      <c r="AI151" s="42"/>
      <c r="AJ151" s="42"/>
      <c r="AK151" s="74"/>
      <c r="AL151" s="74"/>
      <c r="AM151" s="74"/>
      <c r="AN151" s="74"/>
      <c r="AO151" s="244"/>
      <c r="AP151" s="244"/>
      <c r="AQ151" s="244"/>
      <c r="AR151" s="165"/>
      <c r="AS151" s="165"/>
      <c r="AT151" s="165"/>
    </row>
    <row r="152" spans="1:46" hidden="1">
      <c r="B152" s="72"/>
      <c r="C152" s="82" t="s">
        <v>88</v>
      </c>
      <c r="D152" s="82"/>
      <c r="R152" s="4"/>
      <c r="S152" s="4"/>
      <c r="T152" s="4"/>
      <c r="U152" s="4"/>
      <c r="V152" s="4"/>
      <c r="W152" s="4"/>
      <c r="X152" s="5"/>
      <c r="Y152" s="5"/>
      <c r="Z152" s="5"/>
      <c r="AA152" s="5"/>
      <c r="AB152" s="5"/>
      <c r="AC152" s="5"/>
      <c r="AD152" s="5"/>
      <c r="AE152" s="5"/>
      <c r="AF152" s="74"/>
      <c r="AG152" s="5"/>
      <c r="AI152" s="42"/>
      <c r="AJ152" s="42"/>
      <c r="AK152" s="74"/>
      <c r="AL152" s="74"/>
      <c r="AM152" s="74"/>
      <c r="AN152" s="74"/>
      <c r="AO152" s="244"/>
      <c r="AP152" s="244"/>
      <c r="AQ152" s="244"/>
      <c r="AR152" s="165"/>
      <c r="AS152" s="165"/>
      <c r="AT152" s="165"/>
    </row>
    <row r="153" spans="1:46" hidden="1">
      <c r="B153" s="72"/>
      <c r="C153" s="2047" t="s">
        <v>89</v>
      </c>
      <c r="D153" s="2047"/>
      <c r="R153" s="4"/>
      <c r="S153" s="4"/>
      <c r="T153" s="4"/>
      <c r="U153" s="4"/>
      <c r="V153" s="4"/>
      <c r="W153" s="4"/>
      <c r="X153" s="5"/>
      <c r="Y153" s="5"/>
      <c r="Z153" s="5"/>
      <c r="AA153" s="5"/>
      <c r="AB153" s="5"/>
      <c r="AC153" s="5"/>
      <c r="AD153" s="5"/>
      <c r="AE153" s="5"/>
      <c r="AF153" s="81"/>
      <c r="AG153" s="5"/>
      <c r="AI153" s="42"/>
      <c r="AJ153" s="42"/>
      <c r="AK153" s="81"/>
      <c r="AL153" s="81"/>
      <c r="AM153" s="81"/>
      <c r="AN153" s="81"/>
      <c r="AO153" s="626"/>
      <c r="AP153" s="626"/>
      <c r="AQ153" s="626"/>
      <c r="AR153" s="165"/>
      <c r="AS153" s="165"/>
      <c r="AT153" s="165"/>
    </row>
    <row r="154" spans="1:46" hidden="1">
      <c r="B154" s="68"/>
      <c r="C154" s="83"/>
      <c r="R154" s="4"/>
      <c r="S154" s="4"/>
      <c r="T154" s="4"/>
      <c r="U154" s="4"/>
      <c r="V154" s="4"/>
      <c r="W154" s="4"/>
      <c r="X154" s="5"/>
      <c r="Y154" s="5"/>
      <c r="Z154" s="5"/>
      <c r="AA154" s="5"/>
      <c r="AB154" s="5"/>
      <c r="AC154" s="5"/>
      <c r="AD154" s="5"/>
      <c r="AE154" s="5"/>
      <c r="AF154" s="74"/>
      <c r="AG154" s="5"/>
      <c r="AI154" s="42"/>
      <c r="AJ154" s="42"/>
      <c r="AK154" s="74"/>
      <c r="AL154" s="74"/>
      <c r="AM154" s="74"/>
      <c r="AN154" s="74"/>
      <c r="AO154" s="244"/>
      <c r="AP154" s="244"/>
      <c r="AQ154" s="244"/>
      <c r="AR154" s="165"/>
      <c r="AS154" s="165"/>
      <c r="AT154" s="165"/>
    </row>
    <row r="155" spans="1:46" hidden="1">
      <c r="B155" s="68"/>
      <c r="C155" s="83"/>
      <c r="R155" s="4"/>
      <c r="S155" s="4"/>
      <c r="T155" s="4"/>
      <c r="U155" s="4"/>
      <c r="V155" s="4"/>
      <c r="W155" s="4"/>
      <c r="X155" s="5"/>
      <c r="Y155" s="5"/>
      <c r="Z155" s="5"/>
      <c r="AA155" s="5"/>
      <c r="AB155" s="5"/>
      <c r="AC155" s="5"/>
      <c r="AD155" s="5"/>
      <c r="AE155" s="5"/>
      <c r="AF155" s="74"/>
      <c r="AG155" s="5"/>
      <c r="AI155" s="42"/>
      <c r="AJ155" s="42"/>
      <c r="AK155" s="74"/>
      <c r="AL155" s="74"/>
      <c r="AM155" s="74"/>
      <c r="AN155" s="74"/>
      <c r="AO155" s="244"/>
      <c r="AP155" s="244"/>
      <c r="AQ155" s="244"/>
      <c r="AR155" s="165"/>
      <c r="AS155" s="165"/>
      <c r="AT155" s="165"/>
    </row>
    <row r="156" spans="1:46" hidden="1">
      <c r="B156" s="68"/>
      <c r="C156" s="83"/>
      <c r="R156" s="4"/>
      <c r="S156" s="4"/>
      <c r="T156" s="4"/>
      <c r="U156" s="4"/>
      <c r="V156" s="4"/>
      <c r="W156" s="4"/>
      <c r="X156" s="5"/>
      <c r="Y156" s="5"/>
      <c r="Z156" s="5"/>
      <c r="AA156" s="5"/>
      <c r="AB156" s="5"/>
      <c r="AC156" s="5"/>
      <c r="AD156" s="5"/>
      <c r="AE156" s="5"/>
      <c r="AF156" s="74"/>
      <c r="AG156" s="5"/>
      <c r="AI156" s="42"/>
      <c r="AJ156" s="42"/>
      <c r="AK156" s="74"/>
      <c r="AL156" s="74"/>
      <c r="AM156" s="74"/>
      <c r="AN156" s="74"/>
      <c r="AO156" s="244"/>
      <c r="AP156" s="244"/>
      <c r="AQ156" s="244"/>
      <c r="AR156" s="165"/>
      <c r="AS156" s="165"/>
      <c r="AT156" s="165"/>
    </row>
    <row r="157" spans="1:46" hidden="1">
      <c r="B157" s="89"/>
      <c r="C157" s="83"/>
      <c r="R157" s="4"/>
      <c r="S157" s="4"/>
      <c r="T157" s="4"/>
      <c r="U157" s="4"/>
      <c r="V157" s="4"/>
      <c r="W157" s="4"/>
      <c r="X157" s="5"/>
      <c r="Y157" s="5"/>
      <c r="Z157" s="5"/>
      <c r="AA157" s="5"/>
      <c r="AB157" s="5"/>
      <c r="AC157" s="5"/>
      <c r="AD157" s="5"/>
      <c r="AE157" s="5"/>
      <c r="AF157" s="74"/>
      <c r="AG157" s="5"/>
      <c r="AI157" s="42"/>
      <c r="AJ157" s="42"/>
      <c r="AK157" s="74"/>
      <c r="AL157" s="74"/>
      <c r="AM157" s="74"/>
      <c r="AN157" s="74"/>
      <c r="AO157" s="244"/>
      <c r="AP157" s="244"/>
      <c r="AQ157" s="244"/>
      <c r="AR157" s="165"/>
      <c r="AS157" s="165"/>
      <c r="AT157" s="165"/>
    </row>
    <row r="158" spans="1:46" hidden="1">
      <c r="B158" s="89"/>
      <c r="C158" s="83"/>
      <c r="R158" s="4"/>
      <c r="S158" s="4"/>
      <c r="T158" s="4"/>
      <c r="U158" s="4"/>
      <c r="V158" s="4"/>
      <c r="W158" s="4"/>
      <c r="X158" s="5"/>
      <c r="Y158" s="5"/>
      <c r="Z158" s="5"/>
      <c r="AA158" s="5"/>
      <c r="AB158" s="5"/>
      <c r="AC158" s="5"/>
      <c r="AD158" s="5"/>
      <c r="AE158" s="5"/>
      <c r="AF158" s="74"/>
      <c r="AG158" s="5"/>
      <c r="AI158" s="42"/>
      <c r="AJ158" s="42"/>
      <c r="AK158" s="74"/>
      <c r="AL158" s="74"/>
      <c r="AM158" s="74"/>
      <c r="AN158" s="74"/>
      <c r="AO158" s="244"/>
      <c r="AP158" s="244"/>
      <c r="AQ158" s="244"/>
      <c r="AR158" s="165"/>
      <c r="AS158" s="165"/>
      <c r="AT158" s="165"/>
    </row>
    <row r="159" spans="1:46" ht="13.5">
      <c r="A159" s="3"/>
      <c r="B159" s="90" t="s">
        <v>90</v>
      </c>
      <c r="C159" s="91"/>
      <c r="V159" s="4"/>
      <c r="W159" s="4"/>
      <c r="X159" s="5"/>
      <c r="Y159" s="5"/>
      <c r="Z159" s="5"/>
      <c r="AA159" s="5"/>
      <c r="AB159" s="5"/>
      <c r="AC159" s="5"/>
      <c r="AD159" s="5"/>
      <c r="AE159" s="5"/>
      <c r="AF159" s="74"/>
      <c r="AG159" s="5"/>
      <c r="AI159" s="42"/>
      <c r="AJ159" s="42"/>
      <c r="AK159" s="74"/>
      <c r="AL159" s="74"/>
      <c r="AM159" s="74"/>
      <c r="AN159" s="74"/>
      <c r="AO159" s="244"/>
      <c r="AP159" s="244"/>
      <c r="AQ159" s="244"/>
      <c r="AR159" s="165"/>
      <c r="AS159" s="165"/>
      <c r="AT159" s="165"/>
    </row>
    <row r="160" spans="1:46">
      <c r="B160" s="68" t="s">
        <v>91</v>
      </c>
      <c r="C160" s="68"/>
      <c r="D160" s="92"/>
      <c r="E160" s="92"/>
      <c r="F160" s="92"/>
      <c r="G160" s="92"/>
      <c r="H160" s="92"/>
      <c r="I160" s="92"/>
      <c r="J160" s="92"/>
      <c r="K160" s="92"/>
      <c r="L160" s="92"/>
      <c r="M160" s="92"/>
      <c r="N160" s="92"/>
      <c r="O160" s="92"/>
      <c r="P160" s="92"/>
      <c r="Q160" s="92"/>
      <c r="R160" s="92"/>
      <c r="S160" s="92"/>
      <c r="T160" s="92"/>
      <c r="U160" s="92"/>
      <c r="V160" s="92"/>
      <c r="W160" s="92"/>
      <c r="X160" s="70"/>
      <c r="Y160" s="93"/>
      <c r="Z160" s="70"/>
      <c r="AA160" s="93"/>
      <c r="AB160" s="70"/>
      <c r="AC160" s="70"/>
      <c r="AD160" s="70"/>
      <c r="AE160" s="93"/>
      <c r="AF160" s="84">
        <v>115.3</v>
      </c>
      <c r="AG160" s="84">
        <v>108.81</v>
      </c>
      <c r="AH160" s="84">
        <v>115.54</v>
      </c>
      <c r="AI160" s="84">
        <v>110.5</v>
      </c>
      <c r="AJ160" s="84">
        <v>97</v>
      </c>
      <c r="AK160" s="84">
        <v>130.1</v>
      </c>
      <c r="AL160" s="84">
        <v>224.4</v>
      </c>
      <c r="AM160" s="84">
        <v>235.3</v>
      </c>
      <c r="AN160" s="84">
        <v>247.5</v>
      </c>
      <c r="AO160" s="71">
        <v>262.3</v>
      </c>
      <c r="AP160" s="71">
        <v>290.60000000000002</v>
      </c>
      <c r="AQ160" s="71"/>
      <c r="AR160" s="165"/>
      <c r="AS160" s="165"/>
      <c r="AT160" s="165"/>
    </row>
    <row r="161" spans="2:46">
      <c r="B161" s="68"/>
      <c r="C161" s="68"/>
      <c r="D161" s="92"/>
      <c r="E161" s="92"/>
      <c r="F161" s="92"/>
      <c r="G161" s="92"/>
      <c r="H161" s="92"/>
      <c r="I161" s="92"/>
      <c r="J161" s="92"/>
      <c r="K161" s="92"/>
      <c r="L161" s="92"/>
      <c r="M161" s="92"/>
      <c r="N161" s="92"/>
      <c r="O161" s="92"/>
      <c r="P161" s="92"/>
      <c r="Q161" s="92"/>
      <c r="R161" s="92"/>
      <c r="S161" s="92"/>
      <c r="T161" s="92"/>
      <c r="U161" s="92"/>
      <c r="V161" s="92"/>
      <c r="W161" s="92"/>
      <c r="X161" s="92"/>
      <c r="Y161" s="93"/>
      <c r="Z161" s="94"/>
      <c r="AA161" s="93"/>
      <c r="AB161" s="94"/>
      <c r="AC161" s="94"/>
      <c r="AD161" s="94"/>
      <c r="AE161" s="93"/>
      <c r="AF161" s="95"/>
      <c r="AG161" s="93"/>
      <c r="AI161" s="42"/>
      <c r="AJ161" s="42"/>
      <c r="AK161" s="95"/>
      <c r="AL161" s="95"/>
      <c r="AM161" s="95"/>
      <c r="AN161" s="95"/>
      <c r="AO161" s="627"/>
      <c r="AP161" s="627"/>
      <c r="AQ161" s="627"/>
      <c r="AR161" s="165"/>
      <c r="AS161" s="165"/>
      <c r="AT161" s="165"/>
    </row>
    <row r="162" spans="2:46" ht="14.25">
      <c r="B162" s="73" t="s">
        <v>92</v>
      </c>
      <c r="C162" s="73"/>
      <c r="D162" s="73"/>
      <c r="E162" s="614"/>
      <c r="F162" s="614"/>
      <c r="G162" s="614"/>
      <c r="H162" s="614"/>
      <c r="I162" s="614"/>
      <c r="J162" s="614"/>
      <c r="K162" s="614"/>
      <c r="L162" s="614"/>
      <c r="M162" s="614"/>
      <c r="N162" s="614"/>
      <c r="O162" s="614"/>
      <c r="P162" s="614"/>
      <c r="Q162" s="614"/>
      <c r="R162" s="614"/>
      <c r="S162" s="614"/>
      <c r="T162" s="614"/>
      <c r="U162" s="614"/>
      <c r="V162" s="614"/>
      <c r="W162" s="614"/>
      <c r="X162" s="614"/>
      <c r="Y162" s="96"/>
      <c r="Z162" s="97"/>
      <c r="AA162" s="96"/>
      <c r="AB162" s="97"/>
      <c r="AC162" s="97"/>
      <c r="AD162" s="97"/>
      <c r="AE162" s="96"/>
      <c r="AF162" s="74">
        <v>115.3</v>
      </c>
      <c r="AG162" s="96">
        <v>108.81</v>
      </c>
      <c r="AH162" s="96">
        <v>115.54</v>
      </c>
      <c r="AI162" s="42">
        <v>110.5</v>
      </c>
      <c r="AJ162" s="42">
        <v>97</v>
      </c>
      <c r="AK162" s="74">
        <v>130.1</v>
      </c>
      <c r="AL162" s="74">
        <v>224.4</v>
      </c>
      <c r="AM162" s="74">
        <v>235.3</v>
      </c>
      <c r="AN162" s="74">
        <v>247.5</v>
      </c>
      <c r="AO162" s="244">
        <v>262.3</v>
      </c>
      <c r="AP162" s="244">
        <v>290.60000000000002</v>
      </c>
      <c r="AQ162" s="244"/>
      <c r="AR162" s="165"/>
      <c r="AS162" s="165"/>
      <c r="AT162" s="165"/>
    </row>
    <row r="163" spans="2:46">
      <c r="B163" s="73"/>
      <c r="C163" s="73"/>
      <c r="D163" s="73"/>
      <c r="E163" s="614"/>
      <c r="F163" s="614"/>
      <c r="G163" s="614"/>
      <c r="H163" s="614"/>
      <c r="I163" s="614"/>
      <c r="J163" s="614"/>
      <c r="K163" s="614"/>
      <c r="L163" s="614"/>
      <c r="M163" s="614"/>
      <c r="N163" s="614"/>
      <c r="O163" s="614"/>
      <c r="P163" s="614"/>
      <c r="Q163" s="614"/>
      <c r="R163" s="614"/>
      <c r="S163" s="614"/>
      <c r="T163" s="614"/>
      <c r="U163" s="614"/>
      <c r="V163" s="614"/>
      <c r="W163" s="614"/>
      <c r="X163" s="614"/>
      <c r="Y163" s="96"/>
      <c r="Z163" s="97"/>
      <c r="AA163" s="96"/>
      <c r="AB163" s="97"/>
      <c r="AC163" s="97"/>
      <c r="AD163" s="97"/>
      <c r="AE163" s="96"/>
      <c r="AF163" s="74"/>
      <c r="AG163" s="96"/>
      <c r="AK163" s="84"/>
      <c r="AL163" s="84"/>
      <c r="AO163" s="165"/>
      <c r="AP163" s="165"/>
      <c r="AQ163" s="165"/>
      <c r="AR163" s="165"/>
      <c r="AS163" s="165"/>
      <c r="AT163" s="165"/>
    </row>
    <row r="164" spans="2:46" hidden="1">
      <c r="B164" s="73"/>
      <c r="C164" s="2047" t="s">
        <v>93</v>
      </c>
      <c r="D164" s="2047"/>
      <c r="E164" s="614"/>
      <c r="F164" s="614"/>
      <c r="G164" s="614"/>
      <c r="H164" s="614"/>
      <c r="I164" s="614"/>
      <c r="J164" s="614"/>
      <c r="K164" s="614"/>
      <c r="L164" s="614"/>
      <c r="M164" s="614"/>
      <c r="N164" s="614"/>
      <c r="O164" s="614"/>
      <c r="P164" s="614"/>
      <c r="Q164" s="614"/>
      <c r="R164" s="614"/>
      <c r="S164" s="614"/>
      <c r="T164" s="614"/>
      <c r="U164" s="614"/>
      <c r="V164" s="614"/>
      <c r="W164" s="614"/>
      <c r="X164" s="614"/>
      <c r="Y164" s="96"/>
      <c r="Z164" s="97"/>
      <c r="AA164" s="96"/>
      <c r="AB164" s="97"/>
      <c r="AC164" s="97"/>
      <c r="AD164" s="97"/>
      <c r="AE164" s="96"/>
      <c r="AF164" s="81"/>
      <c r="AG164" s="96"/>
      <c r="AO164" s="165"/>
      <c r="AP164" s="165"/>
      <c r="AQ164" s="165"/>
      <c r="AR164" s="165"/>
      <c r="AS164" s="165"/>
      <c r="AT164" s="165"/>
    </row>
    <row r="165" spans="2:46" hidden="1">
      <c r="B165" s="73"/>
      <c r="C165" s="82" t="s">
        <v>94</v>
      </c>
      <c r="D165" s="82"/>
      <c r="E165" s="614"/>
      <c r="F165" s="614"/>
      <c r="G165" s="614"/>
      <c r="H165" s="614"/>
      <c r="I165" s="614"/>
      <c r="J165" s="614"/>
      <c r="K165" s="614"/>
      <c r="L165" s="614"/>
      <c r="M165" s="614"/>
      <c r="N165" s="614"/>
      <c r="O165" s="614"/>
      <c r="P165" s="614"/>
      <c r="Q165" s="614"/>
      <c r="R165" s="614"/>
      <c r="S165" s="614"/>
      <c r="T165" s="614"/>
      <c r="U165" s="614"/>
      <c r="V165" s="614"/>
      <c r="W165" s="614"/>
      <c r="X165" s="614"/>
      <c r="Y165" s="96"/>
      <c r="Z165" s="97"/>
      <c r="AA165" s="96"/>
      <c r="AB165" s="97"/>
      <c r="AC165" s="97"/>
      <c r="AD165" s="97"/>
      <c r="AE165" s="96"/>
      <c r="AF165" s="74"/>
      <c r="AG165" s="96"/>
      <c r="AO165" s="165"/>
      <c r="AP165" s="165"/>
      <c r="AQ165" s="165"/>
      <c r="AR165" s="165"/>
      <c r="AS165" s="165"/>
      <c r="AT165" s="165"/>
    </row>
    <row r="166" spans="2:46">
      <c r="B166" s="68"/>
      <c r="C166" s="68"/>
      <c r="D166" s="614"/>
      <c r="E166" s="614"/>
      <c r="F166" s="614"/>
      <c r="G166" s="614"/>
      <c r="H166" s="614"/>
      <c r="I166" s="614"/>
      <c r="J166" s="614"/>
      <c r="K166" s="614"/>
      <c r="L166" s="614"/>
      <c r="M166" s="614"/>
      <c r="N166" s="614"/>
      <c r="O166" s="614"/>
      <c r="P166" s="614"/>
      <c r="Q166" s="614"/>
      <c r="R166" s="614"/>
      <c r="S166" s="614"/>
      <c r="T166" s="614"/>
      <c r="U166" s="614"/>
      <c r="V166" s="614"/>
      <c r="W166" s="614"/>
      <c r="X166" s="614"/>
      <c r="Y166" s="96"/>
      <c r="Z166" s="97"/>
      <c r="AA166" s="96"/>
      <c r="AB166" s="97"/>
      <c r="AC166" s="97"/>
      <c r="AD166" s="97"/>
      <c r="AE166" s="96"/>
      <c r="AF166" s="97"/>
      <c r="AG166" s="96"/>
      <c r="AO166" s="165"/>
      <c r="AP166" s="165"/>
      <c r="AQ166" s="165"/>
      <c r="AR166" s="165"/>
      <c r="AS166" s="165"/>
      <c r="AT166" s="165"/>
    </row>
    <row r="167" spans="2:46">
      <c r="B167" s="68"/>
      <c r="C167" s="68"/>
      <c r="D167" s="92"/>
      <c r="E167" s="92"/>
      <c r="F167" s="92"/>
      <c r="G167" s="92"/>
      <c r="H167" s="92"/>
      <c r="I167" s="92"/>
      <c r="J167" s="92"/>
      <c r="K167" s="92"/>
      <c r="L167" s="92"/>
      <c r="M167" s="92"/>
      <c r="N167" s="92"/>
      <c r="O167" s="92"/>
      <c r="P167" s="92"/>
      <c r="Q167" s="92"/>
      <c r="R167" s="92"/>
      <c r="S167" s="92"/>
      <c r="T167" s="92"/>
      <c r="U167" s="92"/>
      <c r="V167" s="92"/>
      <c r="W167" s="92"/>
      <c r="X167" s="92"/>
      <c r="Y167" s="93"/>
      <c r="Z167" s="94"/>
      <c r="AA167" s="93"/>
      <c r="AB167" s="94"/>
      <c r="AC167" s="94"/>
      <c r="AD167" s="94"/>
      <c r="AE167" s="93"/>
      <c r="AF167" s="97"/>
      <c r="AG167" s="93"/>
      <c r="AO167" s="165"/>
      <c r="AP167" s="165"/>
      <c r="AQ167" s="165"/>
      <c r="AR167" s="165"/>
      <c r="AS167" s="165"/>
      <c r="AT167" s="165"/>
    </row>
    <row r="168" spans="2:46" ht="12.75" customHeight="1">
      <c r="B168" s="2052" t="s">
        <v>95</v>
      </c>
      <c r="C168" s="2053"/>
      <c r="D168" s="2053"/>
      <c r="E168" s="2053"/>
      <c r="F168" s="2053"/>
      <c r="G168" s="2053"/>
      <c r="H168" s="2053"/>
      <c r="I168" s="2053"/>
      <c r="J168" s="2053"/>
      <c r="K168" s="2053"/>
      <c r="L168" s="2053"/>
      <c r="M168" s="2053"/>
      <c r="N168" s="2053"/>
      <c r="O168" s="2053"/>
      <c r="P168" s="2053"/>
      <c r="Q168" s="2053"/>
      <c r="R168" s="2053"/>
      <c r="S168" s="2053"/>
      <c r="T168" s="2053"/>
      <c r="U168" s="2053"/>
      <c r="V168" s="2053"/>
      <c r="W168" s="2053"/>
      <c r="X168" s="2053"/>
      <c r="Y168" s="2053"/>
      <c r="Z168" s="2053"/>
      <c r="AA168" s="2053"/>
      <c r="AB168" s="2053"/>
      <c r="AC168" s="2053"/>
      <c r="AD168" s="2053"/>
      <c r="AE168" s="2053"/>
      <c r="AF168" s="2053"/>
      <c r="AG168" s="93"/>
      <c r="AO168" s="165"/>
      <c r="AP168" s="165"/>
      <c r="AQ168" s="165"/>
      <c r="AR168" s="165"/>
      <c r="AS168" s="165"/>
      <c r="AT168" s="165"/>
    </row>
    <row r="169" spans="2:46" ht="12.75" customHeight="1">
      <c r="B169" s="2053"/>
      <c r="C169" s="2053"/>
      <c r="D169" s="2053"/>
      <c r="E169" s="2053"/>
      <c r="F169" s="2053"/>
      <c r="G169" s="2053"/>
      <c r="H169" s="2053"/>
      <c r="I169" s="2053"/>
      <c r="J169" s="2053"/>
      <c r="K169" s="2053"/>
      <c r="L169" s="2053"/>
      <c r="M169" s="2053"/>
      <c r="N169" s="2053"/>
      <c r="O169" s="2053"/>
      <c r="P169" s="2053"/>
      <c r="Q169" s="2053"/>
      <c r="R169" s="2053"/>
      <c r="S169" s="2053"/>
      <c r="T169" s="2053"/>
      <c r="U169" s="2053"/>
      <c r="V169" s="2053"/>
      <c r="W169" s="2053"/>
      <c r="X169" s="2053"/>
      <c r="Y169" s="2053"/>
      <c r="Z169" s="2053"/>
      <c r="AA169" s="2053"/>
      <c r="AB169" s="2053"/>
      <c r="AC169" s="2053"/>
      <c r="AD169" s="2053"/>
      <c r="AE169" s="2053"/>
      <c r="AF169" s="2053"/>
      <c r="AG169" s="93"/>
      <c r="AO169" s="165"/>
      <c r="AP169" s="165"/>
      <c r="AQ169" s="165"/>
      <c r="AR169" s="165"/>
      <c r="AS169" s="165"/>
      <c r="AT169" s="165"/>
    </row>
    <row r="170" spans="2:46" ht="42.95" customHeight="1">
      <c r="B170" s="2054" t="s">
        <v>96</v>
      </c>
      <c r="C170" s="2054"/>
      <c r="D170" s="2054"/>
      <c r="E170" s="2054"/>
      <c r="F170" s="2054"/>
      <c r="G170" s="2054"/>
      <c r="H170" s="2054"/>
      <c r="I170" s="2054"/>
      <c r="J170" s="2054"/>
      <c r="K170" s="2054"/>
      <c r="L170" s="2054"/>
      <c r="M170" s="2054"/>
      <c r="N170" s="2054"/>
      <c r="O170" s="2054"/>
      <c r="P170" s="2054"/>
      <c r="Q170" s="2054"/>
      <c r="R170" s="2054"/>
      <c r="S170" s="2054"/>
      <c r="T170" s="2054"/>
      <c r="U170" s="2054"/>
      <c r="V170" s="2054"/>
      <c r="W170" s="2054"/>
      <c r="X170" s="2054"/>
      <c r="Y170" s="2054"/>
      <c r="Z170" s="2054"/>
      <c r="AA170" s="2054"/>
      <c r="AB170" s="2054"/>
      <c r="AC170" s="2054"/>
      <c r="AD170" s="2054"/>
      <c r="AE170" s="2054"/>
      <c r="AF170" s="2054"/>
      <c r="AG170" s="2054"/>
      <c r="AH170" s="2054"/>
      <c r="AI170" s="2054"/>
      <c r="AJ170" s="2054"/>
      <c r="AK170" s="57"/>
      <c r="AL170" s="57"/>
      <c r="AM170" s="57"/>
      <c r="AO170" s="165"/>
      <c r="AP170" s="165"/>
      <c r="AQ170" s="165"/>
      <c r="AR170" s="165"/>
      <c r="AS170" s="165"/>
      <c r="AT170" s="165"/>
    </row>
    <row r="171" spans="2:46">
      <c r="AO171" s="165"/>
      <c r="AP171" s="165"/>
      <c r="AQ171" s="165"/>
      <c r="AR171" s="165"/>
      <c r="AS171" s="165"/>
      <c r="AT171" s="165"/>
    </row>
    <row r="172" spans="2:46">
      <c r="B172" s="98" t="s">
        <v>97</v>
      </c>
      <c r="C172" s="98"/>
      <c r="D172" s="98"/>
      <c r="E172" s="98"/>
      <c r="F172" s="98"/>
      <c r="G172" s="98"/>
      <c r="H172" s="98"/>
      <c r="I172" s="98"/>
      <c r="J172" s="98"/>
      <c r="K172" s="98"/>
      <c r="L172" s="98"/>
      <c r="M172" s="98"/>
      <c r="N172" s="98"/>
      <c r="O172" s="98"/>
      <c r="P172" s="98"/>
      <c r="Q172" s="98"/>
      <c r="R172" s="98"/>
      <c r="S172" s="98"/>
      <c r="T172" s="98"/>
      <c r="U172" s="98"/>
      <c r="V172" s="98"/>
      <c r="W172" s="98"/>
      <c r="X172" s="99"/>
      <c r="Y172" s="99"/>
      <c r="Z172" s="99"/>
      <c r="AA172" s="99"/>
      <c r="AB172" s="99"/>
      <c r="AC172" s="99"/>
      <c r="AD172" s="99"/>
      <c r="AE172" s="99"/>
      <c r="AF172" s="99"/>
      <c r="AG172" s="99"/>
      <c r="AH172" s="99"/>
      <c r="AO172" s="165"/>
      <c r="AP172" s="165"/>
      <c r="AQ172" s="165"/>
      <c r="AR172" s="165"/>
      <c r="AS172" s="165"/>
      <c r="AT172" s="165"/>
    </row>
    <row r="173" spans="2:46">
      <c r="B173" s="98"/>
      <c r="C173" s="98"/>
      <c r="D173" s="98"/>
      <c r="E173" s="98"/>
      <c r="F173" s="98"/>
      <c r="G173" s="98"/>
      <c r="H173" s="98"/>
      <c r="I173" s="98"/>
      <c r="J173" s="98"/>
      <c r="K173" s="98"/>
      <c r="L173" s="98"/>
      <c r="M173" s="98"/>
      <c r="N173" s="98"/>
      <c r="O173" s="98"/>
      <c r="P173" s="98"/>
      <c r="Q173" s="98"/>
      <c r="R173" s="98"/>
      <c r="S173" s="98"/>
      <c r="T173" s="98"/>
      <c r="U173" s="98"/>
      <c r="V173" s="98"/>
      <c r="W173" s="98"/>
      <c r="X173" s="99"/>
      <c r="Y173" s="99"/>
      <c r="Z173" s="99"/>
      <c r="AA173" s="99"/>
      <c r="AB173" s="99"/>
      <c r="AC173" s="99"/>
      <c r="AD173" s="99"/>
      <c r="AE173" s="99"/>
      <c r="AF173" s="99"/>
      <c r="AG173" s="99"/>
      <c r="AH173" s="99"/>
      <c r="AO173" s="165"/>
      <c r="AP173" s="165"/>
      <c r="AQ173" s="165"/>
      <c r="AR173" s="165"/>
      <c r="AS173" s="165"/>
      <c r="AT173" s="165"/>
    </row>
    <row r="174" spans="2:46" ht="18" customHeight="1">
      <c r="B174" s="100" t="s">
        <v>98</v>
      </c>
      <c r="C174" s="100"/>
      <c r="D174" s="100"/>
      <c r="E174" s="100"/>
      <c r="F174" s="98"/>
      <c r="G174" s="98"/>
      <c r="H174" s="98"/>
      <c r="I174" s="98"/>
      <c r="J174" s="98"/>
      <c r="K174" s="98"/>
      <c r="L174" s="98"/>
      <c r="M174" s="98"/>
      <c r="N174" s="98"/>
      <c r="O174" s="98"/>
      <c r="P174" s="98"/>
      <c r="Q174" s="98"/>
      <c r="R174" s="98"/>
      <c r="S174" s="98"/>
      <c r="T174" s="98"/>
      <c r="U174" s="98"/>
      <c r="V174" s="98"/>
      <c r="W174" s="98"/>
      <c r="X174" s="99"/>
      <c r="Y174" s="99"/>
      <c r="Z174" s="99"/>
      <c r="AA174" s="99"/>
      <c r="AB174" s="99"/>
      <c r="AC174" s="99"/>
      <c r="AD174" s="99"/>
      <c r="AE174" s="99"/>
      <c r="AF174" s="99"/>
      <c r="AG174" s="99"/>
      <c r="AH174" s="99"/>
      <c r="AO174" s="165"/>
      <c r="AP174" s="165"/>
      <c r="AQ174" s="165"/>
      <c r="AR174" s="165"/>
      <c r="AS174" s="165"/>
      <c r="AT174" s="165"/>
    </row>
    <row r="175" spans="2:46" ht="20.25" customHeight="1">
      <c r="B175" s="2055" t="s">
        <v>99</v>
      </c>
      <c r="C175" s="2055"/>
      <c r="D175" s="2055"/>
      <c r="E175" s="2055"/>
      <c r="F175" s="2051"/>
      <c r="G175" s="2051"/>
      <c r="H175" s="2051"/>
      <c r="I175" s="2051"/>
      <c r="J175" s="2051"/>
      <c r="K175" s="2051"/>
      <c r="L175" s="2051"/>
      <c r="M175" s="2051"/>
      <c r="N175" s="2051"/>
      <c r="O175" s="2051"/>
      <c r="P175" s="2051"/>
      <c r="Q175" s="2051"/>
      <c r="R175" s="2051"/>
      <c r="S175" s="2051"/>
      <c r="T175" s="2051"/>
      <c r="U175" s="2051"/>
      <c r="V175" s="2051"/>
      <c r="W175" s="2051"/>
      <c r="X175" s="2051"/>
      <c r="Y175" s="2051"/>
      <c r="Z175" s="2051"/>
      <c r="AA175" s="2051"/>
      <c r="AB175" s="2051"/>
      <c r="AC175" s="2051"/>
      <c r="AD175" s="2051"/>
      <c r="AE175" s="2051"/>
      <c r="AF175" s="2051"/>
      <c r="AG175" s="2051"/>
      <c r="AH175" s="2051"/>
      <c r="AI175" s="1953"/>
      <c r="AJ175" s="1953"/>
      <c r="AO175" s="165"/>
      <c r="AP175" s="165"/>
      <c r="AQ175" s="165"/>
      <c r="AR175" s="165"/>
      <c r="AS175" s="165"/>
      <c r="AT175" s="165"/>
    </row>
    <row r="176" spans="2:46" ht="44.25" customHeight="1">
      <c r="B176" s="2055" t="s">
        <v>100</v>
      </c>
      <c r="C176" s="2055"/>
      <c r="D176" s="2055"/>
      <c r="E176" s="2055"/>
      <c r="F176" s="2051"/>
      <c r="G176" s="2051"/>
      <c r="H176" s="2051"/>
      <c r="I176" s="2051"/>
      <c r="J176" s="2051"/>
      <c r="K176" s="2051"/>
      <c r="L176" s="2051"/>
      <c r="M176" s="2051"/>
      <c r="N176" s="2051"/>
      <c r="O176" s="2051"/>
      <c r="P176" s="2051"/>
      <c r="Q176" s="2051"/>
      <c r="R176" s="2051"/>
      <c r="S176" s="2051"/>
      <c r="T176" s="2051"/>
      <c r="U176" s="2051"/>
      <c r="V176" s="2051"/>
      <c r="W176" s="2051"/>
      <c r="X176" s="2051"/>
      <c r="Y176" s="2051"/>
      <c r="Z176" s="2051"/>
      <c r="AA176" s="2051"/>
      <c r="AB176" s="2051"/>
      <c r="AC176" s="2051"/>
      <c r="AD176" s="2051"/>
      <c r="AE176" s="2051"/>
      <c r="AF176" s="2051"/>
      <c r="AG176" s="2051"/>
      <c r="AH176" s="2051"/>
      <c r="AI176" s="1953"/>
      <c r="AJ176" s="1953"/>
      <c r="AO176" s="165"/>
      <c r="AP176" s="165"/>
      <c r="AQ176" s="165"/>
      <c r="AR176" s="165"/>
      <c r="AS176" s="165"/>
      <c r="AT176" s="165"/>
    </row>
    <row r="177" spans="2:46" ht="22.5" customHeight="1">
      <c r="B177" s="2050" t="s">
        <v>101</v>
      </c>
      <c r="C177" s="2050"/>
      <c r="D177" s="2050"/>
      <c r="E177" s="2050"/>
      <c r="F177" s="2051"/>
      <c r="G177" s="2051"/>
      <c r="H177" s="2051"/>
      <c r="I177" s="2051"/>
      <c r="J177" s="2051"/>
      <c r="K177" s="2051"/>
      <c r="L177" s="2051"/>
      <c r="M177" s="2051"/>
      <c r="N177" s="2051"/>
      <c r="O177" s="2051"/>
      <c r="P177" s="2051"/>
      <c r="Q177" s="2051"/>
      <c r="R177" s="2051"/>
      <c r="S177" s="2051"/>
      <c r="T177" s="2051"/>
      <c r="U177" s="2051"/>
      <c r="V177" s="2051"/>
      <c r="W177" s="2051"/>
      <c r="X177" s="2051"/>
      <c r="Y177" s="2051"/>
      <c r="Z177" s="2051"/>
      <c r="AA177" s="2051"/>
      <c r="AB177" s="2051"/>
      <c r="AC177" s="2051"/>
      <c r="AD177" s="2051"/>
      <c r="AE177" s="2051"/>
      <c r="AF177" s="2051"/>
      <c r="AG177" s="2051"/>
      <c r="AH177" s="2051"/>
      <c r="AI177" s="1953"/>
      <c r="AJ177" s="1953"/>
      <c r="AO177" s="165"/>
      <c r="AP177" s="165"/>
      <c r="AQ177" s="165"/>
      <c r="AR177" s="165"/>
      <c r="AS177" s="165"/>
      <c r="AT177" s="165"/>
    </row>
    <row r="178" spans="2:46" ht="31.5" customHeight="1">
      <c r="B178" s="2050" t="s">
        <v>102</v>
      </c>
      <c r="C178" s="2050"/>
      <c r="D178" s="2050"/>
      <c r="E178" s="2050"/>
      <c r="F178" s="2051"/>
      <c r="G178" s="2051"/>
      <c r="H178" s="2051"/>
      <c r="I178" s="2051"/>
      <c r="J178" s="2051"/>
      <c r="K178" s="2051"/>
      <c r="L178" s="2051"/>
      <c r="M178" s="2051"/>
      <c r="N178" s="2051"/>
      <c r="O178" s="2051"/>
      <c r="P178" s="2051"/>
      <c r="Q178" s="2051"/>
      <c r="R178" s="2051"/>
      <c r="S178" s="2051"/>
      <c r="T178" s="2051"/>
      <c r="U178" s="2051"/>
      <c r="V178" s="2051"/>
      <c r="W178" s="2051"/>
      <c r="X178" s="2051"/>
      <c r="Y178" s="2051"/>
      <c r="Z178" s="2051"/>
      <c r="AA178" s="2051"/>
      <c r="AB178" s="2051"/>
      <c r="AC178" s="2051"/>
      <c r="AD178" s="2051"/>
      <c r="AE178" s="2051"/>
      <c r="AF178" s="2051"/>
      <c r="AG178" s="2051"/>
      <c r="AH178" s="2051"/>
      <c r="AI178" s="1953"/>
      <c r="AJ178" s="1953"/>
      <c r="AO178" s="165"/>
      <c r="AP178" s="165"/>
      <c r="AQ178" s="165"/>
      <c r="AR178" s="165"/>
      <c r="AS178" s="165"/>
      <c r="AT178" s="165"/>
    </row>
    <row r="179" spans="2:46" ht="27" customHeight="1">
      <c r="B179" s="2050" t="s">
        <v>103</v>
      </c>
      <c r="C179" s="2050"/>
      <c r="D179" s="2050"/>
      <c r="E179" s="2050"/>
      <c r="F179" s="2051"/>
      <c r="G179" s="2051"/>
      <c r="H179" s="2051"/>
      <c r="I179" s="2051"/>
      <c r="J179" s="2051"/>
      <c r="K179" s="2051"/>
      <c r="L179" s="2051"/>
      <c r="M179" s="2051"/>
      <c r="N179" s="2051"/>
      <c r="O179" s="2051"/>
      <c r="P179" s="2051"/>
      <c r="Q179" s="2051"/>
      <c r="R179" s="2051"/>
      <c r="S179" s="2051"/>
      <c r="T179" s="2051"/>
      <c r="U179" s="2051"/>
      <c r="V179" s="2051"/>
      <c r="W179" s="2051"/>
      <c r="X179" s="2051"/>
      <c r="Y179" s="2051"/>
      <c r="Z179" s="2051"/>
      <c r="AA179" s="2051"/>
      <c r="AB179" s="2051"/>
      <c r="AC179" s="2051"/>
      <c r="AD179" s="2051"/>
      <c r="AE179" s="2051"/>
      <c r="AF179" s="2051"/>
      <c r="AG179" s="2051"/>
      <c r="AH179" s="2051"/>
      <c r="AI179" s="1953"/>
      <c r="AJ179" s="1953"/>
      <c r="AO179" s="165"/>
      <c r="AP179" s="165"/>
      <c r="AQ179" s="165"/>
      <c r="AR179" s="165"/>
      <c r="AS179" s="165"/>
      <c r="AT179" s="165"/>
    </row>
    <row r="180" spans="2:46" ht="22.5" customHeight="1">
      <c r="B180" s="101" t="s">
        <v>104</v>
      </c>
      <c r="C180" s="619"/>
      <c r="D180" s="619"/>
      <c r="E180" s="619"/>
      <c r="F180" s="620"/>
      <c r="G180" s="620"/>
      <c r="H180" s="620"/>
      <c r="I180" s="620"/>
      <c r="J180" s="620"/>
      <c r="K180" s="620"/>
      <c r="L180" s="620"/>
      <c r="M180" s="620"/>
      <c r="N180" s="620"/>
      <c r="O180" s="620"/>
      <c r="P180" s="620"/>
      <c r="Q180" s="620"/>
      <c r="R180" s="620"/>
      <c r="S180" s="620"/>
      <c r="T180" s="620"/>
      <c r="U180" s="620"/>
      <c r="V180" s="620"/>
      <c r="W180" s="620"/>
      <c r="X180" s="620"/>
      <c r="Y180" s="620"/>
      <c r="Z180" s="620"/>
      <c r="AA180" s="620"/>
      <c r="AB180" s="620"/>
      <c r="AC180" s="620"/>
      <c r="AD180" s="620"/>
      <c r="AE180" s="620"/>
      <c r="AF180" s="102"/>
      <c r="AG180" s="102"/>
      <c r="AH180" s="102"/>
      <c r="AO180" s="165"/>
      <c r="AP180" s="165"/>
      <c r="AQ180" s="165"/>
      <c r="AR180" s="165"/>
      <c r="AS180" s="165"/>
      <c r="AT180" s="165"/>
    </row>
    <row r="181" spans="2:46" ht="16.5" customHeight="1">
      <c r="B181" s="2050" t="s">
        <v>105</v>
      </c>
      <c r="C181" s="2050"/>
      <c r="D181" s="2050"/>
      <c r="E181" s="2050"/>
      <c r="F181" s="2051"/>
      <c r="G181" s="2051"/>
      <c r="H181" s="2051"/>
      <c r="I181" s="2051"/>
      <c r="J181" s="2051"/>
      <c r="K181" s="2051"/>
      <c r="L181" s="2051"/>
      <c r="M181" s="2051"/>
      <c r="N181" s="2051"/>
      <c r="O181" s="2051"/>
      <c r="P181" s="2051"/>
      <c r="Q181" s="2051"/>
      <c r="R181" s="2051"/>
      <c r="S181" s="2051"/>
      <c r="T181" s="2051"/>
      <c r="U181" s="2051"/>
      <c r="V181" s="2051"/>
      <c r="W181" s="2051"/>
      <c r="X181" s="2051"/>
      <c r="Y181" s="2051"/>
      <c r="Z181" s="2051"/>
      <c r="AA181" s="2051"/>
      <c r="AB181" s="2051"/>
      <c r="AC181" s="2051"/>
      <c r="AD181" s="2051"/>
      <c r="AE181" s="2051"/>
      <c r="AF181" s="2051"/>
      <c r="AG181" s="2051"/>
      <c r="AH181" s="2051"/>
      <c r="AI181" s="1953"/>
      <c r="AJ181" s="1953"/>
      <c r="AO181" s="165"/>
      <c r="AP181" s="165"/>
      <c r="AQ181" s="165"/>
      <c r="AR181" s="165"/>
      <c r="AS181" s="165"/>
      <c r="AT181" s="165"/>
    </row>
    <row r="182" spans="2:46" ht="60.75" customHeight="1">
      <c r="B182" s="2050" t="s">
        <v>106</v>
      </c>
      <c r="C182" s="2050"/>
      <c r="D182" s="2050"/>
      <c r="E182" s="2050"/>
      <c r="F182" s="2051"/>
      <c r="G182" s="2051"/>
      <c r="H182" s="2051"/>
      <c r="I182" s="2051"/>
      <c r="J182" s="2051"/>
      <c r="K182" s="2051"/>
      <c r="L182" s="2051"/>
      <c r="M182" s="2051"/>
      <c r="N182" s="2051"/>
      <c r="O182" s="2051"/>
      <c r="P182" s="2051"/>
      <c r="Q182" s="2051"/>
      <c r="R182" s="2051"/>
      <c r="S182" s="2051"/>
      <c r="T182" s="2051"/>
      <c r="U182" s="2051"/>
      <c r="V182" s="2051"/>
      <c r="W182" s="2051"/>
      <c r="X182" s="2051"/>
      <c r="Y182" s="2051"/>
      <c r="Z182" s="2051"/>
      <c r="AA182" s="2051"/>
      <c r="AB182" s="2051"/>
      <c r="AC182" s="2051"/>
      <c r="AD182" s="2051"/>
      <c r="AE182" s="2051"/>
      <c r="AF182" s="2051"/>
      <c r="AG182" s="2051"/>
      <c r="AH182" s="2051"/>
      <c r="AI182" s="1953"/>
      <c r="AJ182" s="1953"/>
      <c r="AO182" s="165"/>
      <c r="AP182" s="165"/>
      <c r="AQ182" s="165"/>
      <c r="AR182" s="165"/>
      <c r="AS182" s="165"/>
      <c r="AT182" s="165"/>
    </row>
    <row r="183" spans="2:46" ht="34.5" customHeight="1">
      <c r="B183" s="2050" t="s">
        <v>1699</v>
      </c>
      <c r="C183" s="2050"/>
      <c r="D183" s="2050"/>
      <c r="E183" s="2050"/>
      <c r="F183" s="2051"/>
      <c r="G183" s="2051"/>
      <c r="H183" s="2051"/>
      <c r="I183" s="2051"/>
      <c r="J183" s="2051"/>
      <c r="K183" s="2051"/>
      <c r="L183" s="2051"/>
      <c r="M183" s="2051"/>
      <c r="N183" s="2051"/>
      <c r="O183" s="2051"/>
      <c r="P183" s="2051"/>
      <c r="Q183" s="2051"/>
      <c r="R183" s="2051"/>
      <c r="S183" s="2051"/>
      <c r="T183" s="2051"/>
      <c r="U183" s="2051"/>
      <c r="V183" s="2051"/>
      <c r="W183" s="2051"/>
      <c r="X183" s="2051"/>
      <c r="Y183" s="2051"/>
      <c r="Z183" s="2051"/>
      <c r="AA183" s="2051"/>
      <c r="AB183" s="2051"/>
      <c r="AC183" s="2051"/>
      <c r="AD183" s="2051"/>
      <c r="AE183" s="2051"/>
      <c r="AF183" s="2051"/>
      <c r="AG183" s="2051"/>
      <c r="AH183" s="2051"/>
      <c r="AI183" s="1953"/>
      <c r="AJ183" s="1953"/>
    </row>
    <row r="184" spans="2:46" ht="40.5" customHeight="1">
      <c r="B184" s="2050" t="s">
        <v>1700</v>
      </c>
      <c r="C184" s="2050"/>
      <c r="D184" s="2050"/>
      <c r="E184" s="2050"/>
      <c r="F184" s="2051"/>
      <c r="G184" s="2051"/>
      <c r="H184" s="2051"/>
      <c r="I184" s="2051"/>
      <c r="J184" s="2051"/>
      <c r="K184" s="2051"/>
      <c r="L184" s="2051"/>
      <c r="M184" s="2051"/>
      <c r="N184" s="2051"/>
      <c r="O184" s="2051"/>
      <c r="P184" s="2051"/>
      <c r="Q184" s="2051"/>
      <c r="R184" s="2051"/>
      <c r="S184" s="2051"/>
      <c r="T184" s="2051"/>
      <c r="U184" s="2051"/>
      <c r="V184" s="2051"/>
      <c r="W184" s="2051"/>
      <c r="X184" s="2051"/>
      <c r="Y184" s="2051"/>
      <c r="Z184" s="2051"/>
      <c r="AA184" s="2051"/>
      <c r="AB184" s="2051"/>
      <c r="AC184" s="2051"/>
      <c r="AD184" s="2051"/>
      <c r="AE184" s="2051"/>
      <c r="AF184" s="2051"/>
      <c r="AG184" s="2051"/>
      <c r="AH184" s="2051"/>
      <c r="AI184" s="1953"/>
      <c r="AJ184" s="1953"/>
    </row>
    <row r="185" spans="2:46">
      <c r="B185" s="1" t="s">
        <v>107</v>
      </c>
    </row>
    <row r="191" spans="2:46">
      <c r="C191" s="83"/>
      <c r="R191" s="4"/>
      <c r="S191" s="4"/>
      <c r="T191" s="4"/>
      <c r="U191" s="4"/>
      <c r="V191" s="4"/>
      <c r="W191" s="4"/>
      <c r="X191" s="5"/>
      <c r="Y191" s="5"/>
      <c r="Z191" s="5"/>
      <c r="AA191" s="5"/>
      <c r="AB191" s="5"/>
      <c r="AC191" s="5"/>
      <c r="AD191" s="5"/>
      <c r="AE191" s="5"/>
      <c r="AF191" s="5"/>
      <c r="AG191" s="5"/>
    </row>
    <row r="192" spans="2:46">
      <c r="C192" s="83"/>
      <c r="R192" s="4"/>
      <c r="S192" s="4"/>
      <c r="T192" s="4"/>
      <c r="U192" s="4"/>
      <c r="V192" s="4"/>
      <c r="W192" s="4"/>
      <c r="X192" s="5"/>
      <c r="Y192" s="5"/>
      <c r="Z192" s="5"/>
      <c r="AA192" s="5"/>
      <c r="AB192" s="5"/>
      <c r="AC192" s="5"/>
      <c r="AD192" s="5"/>
      <c r="AE192" s="5"/>
      <c r="AF192" s="5"/>
      <c r="AG192" s="5"/>
    </row>
    <row r="197" spans="2:2">
      <c r="B197" s="614"/>
    </row>
  </sheetData>
  <mergeCells count="35">
    <mergeCell ref="B184:AJ184"/>
    <mergeCell ref="B178:AJ178"/>
    <mergeCell ref="C153:D153"/>
    <mergeCell ref="C164:D164"/>
    <mergeCell ref="B179:AJ179"/>
    <mergeCell ref="B181:AJ181"/>
    <mergeCell ref="B182:AJ182"/>
    <mergeCell ref="B183:AJ183"/>
    <mergeCell ref="B168:AF169"/>
    <mergeCell ref="B170:AJ170"/>
    <mergeCell ref="B175:AJ175"/>
    <mergeCell ref="B176:AJ176"/>
    <mergeCell ref="B177:AJ177"/>
    <mergeCell ref="C125:D125"/>
    <mergeCell ref="C142:D142"/>
    <mergeCell ref="C143:D143"/>
    <mergeCell ref="C145:D145"/>
    <mergeCell ref="C149:D149"/>
    <mergeCell ref="C121:D121"/>
    <mergeCell ref="C105:D105"/>
    <mergeCell ref="C106:D106"/>
    <mergeCell ref="C107:D107"/>
    <mergeCell ref="C113:D113"/>
    <mergeCell ref="C114:D114"/>
    <mergeCell ref="C115:D115"/>
    <mergeCell ref="C117:D117"/>
    <mergeCell ref="C116:D116"/>
    <mergeCell ref="C118:D118"/>
    <mergeCell ref="C119:D119"/>
    <mergeCell ref="C120:D120"/>
    <mergeCell ref="B87:AF87"/>
    <mergeCell ref="C97:D97"/>
    <mergeCell ref="C100:D100"/>
    <mergeCell ref="C102:D102"/>
    <mergeCell ref="B15:AQ15"/>
  </mergeCells>
  <printOptions horizontalCentered="1"/>
  <pageMargins left="0.55118110236220474" right="0.55118110236220474" top="0.59055118110236227" bottom="0.59055118110236227" header="0.31496062992125984" footer="0.31496062992125984"/>
  <pageSetup paperSize="9" scale="65" fitToHeight="2" orientation="landscape" r:id="rId1"/>
  <headerFooter alignWithMargins="0">
    <oddFooter>&amp;R&amp;"Arial,Regular"&amp;10OECD Social Expenditure database (www.oecd.org/social/expenditure.htm) // Base de données des dépenses sociales de l'OCDE (www.oecd.org/fr/social/depenses.htm) - Version &amp;D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Q107"/>
  <sheetViews>
    <sheetView topLeftCell="B14" zoomScale="85" zoomScaleNormal="85" workbookViewId="0">
      <selection activeCell="B14" sqref="A1:XFD1048576"/>
    </sheetView>
  </sheetViews>
  <sheetFormatPr defaultColWidth="8.88671875" defaultRowHeight="12.75"/>
  <cols>
    <col min="1" max="1" width="0" style="165" hidden="1" customWidth="1"/>
    <col min="2" max="2" width="5.44140625" style="165" customWidth="1"/>
    <col min="3" max="3" width="32.21875" style="578" customWidth="1"/>
    <col min="4" max="4" width="3.5546875" style="165" customWidth="1"/>
    <col min="5" max="15" width="1.77734375" style="165" customWidth="1"/>
    <col min="16" max="23" width="2.33203125" style="165" customWidth="1"/>
    <col min="24" max="24" width="7.88671875" style="75" customWidth="1"/>
    <col min="25" max="25" width="2.109375" style="75" hidden="1" customWidth="1"/>
    <col min="26" max="26" width="7.88671875" style="75" customWidth="1"/>
    <col min="27" max="27" width="2.109375" style="75" hidden="1" customWidth="1"/>
    <col min="28" max="28" width="8" style="75" customWidth="1"/>
    <col min="29" max="29" width="1.5546875" style="75" hidden="1" customWidth="1"/>
    <col min="30" max="30" width="8.44140625" style="75" customWidth="1"/>
    <col min="31" max="31" width="1.5546875" style="75" hidden="1" customWidth="1"/>
    <col min="32" max="35" width="7.33203125" style="75" customWidth="1"/>
    <col min="36" max="43" width="7.33203125" style="165" customWidth="1"/>
    <col min="44" max="16384" width="8.88671875" style="165"/>
  </cols>
  <sheetData>
    <row r="1" spans="1:43" ht="15" hidden="1" customHeight="1">
      <c r="B1" s="165" t="s">
        <v>903</v>
      </c>
    </row>
    <row r="2" spans="1:43" ht="18" hidden="1" customHeight="1"/>
    <row r="3" spans="1:43" ht="14.25" hidden="1" customHeight="1"/>
    <row r="4" spans="1:43" ht="14.25" hidden="1" customHeight="1">
      <c r="P4" s="165">
        <v>1993</v>
      </c>
      <c r="R4" s="165">
        <v>1995</v>
      </c>
      <c r="T4" s="165">
        <v>1997</v>
      </c>
      <c r="V4" s="165">
        <v>1999</v>
      </c>
      <c r="X4" s="75">
        <v>2001</v>
      </c>
      <c r="Z4" s="75">
        <v>2003</v>
      </c>
      <c r="AB4" s="75">
        <v>2005</v>
      </c>
      <c r="AD4" s="75">
        <v>2007</v>
      </c>
      <c r="AF4" s="75">
        <v>2009</v>
      </c>
      <c r="AG4" s="75">
        <v>2010</v>
      </c>
      <c r="AH4" s="75">
        <v>2011</v>
      </c>
      <c r="AI4" s="75">
        <v>2012</v>
      </c>
      <c r="AJ4" s="75">
        <v>2013</v>
      </c>
      <c r="AK4" s="75">
        <v>2014</v>
      </c>
      <c r="AL4" s="75">
        <v>2015</v>
      </c>
      <c r="AM4" s="75">
        <v>2016</v>
      </c>
      <c r="AN4" s="75">
        <v>2017</v>
      </c>
      <c r="AO4" s="75">
        <v>2018</v>
      </c>
      <c r="AP4" s="75">
        <v>2019</v>
      </c>
      <c r="AQ4" s="75">
        <v>2020</v>
      </c>
    </row>
    <row r="5" spans="1:43" ht="14.25" hidden="1" customHeight="1">
      <c r="AJ5" s="75"/>
      <c r="AK5" s="75"/>
      <c r="AL5" s="75"/>
      <c r="AM5" s="75"/>
      <c r="AN5" s="75"/>
      <c r="AO5" s="75"/>
    </row>
    <row r="6" spans="1:43" ht="14.25" hidden="1" customHeight="1">
      <c r="A6" s="165" t="s">
        <v>2</v>
      </c>
      <c r="B6" s="165" t="s">
        <v>3</v>
      </c>
      <c r="T6" s="165">
        <v>0</v>
      </c>
      <c r="V6" s="165">
        <v>0</v>
      </c>
      <c r="X6" s="75">
        <f>X92</f>
        <v>0</v>
      </c>
      <c r="Z6" s="75">
        <f>Z92</f>
        <v>0</v>
      </c>
      <c r="AB6" s="75">
        <f>AB92</f>
        <v>0</v>
      </c>
      <c r="AD6" s="75">
        <f>AD92</f>
        <v>0</v>
      </c>
      <c r="AF6" s="75">
        <f t="shared" ref="AF6:AM6" si="0">AF92</f>
        <v>0</v>
      </c>
      <c r="AG6" s="75">
        <f t="shared" si="0"/>
        <v>0</v>
      </c>
      <c r="AH6" s="75">
        <f t="shared" si="0"/>
        <v>0</v>
      </c>
      <c r="AI6" s="75">
        <f t="shared" si="0"/>
        <v>0</v>
      </c>
      <c r="AJ6" s="75">
        <f t="shared" si="0"/>
        <v>0</v>
      </c>
      <c r="AK6" s="75">
        <f t="shared" si="0"/>
        <v>0</v>
      </c>
      <c r="AL6" s="75">
        <f t="shared" si="0"/>
        <v>0</v>
      </c>
      <c r="AM6" s="75">
        <f t="shared" si="0"/>
        <v>0</v>
      </c>
      <c r="AN6" s="75">
        <f>AN92</f>
        <v>0</v>
      </c>
      <c r="AO6" s="75">
        <f>AO92</f>
        <v>0</v>
      </c>
      <c r="AP6" s="75">
        <f t="shared" ref="AP6:AQ6" si="1">AP92</f>
        <v>0</v>
      </c>
      <c r="AQ6" s="75">
        <f t="shared" si="1"/>
        <v>0</v>
      </c>
    </row>
    <row r="7" spans="1:43" ht="14.25" hidden="1" customHeight="1">
      <c r="A7" s="165" t="s">
        <v>4</v>
      </c>
      <c r="B7" s="165" t="s">
        <v>5</v>
      </c>
      <c r="T7" s="165">
        <v>0</v>
      </c>
      <c r="V7" s="165">
        <v>0</v>
      </c>
      <c r="X7" s="75">
        <f>X97</f>
        <v>0</v>
      </c>
      <c r="Z7" s="75">
        <f t="shared" ref="Z7:AF7" si="2">Z97</f>
        <v>0</v>
      </c>
      <c r="AB7" s="75">
        <f t="shared" si="2"/>
        <v>0</v>
      </c>
      <c r="AD7" s="75">
        <f t="shared" si="2"/>
        <v>0</v>
      </c>
      <c r="AF7" s="75">
        <f t="shared" si="2"/>
        <v>0</v>
      </c>
      <c r="AG7" s="75">
        <f t="shared" ref="AG7:AM7" si="3">AG97</f>
        <v>0</v>
      </c>
      <c r="AH7" s="75">
        <f t="shared" si="3"/>
        <v>0</v>
      </c>
      <c r="AI7" s="75">
        <f t="shared" si="3"/>
        <v>0</v>
      </c>
      <c r="AJ7" s="75">
        <f t="shared" si="3"/>
        <v>0</v>
      </c>
      <c r="AK7" s="75">
        <f t="shared" si="3"/>
        <v>0</v>
      </c>
      <c r="AL7" s="75">
        <f t="shared" si="3"/>
        <v>0</v>
      </c>
      <c r="AM7" s="75">
        <f t="shared" si="3"/>
        <v>0</v>
      </c>
      <c r="AN7" s="75">
        <f>AN97</f>
        <v>0</v>
      </c>
      <c r="AO7" s="75">
        <f>AO97</f>
        <v>0</v>
      </c>
      <c r="AP7" s="75">
        <f t="shared" ref="AP7:AQ7" si="4">AP97</f>
        <v>0</v>
      </c>
      <c r="AQ7" s="75">
        <f t="shared" si="4"/>
        <v>0</v>
      </c>
    </row>
    <row r="8" spans="1:43" ht="14.25" hidden="1" customHeight="1">
      <c r="A8" s="165" t="s">
        <v>6</v>
      </c>
      <c r="AJ8" s="75"/>
      <c r="AK8" s="75"/>
      <c r="AL8" s="75"/>
      <c r="AM8" s="75"/>
      <c r="AN8" s="75"/>
      <c r="AO8" s="75"/>
      <c r="AP8" s="75"/>
      <c r="AQ8" s="75"/>
    </row>
    <row r="9" spans="1:43" ht="14.25" hidden="1" customHeight="1">
      <c r="AJ9" s="75"/>
      <c r="AK9" s="75"/>
      <c r="AL9" s="75"/>
      <c r="AM9" s="75"/>
      <c r="AN9" s="75"/>
      <c r="AO9" s="75"/>
      <c r="AP9" s="75"/>
      <c r="AQ9" s="75"/>
    </row>
    <row r="10" spans="1:43" ht="14.25" hidden="1" customHeight="1">
      <c r="B10" s="165" t="s">
        <v>110</v>
      </c>
      <c r="X10" s="75">
        <f>X101</f>
        <v>0</v>
      </c>
      <c r="Z10" s="75">
        <f>Z101</f>
        <v>0</v>
      </c>
      <c r="AB10" s="75">
        <f>AB101</f>
        <v>0</v>
      </c>
      <c r="AD10" s="75">
        <f>AD101</f>
        <v>0</v>
      </c>
      <c r="AF10" s="75">
        <f t="shared" ref="AF10:AM10" si="5">AF101</f>
        <v>0</v>
      </c>
      <c r="AG10" s="75">
        <f t="shared" si="5"/>
        <v>0</v>
      </c>
      <c r="AH10" s="75">
        <f t="shared" si="5"/>
        <v>0</v>
      </c>
      <c r="AI10" s="75">
        <f t="shared" si="5"/>
        <v>0</v>
      </c>
      <c r="AJ10" s="75">
        <f t="shared" si="5"/>
        <v>0</v>
      </c>
      <c r="AK10" s="75">
        <f t="shared" si="5"/>
        <v>0</v>
      </c>
      <c r="AL10" s="75">
        <f t="shared" si="5"/>
        <v>0</v>
      </c>
      <c r="AM10" s="75">
        <f t="shared" si="5"/>
        <v>0</v>
      </c>
      <c r="AN10" s="75">
        <f>AN101</f>
        <v>0</v>
      </c>
      <c r="AO10" s="75">
        <f>AO101</f>
        <v>0</v>
      </c>
      <c r="AP10" s="75">
        <f t="shared" ref="AP10:AQ10" si="6">AP101</f>
        <v>0</v>
      </c>
      <c r="AQ10" s="75">
        <f t="shared" si="6"/>
        <v>0</v>
      </c>
    </row>
    <row r="11" spans="1:43" ht="14.25" hidden="1" customHeight="1">
      <c r="AJ11" s="75"/>
      <c r="AK11" s="75"/>
      <c r="AL11" s="75"/>
      <c r="AM11" s="75"/>
      <c r="AN11" s="75"/>
      <c r="AO11" s="75"/>
      <c r="AP11" s="75"/>
      <c r="AQ11" s="75"/>
    </row>
    <row r="12" spans="1:43" ht="14.25" hidden="1" customHeight="1">
      <c r="B12" s="165" t="s">
        <v>8</v>
      </c>
      <c r="X12" s="75">
        <f>X94</f>
        <v>0</v>
      </c>
      <c r="Z12" s="75">
        <f>Z94</f>
        <v>0</v>
      </c>
      <c r="AB12" s="75">
        <f>AB94</f>
        <v>0</v>
      </c>
      <c r="AD12" s="75">
        <f>AD94</f>
        <v>0</v>
      </c>
      <c r="AF12" s="75">
        <f t="shared" ref="AF12:AM12" si="7">AF94</f>
        <v>0</v>
      </c>
      <c r="AG12" s="75">
        <f t="shared" si="7"/>
        <v>0</v>
      </c>
      <c r="AH12" s="75">
        <f t="shared" si="7"/>
        <v>0</v>
      </c>
      <c r="AI12" s="75">
        <f t="shared" si="7"/>
        <v>0</v>
      </c>
      <c r="AJ12" s="75">
        <f t="shared" si="7"/>
        <v>0</v>
      </c>
      <c r="AK12" s="75">
        <f t="shared" si="7"/>
        <v>0</v>
      </c>
      <c r="AL12" s="75">
        <f t="shared" si="7"/>
        <v>0</v>
      </c>
      <c r="AM12" s="75">
        <f t="shared" si="7"/>
        <v>0</v>
      </c>
      <c r="AN12" s="75">
        <f>AN94</f>
        <v>0</v>
      </c>
      <c r="AO12" s="75">
        <f>AO94</f>
        <v>0</v>
      </c>
      <c r="AP12" s="75">
        <f t="shared" ref="AP12:AQ12" si="8">AP94</f>
        <v>0</v>
      </c>
      <c r="AQ12" s="75">
        <f t="shared" si="8"/>
        <v>0</v>
      </c>
    </row>
    <row r="13" spans="1:43" ht="28.5" hidden="1" customHeight="1"/>
    <row r="14" spans="1:43" ht="12.75" customHeight="1"/>
    <row r="15" spans="1:43" ht="32.25" customHeight="1">
      <c r="B15" s="1924" t="s">
        <v>9</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69"/>
      <c r="AH15" s="1969"/>
      <c r="AI15" s="1969"/>
      <c r="AJ15" s="1969"/>
      <c r="AK15" s="1969"/>
      <c r="AL15" s="1969"/>
      <c r="AM15" s="1969"/>
      <c r="AN15" s="1969"/>
      <c r="AO15" s="1969"/>
      <c r="AP15" s="1969"/>
      <c r="AQ15" s="1969"/>
    </row>
    <row r="16" spans="1:43">
      <c r="O16" s="168"/>
      <c r="P16" s="168"/>
      <c r="Q16" s="168"/>
      <c r="R16" s="168"/>
      <c r="S16" s="168"/>
      <c r="T16" s="168"/>
      <c r="U16" s="168"/>
      <c r="V16" s="168"/>
      <c r="W16" s="168"/>
      <c r="X16" s="169"/>
      <c r="Y16" s="166"/>
      <c r="Z16" s="166"/>
      <c r="AA16" s="166"/>
      <c r="AB16" s="166"/>
      <c r="AC16" s="166"/>
      <c r="AD16" s="166"/>
      <c r="AE16" s="166"/>
      <c r="AF16" s="166"/>
    </row>
    <row r="17" spans="2:43">
      <c r="B17" s="170" t="s">
        <v>903</v>
      </c>
      <c r="C17" s="170"/>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row>
    <row r="18" spans="2:43">
      <c r="O18" s="168"/>
      <c r="P18" s="168"/>
      <c r="Q18" s="168"/>
      <c r="R18" s="168"/>
      <c r="S18" s="168"/>
      <c r="T18" s="168"/>
      <c r="U18" s="168"/>
      <c r="V18" s="168"/>
      <c r="W18" s="168"/>
      <c r="X18" s="169"/>
      <c r="Y18" s="166"/>
      <c r="Z18" s="166"/>
      <c r="AA18" s="166"/>
      <c r="AB18" s="166"/>
      <c r="AC18" s="166"/>
      <c r="AD18" s="166"/>
      <c r="AE18" s="166"/>
      <c r="AF18" s="166"/>
    </row>
    <row r="19" spans="2:43">
      <c r="B19" s="170" t="s">
        <v>243</v>
      </c>
      <c r="C19" s="170"/>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row>
    <row r="20" spans="2:43">
      <c r="B20" s="172"/>
      <c r="C20" s="59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256"/>
      <c r="AF20" s="256"/>
      <c r="AH20" s="578"/>
    </row>
    <row r="21" spans="2:43">
      <c r="O21" s="168"/>
      <c r="P21" s="168"/>
      <c r="Q21" s="168"/>
      <c r="R21" s="168"/>
      <c r="S21" s="168"/>
      <c r="T21" s="168"/>
      <c r="U21" s="168"/>
      <c r="V21" s="168"/>
      <c r="W21" s="168"/>
      <c r="X21" s="257">
        <v>2001</v>
      </c>
      <c r="Y21" s="258"/>
      <c r="Z21" s="257">
        <v>2003</v>
      </c>
      <c r="AA21" s="258"/>
      <c r="AB21" s="257">
        <v>2005</v>
      </c>
      <c r="AC21" s="258"/>
      <c r="AD21" s="257">
        <v>2007</v>
      </c>
      <c r="AE21" s="258"/>
      <c r="AF21" s="257">
        <v>2009</v>
      </c>
      <c r="AG21" s="202">
        <v>2010</v>
      </c>
      <c r="AH21" s="202">
        <v>2011</v>
      </c>
      <c r="AI21" s="202">
        <v>2012</v>
      </c>
      <c r="AJ21" s="1872">
        <v>2013</v>
      </c>
      <c r="AK21" s="202">
        <v>2014</v>
      </c>
      <c r="AL21" s="202">
        <v>2015</v>
      </c>
      <c r="AM21" s="202">
        <v>2016</v>
      </c>
      <c r="AN21" s="202">
        <v>2017</v>
      </c>
      <c r="AO21" s="202">
        <v>2018</v>
      </c>
      <c r="AP21" s="202">
        <v>2019</v>
      </c>
      <c r="AQ21" s="202">
        <v>2020</v>
      </c>
    </row>
    <row r="22" spans="2:43">
      <c r="B22" s="933"/>
      <c r="C22" s="1873"/>
      <c r="O22" s="168"/>
      <c r="P22" s="168"/>
      <c r="Q22" s="168"/>
      <c r="R22" s="168"/>
      <c r="S22" s="168"/>
      <c r="T22" s="168"/>
      <c r="U22" s="168"/>
      <c r="V22" s="168"/>
      <c r="W22" s="168"/>
      <c r="AJ22" s="75"/>
      <c r="AK22" s="75"/>
      <c r="AL22" s="75"/>
      <c r="AM22" s="75"/>
      <c r="AN22" s="75"/>
      <c r="AO22" s="75"/>
      <c r="AP22" s="75"/>
      <c r="AQ22" s="75"/>
    </row>
    <row r="23" spans="2:43">
      <c r="B23" s="1874" t="s">
        <v>904</v>
      </c>
      <c r="C23" s="1875"/>
      <c r="D23" s="1876"/>
      <c r="AB23" s="244"/>
      <c r="AD23" s="244"/>
      <c r="AF23" s="244"/>
      <c r="AJ23" s="75"/>
      <c r="AK23" s="75"/>
      <c r="AL23" s="75"/>
      <c r="AM23" s="75"/>
      <c r="AN23" s="75"/>
      <c r="AO23" s="75"/>
      <c r="AP23" s="75"/>
      <c r="AQ23" s="75"/>
    </row>
    <row r="24" spans="2:43">
      <c r="B24" s="1108"/>
      <c r="C24" s="1877" t="s">
        <v>905</v>
      </c>
      <c r="X24" s="1878">
        <v>24.999530208846</v>
      </c>
      <c r="Z24" s="75">
        <v>28.6</v>
      </c>
      <c r="AB24" s="621">
        <v>28.827908334549701</v>
      </c>
      <c r="AD24" s="621">
        <v>28.124588581208581</v>
      </c>
      <c r="AF24" s="621">
        <v>26.972703766447161</v>
      </c>
      <c r="AG24" s="626">
        <v>25.548027223258003</v>
      </c>
      <c r="AH24" s="626">
        <v>23.375307444486783</v>
      </c>
      <c r="AI24" s="626">
        <v>23.464295064799057</v>
      </c>
      <c r="AJ24" s="626">
        <v>23.483220093661206</v>
      </c>
      <c r="AK24" s="626">
        <v>22.925474332659139</v>
      </c>
      <c r="AL24" s="621">
        <v>23.083148900205565</v>
      </c>
      <c r="AM24" s="621">
        <v>23.681526109904322</v>
      </c>
      <c r="AN24" s="621">
        <v>23.842373112024994</v>
      </c>
      <c r="AO24" s="621">
        <v>22.957372971307194</v>
      </c>
      <c r="AP24" s="621">
        <v>22.580266214804489</v>
      </c>
      <c r="AQ24" s="621">
        <v>21.880888097770214</v>
      </c>
    </row>
    <row r="25" spans="2:43">
      <c r="B25" s="1874"/>
      <c r="C25" s="1877" t="s">
        <v>906</v>
      </c>
      <c r="X25" s="1878">
        <v>29.006943001861199</v>
      </c>
      <c r="Z25" s="75">
        <v>28.6</v>
      </c>
      <c r="AB25" s="621">
        <v>28.827908334549701</v>
      </c>
      <c r="AD25" s="621">
        <v>28.124588581208581</v>
      </c>
      <c r="AF25" s="621">
        <v>26.972703766447161</v>
      </c>
      <c r="AG25" s="626">
        <v>25.548027223258003</v>
      </c>
      <c r="AH25" s="626">
        <v>23.375307444486783</v>
      </c>
      <c r="AI25" s="626">
        <v>23.464295064799057</v>
      </c>
      <c r="AJ25" s="626">
        <v>23.483220093661206</v>
      </c>
      <c r="AK25" s="626">
        <v>22.925474332659139</v>
      </c>
      <c r="AL25" s="621">
        <v>23.083148900205565</v>
      </c>
      <c r="AM25" s="621">
        <v>23.681526109904322</v>
      </c>
      <c r="AN25" s="621">
        <v>23.842373112024994</v>
      </c>
      <c r="AO25" s="621">
        <v>22.957372971307194</v>
      </c>
      <c r="AP25" s="621">
        <v>22.580266214804489</v>
      </c>
      <c r="AQ25" s="621">
        <v>21.880888097770214</v>
      </c>
    </row>
    <row r="26" spans="2:43">
      <c r="B26" s="1874"/>
      <c r="C26" s="1877" t="s">
        <v>907</v>
      </c>
      <c r="X26" s="1878">
        <v>32.136535835819302</v>
      </c>
      <c r="Z26" s="75">
        <v>28.6</v>
      </c>
      <c r="AB26" s="621">
        <v>28.827908334549701</v>
      </c>
      <c r="AD26" s="621">
        <v>28.124588581208581</v>
      </c>
      <c r="AF26" s="621">
        <v>26.972703766447161</v>
      </c>
      <c r="AG26" s="626">
        <v>25.548027223258003</v>
      </c>
      <c r="AH26" s="626">
        <v>23.375307444486783</v>
      </c>
      <c r="AI26" s="626">
        <v>23.464295064799057</v>
      </c>
      <c r="AJ26" s="626">
        <v>23.483220093661206</v>
      </c>
      <c r="AK26" s="626">
        <v>22.925474332659139</v>
      </c>
      <c r="AL26" s="621">
        <v>23.083148900205565</v>
      </c>
      <c r="AM26" s="621">
        <v>23.681526109904322</v>
      </c>
      <c r="AN26" s="621">
        <v>23.842373112024994</v>
      </c>
      <c r="AO26" s="621">
        <v>22.957372971307194</v>
      </c>
      <c r="AP26" s="621">
        <v>22.580266214804489</v>
      </c>
      <c r="AQ26" s="621">
        <v>21.880888097770214</v>
      </c>
    </row>
    <row r="27" spans="2:43">
      <c r="B27" s="1108" t="s">
        <v>908</v>
      </c>
      <c r="C27" s="1877"/>
      <c r="X27" s="1878"/>
      <c r="AB27" s="621"/>
      <c r="AD27" s="621"/>
      <c r="AF27" s="621"/>
      <c r="AG27" s="244"/>
      <c r="AH27" s="626"/>
      <c r="AI27" s="626"/>
      <c r="AJ27" s="626"/>
      <c r="AK27" s="626"/>
      <c r="AL27" s="621"/>
      <c r="AM27" s="621"/>
      <c r="AN27" s="621"/>
      <c r="AO27" s="621"/>
      <c r="AP27" s="621"/>
      <c r="AQ27" s="621"/>
    </row>
    <row r="28" spans="2:43">
      <c r="B28" s="1879"/>
      <c r="C28" s="1877" t="s">
        <v>905</v>
      </c>
      <c r="X28" s="1878">
        <v>22.288229084524598</v>
      </c>
      <c r="Z28" s="75">
        <v>28.3</v>
      </c>
      <c r="AB28" s="621">
        <v>28.532411794214369</v>
      </c>
      <c r="AD28" s="621">
        <v>27.071392799510324</v>
      </c>
      <c r="AF28" s="621">
        <v>25.905847209160811</v>
      </c>
      <c r="AG28" s="626">
        <v>23.374054682955204</v>
      </c>
      <c r="AH28" s="626">
        <v>21.103777044371103</v>
      </c>
      <c r="AI28" s="626">
        <v>21.096026284793254</v>
      </c>
      <c r="AJ28" s="626">
        <v>20.784288638689866</v>
      </c>
      <c r="AK28" s="626">
        <v>19.930522443975207</v>
      </c>
      <c r="AL28" s="621">
        <v>19.920460194588451</v>
      </c>
      <c r="AM28" s="621">
        <v>19.700401899890391</v>
      </c>
      <c r="AN28" s="621">
        <v>19.880373831775703</v>
      </c>
      <c r="AO28" s="621">
        <v>18.872806585508101</v>
      </c>
      <c r="AP28" s="621">
        <v>18.80420999594989</v>
      </c>
      <c r="AQ28" s="621">
        <v>18.344675540140322</v>
      </c>
    </row>
    <row r="29" spans="2:43">
      <c r="B29" s="1879"/>
      <c r="C29" s="1877" t="s">
        <v>909</v>
      </c>
      <c r="X29" s="1878" t="s">
        <v>910</v>
      </c>
      <c r="AB29" s="621"/>
      <c r="AD29" s="621"/>
      <c r="AF29" s="621"/>
      <c r="AG29" s="244"/>
      <c r="AH29" s="626"/>
      <c r="AI29" s="626"/>
      <c r="AJ29" s="626"/>
      <c r="AK29" s="626"/>
      <c r="AL29" s="621"/>
      <c r="AM29" s="621"/>
      <c r="AN29" s="621"/>
      <c r="AO29" s="621"/>
      <c r="AP29" s="621"/>
      <c r="AQ29" s="621"/>
    </row>
    <row r="30" spans="2:43">
      <c r="B30" s="1779" t="s">
        <v>911</v>
      </c>
      <c r="C30" s="1877"/>
      <c r="X30" s="1878"/>
      <c r="AB30" s="621"/>
      <c r="AD30" s="621"/>
      <c r="AF30" s="621"/>
      <c r="AG30" s="244"/>
      <c r="AH30" s="626"/>
      <c r="AI30" s="626"/>
      <c r="AJ30" s="626"/>
      <c r="AK30" s="626"/>
      <c r="AL30" s="621"/>
      <c r="AM30" s="621"/>
      <c r="AN30" s="621"/>
      <c r="AO30" s="621"/>
      <c r="AP30" s="621"/>
      <c r="AQ30" s="621"/>
    </row>
    <row r="31" spans="2:43">
      <c r="B31" s="311"/>
      <c r="C31" s="1880" t="s">
        <v>912</v>
      </c>
      <c r="X31" s="1878">
        <v>24.817465629364101</v>
      </c>
      <c r="Z31" s="75">
        <v>27.7</v>
      </c>
      <c r="AB31" s="621">
        <v>28.101500033040377</v>
      </c>
      <c r="AD31" s="621">
        <v>26.703634595674224</v>
      </c>
      <c r="AF31" s="621">
        <v>25.114936237753817</v>
      </c>
      <c r="AG31" s="626">
        <v>25.505241365712592</v>
      </c>
      <c r="AH31" s="626">
        <v>25.226240165478519</v>
      </c>
      <c r="AI31" s="626">
        <v>25.153975913067356</v>
      </c>
      <c r="AJ31" s="626">
        <v>25.30332480818414</v>
      </c>
      <c r="AK31" s="626">
        <v>25.229765787133118</v>
      </c>
      <c r="AL31" s="621">
        <v>25.377235063235936</v>
      </c>
      <c r="AM31" s="621">
        <v>25.799481417458946</v>
      </c>
      <c r="AN31" s="621">
        <v>25.821585176104485</v>
      </c>
      <c r="AO31" s="621">
        <v>25.716422299956772</v>
      </c>
      <c r="AP31" s="621">
        <v>25.39976417639831</v>
      </c>
      <c r="AQ31" s="621">
        <v>25.197867691533499</v>
      </c>
    </row>
    <row r="32" spans="2:43">
      <c r="B32" s="311"/>
      <c r="C32" s="1881" t="s">
        <v>913</v>
      </c>
      <c r="X32" s="1878">
        <v>32.449185772796604</v>
      </c>
      <c r="Z32" s="75">
        <v>30.8</v>
      </c>
      <c r="AB32" s="621">
        <v>30.604324524117537</v>
      </c>
      <c r="AD32" s="621">
        <v>27.502869101464928</v>
      </c>
      <c r="AF32" s="621">
        <v>25.487589854875896</v>
      </c>
      <c r="AG32" s="1882">
        <v>24.692637701189142</v>
      </c>
      <c r="AH32" s="626">
        <v>24.972799336821929</v>
      </c>
      <c r="AI32" s="626">
        <v>24.796628884331973</v>
      </c>
      <c r="AJ32" s="626">
        <v>24.279470580959057</v>
      </c>
      <c r="AK32" s="626">
        <v>24.050754960757466</v>
      </c>
      <c r="AL32" s="621">
        <v>24.293707734029041</v>
      </c>
      <c r="AM32" s="621">
        <v>25.18958502847844</v>
      </c>
      <c r="AN32" s="621">
        <v>25.106150973945514</v>
      </c>
      <c r="AO32" s="621">
        <v>25.230151250867987</v>
      </c>
      <c r="AP32" s="621">
        <v>25.196992113621235</v>
      </c>
      <c r="AQ32" s="621">
        <v>24.120563692723085</v>
      </c>
    </row>
    <row r="33" spans="2:43">
      <c r="B33" s="311"/>
      <c r="C33" s="1880" t="s">
        <v>914</v>
      </c>
      <c r="X33" s="1878">
        <v>34.106207138903201</v>
      </c>
      <c r="Z33" s="75">
        <v>30.8</v>
      </c>
      <c r="AB33" s="621">
        <v>30.604324524117537</v>
      </c>
      <c r="AD33" s="621">
        <v>27.502869101464928</v>
      </c>
      <c r="AF33" s="621">
        <v>25.487589854875896</v>
      </c>
      <c r="AG33" s="1882">
        <v>24.692637701189142</v>
      </c>
      <c r="AH33" s="626">
        <v>24.972799336821929</v>
      </c>
      <c r="AI33" s="626">
        <v>24.796628884331973</v>
      </c>
      <c r="AJ33" s="626">
        <v>24.279470580959057</v>
      </c>
      <c r="AK33" s="626">
        <v>24.050754960757466</v>
      </c>
      <c r="AL33" s="621">
        <v>24.293707734029041</v>
      </c>
      <c r="AM33" s="621">
        <v>25.18958502847844</v>
      </c>
      <c r="AN33" s="621">
        <v>25.106150973945514</v>
      </c>
      <c r="AO33" s="621">
        <v>25.230151250867987</v>
      </c>
      <c r="AP33" s="621">
        <v>25.196992113621235</v>
      </c>
      <c r="AQ33" s="621">
        <v>24.120563692723085</v>
      </c>
    </row>
    <row r="34" spans="2:43">
      <c r="B34" s="311" t="s">
        <v>915</v>
      </c>
      <c r="C34" s="1880"/>
      <c r="X34" s="1878"/>
      <c r="AB34" s="621"/>
      <c r="AD34" s="621"/>
      <c r="AF34" s="621"/>
      <c r="AG34" s="244"/>
      <c r="AH34" s="626"/>
      <c r="AI34" s="626"/>
      <c r="AJ34" s="626"/>
      <c r="AK34" s="626"/>
      <c r="AL34" s="621"/>
      <c r="AM34" s="621"/>
      <c r="AN34" s="621"/>
      <c r="AO34" s="621"/>
      <c r="AP34" s="621"/>
      <c r="AQ34" s="621"/>
    </row>
    <row r="35" spans="2:43">
      <c r="B35" s="311"/>
      <c r="C35" s="1880" t="s">
        <v>916</v>
      </c>
      <c r="X35" s="1883"/>
      <c r="Z35" s="621"/>
      <c r="AB35" s="621"/>
      <c r="AD35" s="621"/>
      <c r="AF35" s="621"/>
      <c r="AG35" s="244"/>
      <c r="AH35" s="626"/>
      <c r="AI35" s="626"/>
      <c r="AJ35" s="626"/>
      <c r="AK35" s="626"/>
      <c r="AL35" s="621"/>
      <c r="AM35" s="621"/>
      <c r="AN35" s="621"/>
      <c r="AO35" s="621"/>
      <c r="AP35" s="621"/>
      <c r="AQ35" s="621"/>
    </row>
    <row r="36" spans="2:43">
      <c r="B36" s="311"/>
      <c r="C36" s="1880" t="s">
        <v>917</v>
      </c>
      <c r="X36" s="1878">
        <v>33.750842093327101</v>
      </c>
      <c r="Z36" s="75">
        <v>30.8</v>
      </c>
      <c r="AB36" s="621">
        <v>30.604324524117537</v>
      </c>
      <c r="AD36" s="621">
        <v>27.502869101464928</v>
      </c>
      <c r="AF36" s="621">
        <v>25.487589854875896</v>
      </c>
      <c r="AG36" s="244">
        <v>22.752027108798256</v>
      </c>
      <c r="AH36" s="626">
        <v>22.881157154026582</v>
      </c>
      <c r="AI36" s="626">
        <v>22.843901887645529</v>
      </c>
      <c r="AJ36" s="626">
        <v>22.87087912087912</v>
      </c>
      <c r="AK36" s="626">
        <v>22.594824530308401</v>
      </c>
      <c r="AL36" s="621">
        <v>22.543971802757522</v>
      </c>
      <c r="AM36" s="621">
        <v>23.513844321677858</v>
      </c>
      <c r="AN36" s="621">
        <v>23.713018223598123</v>
      </c>
      <c r="AO36" s="621">
        <v>23.977311972030748</v>
      </c>
      <c r="AP36" s="621">
        <v>24.104695813111213</v>
      </c>
      <c r="AQ36" s="621">
        <v>24.070004754669508</v>
      </c>
    </row>
    <row r="37" spans="2:43">
      <c r="B37" s="311"/>
      <c r="C37" s="1880" t="s">
        <v>918</v>
      </c>
      <c r="X37" s="1878" t="s">
        <v>910</v>
      </c>
      <c r="AB37" s="621"/>
      <c r="AD37" s="621"/>
      <c r="AF37" s="621"/>
      <c r="AG37" s="244"/>
      <c r="AH37" s="626"/>
      <c r="AI37" s="626"/>
      <c r="AJ37" s="626"/>
      <c r="AK37" s="626"/>
      <c r="AL37" s="621"/>
      <c r="AM37" s="621"/>
      <c r="AN37" s="621"/>
      <c r="AO37" s="621"/>
      <c r="AP37" s="621"/>
      <c r="AQ37" s="621"/>
    </row>
    <row r="38" spans="2:43">
      <c r="B38" s="311" t="s">
        <v>919</v>
      </c>
      <c r="C38" s="1884"/>
      <c r="X38" s="1878"/>
      <c r="AB38" s="621"/>
      <c r="AD38" s="621"/>
      <c r="AF38" s="621"/>
      <c r="AG38" s="244"/>
      <c r="AH38" s="626"/>
      <c r="AI38" s="626"/>
      <c r="AJ38" s="626"/>
      <c r="AK38" s="626"/>
      <c r="AL38" s="621"/>
      <c r="AM38" s="621"/>
      <c r="AN38" s="621"/>
      <c r="AO38" s="621"/>
      <c r="AP38" s="621"/>
      <c r="AQ38" s="621"/>
    </row>
    <row r="39" spans="2:43">
      <c r="B39" s="311"/>
      <c r="C39" s="1880" t="s">
        <v>920</v>
      </c>
      <c r="X39" s="1878">
        <v>29.633760930716601</v>
      </c>
      <c r="Z39" s="621">
        <v>0</v>
      </c>
      <c r="AB39" s="621">
        <v>0</v>
      </c>
      <c r="AD39" s="621">
        <v>0</v>
      </c>
      <c r="AF39" s="621">
        <v>0</v>
      </c>
      <c r="AG39" s="244">
        <v>0</v>
      </c>
      <c r="AH39" s="626">
        <v>0</v>
      </c>
      <c r="AI39" s="626">
        <v>0</v>
      </c>
      <c r="AJ39" s="626">
        <v>0</v>
      </c>
      <c r="AK39" s="626">
        <v>0</v>
      </c>
      <c r="AL39" s="621">
        <v>0</v>
      </c>
      <c r="AM39" s="621">
        <v>0</v>
      </c>
      <c r="AN39" s="621">
        <v>0</v>
      </c>
      <c r="AO39" s="621">
        <v>0</v>
      </c>
      <c r="AP39" s="621">
        <v>0</v>
      </c>
      <c r="AQ39" s="621">
        <v>0</v>
      </c>
    </row>
    <row r="40" spans="2:43">
      <c r="B40" s="311" t="s">
        <v>921</v>
      </c>
      <c r="C40" s="1885"/>
      <c r="X40" s="1878"/>
      <c r="AB40" s="621"/>
      <c r="AD40" s="621"/>
      <c r="AF40" s="621"/>
      <c r="AG40" s="244"/>
      <c r="AH40" s="626"/>
      <c r="AI40" s="626"/>
      <c r="AJ40" s="626"/>
      <c r="AK40" s="626"/>
      <c r="AL40" s="621"/>
      <c r="AM40" s="621"/>
      <c r="AN40" s="621"/>
      <c r="AO40" s="621"/>
      <c r="AP40" s="621"/>
      <c r="AQ40" s="621"/>
    </row>
    <row r="41" spans="2:43">
      <c r="B41" s="311"/>
      <c r="C41" s="1880" t="s">
        <v>922</v>
      </c>
      <c r="X41" s="1878">
        <v>29.7601685448941</v>
      </c>
      <c r="Z41" s="75">
        <v>28.7</v>
      </c>
      <c r="AB41" s="621">
        <v>27.956435022297899</v>
      </c>
      <c r="AD41" s="621">
        <v>25.095156354951865</v>
      </c>
      <c r="AF41" s="621">
        <v>17.796610169491526</v>
      </c>
      <c r="AG41" s="244">
        <v>23.449734868258375</v>
      </c>
      <c r="AH41" s="626">
        <v>22.908775759132052</v>
      </c>
      <c r="AI41" s="626">
        <v>23.270610125746526</v>
      </c>
      <c r="AJ41" s="626">
        <v>23.210442858760903</v>
      </c>
      <c r="AK41" s="626">
        <v>23.107947080570749</v>
      </c>
      <c r="AL41" s="621">
        <v>23.39924670433145</v>
      </c>
      <c r="AM41" s="621">
        <v>24.062558298613272</v>
      </c>
      <c r="AN41" s="621">
        <v>23.939416773415719</v>
      </c>
      <c r="AO41" s="621">
        <v>23.959830815484807</v>
      </c>
      <c r="AP41" s="621">
        <v>24.435529724635476</v>
      </c>
      <c r="AQ41" s="621">
        <v>24.194482258717763</v>
      </c>
    </row>
    <row r="42" spans="2:43">
      <c r="B42" s="904"/>
      <c r="C42" s="1886"/>
      <c r="D42" s="172"/>
      <c r="E42" s="172"/>
      <c r="F42" s="172"/>
      <c r="G42" s="172"/>
      <c r="H42" s="172"/>
      <c r="I42" s="172"/>
      <c r="J42" s="172"/>
      <c r="K42" s="172"/>
      <c r="L42" s="172"/>
      <c r="M42" s="172"/>
      <c r="N42" s="172"/>
      <c r="O42" s="172"/>
      <c r="P42" s="172"/>
      <c r="Q42" s="172"/>
      <c r="R42" s="172"/>
      <c r="S42" s="172"/>
      <c r="T42" s="172"/>
      <c r="U42" s="172"/>
      <c r="V42" s="172"/>
      <c r="W42" s="172"/>
      <c r="X42" s="1887"/>
      <c r="Y42" s="200"/>
      <c r="Z42" s="200"/>
      <c r="AA42" s="200"/>
      <c r="AB42" s="200"/>
      <c r="AC42" s="200"/>
      <c r="AD42" s="200"/>
      <c r="AE42" s="200"/>
      <c r="AF42" s="200"/>
      <c r="AG42" s="200"/>
      <c r="AH42" s="200"/>
      <c r="AI42" s="200"/>
      <c r="AJ42" s="200"/>
      <c r="AK42" s="200"/>
      <c r="AL42" s="200"/>
      <c r="AM42" s="200"/>
      <c r="AN42" s="200"/>
      <c r="AO42" s="200"/>
      <c r="AP42" s="200"/>
      <c r="AQ42" s="200"/>
    </row>
    <row r="43" spans="2:43">
      <c r="B43" s="311"/>
      <c r="C43" s="1888"/>
      <c r="D43" s="848"/>
    </row>
    <row r="44" spans="2:43" ht="15.75" customHeight="1">
      <c r="B44" s="2056" t="s">
        <v>923</v>
      </c>
      <c r="C44" s="1925"/>
      <c r="D44" s="1925"/>
      <c r="E44" s="1925"/>
      <c r="F44" s="1925"/>
      <c r="G44" s="1925"/>
      <c r="H44" s="1925"/>
      <c r="I44" s="1925"/>
      <c r="J44" s="1925"/>
      <c r="K44" s="1925"/>
      <c r="L44" s="1925"/>
      <c r="M44" s="1925"/>
      <c r="N44" s="1925"/>
      <c r="O44" s="1925"/>
      <c r="P44" s="1925"/>
      <c r="Q44" s="1925"/>
      <c r="R44" s="1925"/>
      <c r="S44" s="1925"/>
      <c r="T44" s="1925"/>
      <c r="U44" s="1925"/>
      <c r="V44" s="1925"/>
      <c r="W44" s="1925"/>
      <c r="X44" s="1925"/>
      <c r="Y44" s="1925"/>
      <c r="Z44" s="1925"/>
      <c r="AA44" s="1925"/>
      <c r="AB44" s="1925"/>
      <c r="AC44" s="1925"/>
      <c r="AD44" s="1925"/>
      <c r="AE44" s="1925"/>
      <c r="AF44" s="1925"/>
    </row>
    <row r="45" spans="2:43" hidden="1"/>
    <row r="46" spans="2:43" ht="12.75" hidden="1" customHeight="1"/>
    <row r="47" spans="2:43" ht="15" hidden="1" customHeight="1">
      <c r="B47" s="1920"/>
      <c r="C47" s="1921"/>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row>
    <row r="48" spans="2:43" ht="15" hidden="1" customHeight="1">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row>
    <row r="49" spans="2:43" ht="15" hidden="1" customHeight="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row>
    <row r="50" spans="2:43" ht="15" hidden="1" customHeight="1">
      <c r="B50" s="941"/>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2:43" ht="15" hidden="1" customHeight="1">
      <c r="B51" s="941"/>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2:43" ht="15" hidden="1" customHeight="1">
      <c r="B52" s="941"/>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2:43" ht="15" hidden="1" customHeight="1">
      <c r="B53" s="941"/>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2:43" ht="15" hidden="1" customHeight="1">
      <c r="B54" s="941"/>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2:43" ht="15" hidden="1" customHeight="1">
      <c r="B55" s="941"/>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2:43" ht="12.75" hidden="1" customHeight="1"/>
    <row r="57" spans="2:43" ht="12.75" hidden="1" customHeight="1"/>
    <row r="58" spans="2:43" ht="12.75" hidden="1" customHeight="1"/>
    <row r="59" spans="2:43">
      <c r="AE59" s="203"/>
      <c r="AF59" s="203"/>
      <c r="AG59" s="203"/>
      <c r="AH59" s="203"/>
      <c r="AI59" s="203"/>
      <c r="AJ59" s="203"/>
      <c r="AK59" s="203"/>
      <c r="AL59" s="203"/>
      <c r="AM59" s="203"/>
    </row>
    <row r="60" spans="2:43">
      <c r="B60" s="170" t="s">
        <v>26</v>
      </c>
      <c r="C60" s="170"/>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row>
    <row r="61" spans="2:43">
      <c r="B61" s="190" t="s">
        <v>924</v>
      </c>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row>
    <row r="62" spans="2:43">
      <c r="B62" s="562"/>
      <c r="C62" s="1889"/>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row>
    <row r="63" spans="2:43">
      <c r="B63" s="165" t="s">
        <v>1794</v>
      </c>
      <c r="C63" s="165"/>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201"/>
      <c r="AF63" s="202">
        <v>2009</v>
      </c>
      <c r="AG63" s="202">
        <v>2010</v>
      </c>
      <c r="AH63" s="202">
        <v>2011</v>
      </c>
      <c r="AI63" s="202">
        <v>2012</v>
      </c>
      <c r="AJ63" s="202">
        <v>2013</v>
      </c>
      <c r="AK63" s="202">
        <v>2014</v>
      </c>
      <c r="AL63" s="202">
        <v>2015</v>
      </c>
      <c r="AM63" s="202">
        <v>2016</v>
      </c>
      <c r="AN63" s="202">
        <v>2017</v>
      </c>
      <c r="AO63" s="202">
        <v>2018</v>
      </c>
      <c r="AP63" s="202">
        <v>2019</v>
      </c>
      <c r="AQ63" s="202">
        <v>2020</v>
      </c>
    </row>
    <row r="64" spans="2:43" ht="15">
      <c r="B64" s="165" t="s">
        <v>1793</v>
      </c>
      <c r="C64" s="165"/>
      <c r="E64" s="167"/>
      <c r="F64" s="167"/>
      <c r="G64" s="167"/>
      <c r="H64" s="167"/>
      <c r="I64" s="167"/>
      <c r="J64" s="167"/>
      <c r="K64" s="167"/>
      <c r="L64" s="167"/>
      <c r="M64" s="167"/>
      <c r="N64" s="167"/>
      <c r="O64" s="197"/>
      <c r="P64" s="198"/>
      <c r="Q64" s="199"/>
      <c r="R64" s="198"/>
      <c r="S64" s="198"/>
      <c r="T64" s="198"/>
      <c r="U64" s="198"/>
      <c r="V64" s="198"/>
      <c r="W64" s="198"/>
      <c r="Y64" s="203"/>
      <c r="AA64" s="203"/>
      <c r="AC64" s="203"/>
      <c r="AE64" s="203"/>
      <c r="AO64" s="545"/>
    </row>
    <row r="65" spans="2:43">
      <c r="B65" s="204" t="s">
        <v>28</v>
      </c>
      <c r="C65" s="578" t="s">
        <v>29</v>
      </c>
      <c r="E65" s="167"/>
      <c r="F65" s="167"/>
      <c r="G65" s="167"/>
      <c r="H65" s="167"/>
      <c r="I65" s="167"/>
      <c r="J65" s="167"/>
      <c r="K65" s="167"/>
      <c r="L65" s="167"/>
      <c r="M65" s="167"/>
      <c r="N65" s="167"/>
      <c r="O65" s="197"/>
      <c r="P65" s="198"/>
      <c r="Q65" s="199"/>
      <c r="R65" s="198"/>
      <c r="S65" s="198"/>
      <c r="T65" s="198"/>
      <c r="U65" s="198"/>
      <c r="V65" s="198"/>
      <c r="W65" s="198"/>
      <c r="X65" s="166">
        <v>1177967</v>
      </c>
      <c r="Y65" s="75">
        <v>1224686</v>
      </c>
      <c r="Z65" s="166">
        <v>1268930</v>
      </c>
      <c r="AA65" s="75">
        <v>1311374</v>
      </c>
      <c r="AB65" s="166">
        <v>1364270</v>
      </c>
      <c r="AC65" s="75">
        <v>1415220</v>
      </c>
      <c r="AD65" s="166">
        <v>1491253</v>
      </c>
      <c r="AE65" s="75">
        <v>1541044</v>
      </c>
      <c r="AF65" s="166">
        <v>1589234</v>
      </c>
      <c r="AG65" s="166">
        <v>1675876</v>
      </c>
      <c r="AH65" s="166">
        <v>1732625</v>
      </c>
      <c r="AI65" s="166">
        <v>1754976</v>
      </c>
      <c r="AJ65" s="166">
        <v>1798274</v>
      </c>
      <c r="AK65" s="166">
        <v>1869107</v>
      </c>
      <c r="AL65" s="166">
        <v>1961665</v>
      </c>
      <c r="AM65" s="166">
        <v>2024597</v>
      </c>
      <c r="AN65" s="166">
        <v>2114509</v>
      </c>
      <c r="AO65" s="168">
        <v>2206405</v>
      </c>
      <c r="AP65" s="168">
        <v>2269217</v>
      </c>
      <c r="AQ65" s="168">
        <v>2187499</v>
      </c>
    </row>
    <row r="66" spans="2:43" ht="0.75" customHeight="1">
      <c r="B66" s="75"/>
      <c r="E66" s="167"/>
      <c r="F66" s="167"/>
      <c r="G66" s="167"/>
      <c r="H66" s="167"/>
      <c r="I66" s="167"/>
      <c r="J66" s="167"/>
      <c r="K66" s="167"/>
      <c r="L66" s="167"/>
      <c r="M66" s="167"/>
      <c r="N66" s="167"/>
      <c r="O66" s="197"/>
      <c r="P66" s="198"/>
      <c r="Q66" s="199"/>
      <c r="R66" s="198"/>
      <c r="S66" s="198"/>
      <c r="T66" s="198"/>
      <c r="U66" s="198"/>
      <c r="V66" s="198"/>
      <c r="W66" s="198"/>
      <c r="X66" s="166"/>
      <c r="Z66" s="166"/>
      <c r="AB66" s="166"/>
      <c r="AD66" s="166"/>
      <c r="AF66" s="166"/>
      <c r="AG66" s="166"/>
      <c r="AH66" s="166"/>
      <c r="AI66" s="166"/>
      <c r="AJ66" s="166"/>
      <c r="AK66" s="166"/>
      <c r="AL66" s="166"/>
      <c r="AM66" s="166"/>
      <c r="AN66" s="166"/>
      <c r="AO66" s="168"/>
      <c r="AP66" s="168"/>
      <c r="AQ66" s="168"/>
    </row>
    <row r="67" spans="2:43">
      <c r="B67" s="204" t="s">
        <v>30</v>
      </c>
      <c r="C67" s="578" t="s">
        <v>31</v>
      </c>
      <c r="E67" s="167"/>
      <c r="F67" s="167"/>
      <c r="G67" s="167"/>
      <c r="H67" s="167"/>
      <c r="I67" s="167"/>
      <c r="J67" s="167"/>
      <c r="K67" s="167"/>
      <c r="L67" s="167"/>
      <c r="M67" s="167"/>
      <c r="N67" s="167"/>
      <c r="O67" s="197"/>
      <c r="P67" s="198"/>
      <c r="Q67" s="199"/>
      <c r="R67" s="198"/>
      <c r="S67" s="198"/>
      <c r="T67" s="198"/>
      <c r="U67" s="198"/>
      <c r="V67" s="198"/>
      <c r="W67" s="198"/>
      <c r="X67" s="166">
        <v>1484137</v>
      </c>
      <c r="Y67" s="75">
        <v>1555776</v>
      </c>
      <c r="Z67" s="166">
        <v>1611265</v>
      </c>
      <c r="AA67" s="75">
        <v>1655401</v>
      </c>
      <c r="AB67" s="166">
        <v>1720290</v>
      </c>
      <c r="AC67" s="75">
        <v>1792767</v>
      </c>
      <c r="AD67" s="166">
        <v>1882751</v>
      </c>
      <c r="AE67" s="75">
        <v>1955807</v>
      </c>
      <c r="AF67" s="166">
        <v>2030305</v>
      </c>
      <c r="AG67" s="166">
        <v>2134030</v>
      </c>
      <c r="AH67" s="166">
        <v>2212844</v>
      </c>
      <c r="AI67" s="166">
        <v>2250366</v>
      </c>
      <c r="AJ67" s="166">
        <v>2314368</v>
      </c>
      <c r="AK67" s="166">
        <v>2406779</v>
      </c>
      <c r="AL67" s="166">
        <v>2530690</v>
      </c>
      <c r="AM67" s="166">
        <v>2632314</v>
      </c>
      <c r="AN67" s="166">
        <v>2733511</v>
      </c>
      <c r="AO67" s="168">
        <v>2850822</v>
      </c>
      <c r="AP67" s="168">
        <v>2933720</v>
      </c>
      <c r="AQ67" s="168">
        <v>2868015</v>
      </c>
    </row>
    <row r="68" spans="2:43" ht="0.75" customHeight="1">
      <c r="B68" s="75"/>
      <c r="E68" s="167"/>
      <c r="F68" s="167"/>
      <c r="G68" s="167"/>
      <c r="H68" s="167"/>
      <c r="I68" s="167"/>
      <c r="J68" s="167"/>
      <c r="K68" s="167"/>
      <c r="L68" s="167"/>
      <c r="M68" s="167"/>
      <c r="N68" s="167"/>
      <c r="O68" s="197"/>
      <c r="P68" s="198"/>
      <c r="Q68" s="199"/>
      <c r="R68" s="198"/>
      <c r="S68" s="198"/>
      <c r="T68" s="198"/>
      <c r="U68" s="198"/>
      <c r="V68" s="198"/>
      <c r="W68" s="198"/>
      <c r="AJ68" s="166"/>
      <c r="AK68" s="166"/>
      <c r="AL68" s="166"/>
      <c r="AM68" s="166"/>
      <c r="AN68" s="166"/>
      <c r="AO68" s="168"/>
      <c r="AP68" s="168"/>
      <c r="AQ68" s="168"/>
    </row>
    <row r="69" spans="2:43">
      <c r="B69" s="204" t="s">
        <v>32</v>
      </c>
      <c r="C69" s="578" t="s">
        <v>33</v>
      </c>
      <c r="E69" s="167"/>
      <c r="F69" s="167"/>
      <c r="G69" s="167"/>
      <c r="H69" s="167"/>
      <c r="I69" s="167"/>
      <c r="J69" s="167"/>
      <c r="K69" s="167"/>
      <c r="L69" s="167"/>
      <c r="M69" s="167"/>
      <c r="N69" s="167"/>
      <c r="O69" s="197"/>
      <c r="P69" s="198"/>
      <c r="Q69" s="199"/>
      <c r="R69" s="198"/>
      <c r="S69" s="198"/>
      <c r="T69" s="198"/>
      <c r="U69" s="198"/>
      <c r="V69" s="198"/>
      <c r="W69" s="198"/>
      <c r="X69" s="166">
        <f>SUM(X71:X72)</f>
        <v>281948.15300000005</v>
      </c>
      <c r="Y69" s="75">
        <f t="shared" ref="Y69:AN69" si="9">SUM(Y71:Y72)</f>
        <v>295660.59899999999</v>
      </c>
      <c r="Z69" s="166">
        <f t="shared" si="9"/>
        <v>308235.462</v>
      </c>
      <c r="AA69" s="75">
        <f t="shared" si="9"/>
        <v>317077.34999999998</v>
      </c>
      <c r="AB69" s="166">
        <f t="shared" si="9"/>
        <v>333194.14099999995</v>
      </c>
      <c r="AC69" s="75">
        <f t="shared" si="9"/>
        <v>350609.44</v>
      </c>
      <c r="AD69" s="166">
        <f t="shared" si="9"/>
        <v>371083.63099999999</v>
      </c>
      <c r="AE69" s="75">
        <f t="shared" si="9"/>
        <v>388251.76799999998</v>
      </c>
      <c r="AF69" s="166">
        <f t="shared" si="9"/>
        <v>392474.59299999999</v>
      </c>
      <c r="AG69" s="166">
        <f t="shared" si="9"/>
        <v>418155.554</v>
      </c>
      <c r="AH69" s="166">
        <f t="shared" si="9"/>
        <v>424363.52999999997</v>
      </c>
      <c r="AI69" s="166">
        <f t="shared" si="9"/>
        <v>423482.23800000001</v>
      </c>
      <c r="AJ69" s="166">
        <f t="shared" si="9"/>
        <v>430119.88900000008</v>
      </c>
      <c r="AK69" s="166">
        <f t="shared" si="9"/>
        <v>444370.05799999996</v>
      </c>
      <c r="AL69" s="166">
        <f t="shared" si="9"/>
        <v>474573.97600000002</v>
      </c>
      <c r="AM69" s="166">
        <f t="shared" si="9"/>
        <v>505044.81199999998</v>
      </c>
      <c r="AN69" s="166">
        <f t="shared" si="9"/>
        <v>525497.55099999998</v>
      </c>
      <c r="AO69" s="168">
        <f>SUM(AO71:AO72)</f>
        <v>547600.48300000001</v>
      </c>
      <c r="AP69" s="168">
        <f t="shared" ref="AP69:AQ69" si="10">SUM(AP71:AP72)</f>
        <v>564275.50800000003</v>
      </c>
      <c r="AQ69" s="168">
        <f t="shared" si="10"/>
        <v>566018.603</v>
      </c>
    </row>
    <row r="70" spans="2:43" ht="0.75" customHeight="1">
      <c r="B70" s="75"/>
      <c r="E70" s="167"/>
      <c r="F70" s="167"/>
      <c r="G70" s="167"/>
      <c r="H70" s="167"/>
      <c r="I70" s="167"/>
      <c r="J70" s="167"/>
      <c r="K70" s="167"/>
      <c r="L70" s="167"/>
      <c r="M70" s="167"/>
      <c r="N70" s="167"/>
      <c r="O70" s="197"/>
      <c r="P70" s="198"/>
      <c r="Q70" s="199"/>
      <c r="R70" s="198"/>
      <c r="S70" s="198"/>
      <c r="T70" s="198"/>
      <c r="U70" s="198"/>
      <c r="V70" s="198"/>
      <c r="W70" s="198"/>
      <c r="AJ70" s="166"/>
      <c r="AK70" s="166"/>
      <c r="AL70" s="166"/>
      <c r="AM70" s="166"/>
      <c r="AN70" s="166"/>
      <c r="AO70" s="168"/>
      <c r="AP70" s="168"/>
      <c r="AQ70" s="168"/>
    </row>
    <row r="71" spans="2:43">
      <c r="B71" s="75"/>
      <c r="C71" s="578" t="s">
        <v>34</v>
      </c>
      <c r="E71" s="167"/>
      <c r="F71" s="167"/>
      <c r="G71" s="167"/>
      <c r="H71" s="167"/>
      <c r="I71" s="167"/>
      <c r="J71" s="167"/>
      <c r="K71" s="167"/>
      <c r="L71" s="167"/>
      <c r="M71" s="167"/>
      <c r="N71" s="167"/>
      <c r="O71" s="197"/>
      <c r="P71" s="198"/>
      <c r="Q71" s="199"/>
      <c r="R71" s="198"/>
      <c r="S71" s="198"/>
      <c r="T71" s="198"/>
      <c r="U71" s="198"/>
      <c r="V71" s="198"/>
      <c r="W71" s="198"/>
      <c r="X71" s="166">
        <v>208409.72700000001</v>
      </c>
      <c r="Y71" s="75">
        <v>217867.58599999998</v>
      </c>
      <c r="Z71" s="166">
        <v>227390.78200000001</v>
      </c>
      <c r="AA71" s="75">
        <v>236193.38</v>
      </c>
      <c r="AB71" s="166">
        <v>250469.69999999998</v>
      </c>
      <c r="AC71" s="75">
        <v>267390.978</v>
      </c>
      <c r="AD71" s="166">
        <v>286210.565</v>
      </c>
      <c r="AE71" s="75">
        <v>301934.55</v>
      </c>
      <c r="AF71" s="166">
        <v>303095.10800000001</v>
      </c>
      <c r="AG71" s="166">
        <v>326685.3</v>
      </c>
      <c r="AH71" s="166">
        <v>334707.99599999998</v>
      </c>
      <c r="AI71" s="166">
        <v>333342.364</v>
      </c>
      <c r="AJ71" s="166">
        <v>341952.17000000004</v>
      </c>
      <c r="AK71" s="166">
        <v>357384.78099999996</v>
      </c>
      <c r="AL71" s="166">
        <v>383002.049</v>
      </c>
      <c r="AM71" s="166">
        <v>409538.91099999996</v>
      </c>
      <c r="AN71" s="166">
        <v>427570.28899999999</v>
      </c>
      <c r="AO71" s="168">
        <v>445488.978</v>
      </c>
      <c r="AP71" s="168">
        <v>459824.973</v>
      </c>
      <c r="AQ71" s="168">
        <v>460874.64600000001</v>
      </c>
    </row>
    <row r="72" spans="2:43">
      <c r="B72" s="75"/>
      <c r="C72" s="578" t="s">
        <v>35</v>
      </c>
      <c r="E72" s="167"/>
      <c r="F72" s="167"/>
      <c r="G72" s="167"/>
      <c r="H72" s="167"/>
      <c r="I72" s="167"/>
      <c r="J72" s="167"/>
      <c r="K72" s="167"/>
      <c r="L72" s="167"/>
      <c r="M72" s="167"/>
      <c r="N72" s="167"/>
      <c r="O72" s="197"/>
      <c r="P72" s="198"/>
      <c r="Q72" s="199"/>
      <c r="R72" s="198"/>
      <c r="S72" s="198"/>
      <c r="T72" s="198"/>
      <c r="U72" s="198"/>
      <c r="V72" s="198"/>
      <c r="W72" s="198"/>
      <c r="X72" s="166">
        <v>73538.426000000007</v>
      </c>
      <c r="Y72" s="75">
        <v>77793.013000000006</v>
      </c>
      <c r="Z72" s="166">
        <v>80844.679999999993</v>
      </c>
      <c r="AA72" s="75">
        <v>80883.97</v>
      </c>
      <c r="AB72" s="166">
        <v>82724.440999999992</v>
      </c>
      <c r="AC72" s="75">
        <v>83218.462</v>
      </c>
      <c r="AD72" s="166">
        <v>84873.065999999992</v>
      </c>
      <c r="AE72" s="75">
        <v>86317.217999999993</v>
      </c>
      <c r="AF72" s="166">
        <v>89379.485000000001</v>
      </c>
      <c r="AG72" s="166">
        <v>91470.254000000001</v>
      </c>
      <c r="AH72" s="166">
        <v>89655.534</v>
      </c>
      <c r="AI72" s="166">
        <v>90139.874000000011</v>
      </c>
      <c r="AJ72" s="166">
        <v>88167.719000000012</v>
      </c>
      <c r="AK72" s="166">
        <v>86985.277000000002</v>
      </c>
      <c r="AL72" s="166">
        <v>91571.926999999996</v>
      </c>
      <c r="AM72" s="166">
        <v>95505.900999999998</v>
      </c>
      <c r="AN72" s="166">
        <v>97927.262000000002</v>
      </c>
      <c r="AO72" s="168">
        <v>102111.50499999999</v>
      </c>
      <c r="AP72" s="168">
        <v>104450.535</v>
      </c>
      <c r="AQ72" s="168">
        <v>105143.95699999999</v>
      </c>
    </row>
    <row r="73" spans="2:43" ht="0.75" customHeight="1">
      <c r="B73" s="75"/>
      <c r="E73" s="167"/>
      <c r="F73" s="167"/>
      <c r="G73" s="167"/>
      <c r="H73" s="167"/>
      <c r="I73" s="167"/>
      <c r="J73" s="167"/>
      <c r="K73" s="167"/>
      <c r="L73" s="167"/>
      <c r="M73" s="167"/>
      <c r="N73" s="167"/>
      <c r="O73" s="197"/>
      <c r="P73" s="198"/>
      <c r="Q73" s="199"/>
      <c r="R73" s="198"/>
      <c r="S73" s="198"/>
      <c r="T73" s="198"/>
      <c r="U73" s="198"/>
      <c r="V73" s="198"/>
      <c r="W73" s="198"/>
      <c r="X73" s="166"/>
      <c r="Z73" s="166"/>
      <c r="AB73" s="166"/>
      <c r="AD73" s="166"/>
      <c r="AF73" s="166"/>
      <c r="AG73" s="166"/>
      <c r="AH73" s="166"/>
      <c r="AI73" s="166"/>
      <c r="AJ73" s="166"/>
      <c r="AK73" s="166"/>
      <c r="AL73" s="166"/>
      <c r="AM73" s="166"/>
      <c r="AN73" s="166"/>
      <c r="AO73" s="168"/>
      <c r="AP73" s="168"/>
      <c r="AQ73" s="168"/>
    </row>
    <row r="74" spans="2:43">
      <c r="B74" s="204" t="s">
        <v>36</v>
      </c>
      <c r="C74" s="578" t="s">
        <v>37</v>
      </c>
      <c r="E74" s="167"/>
      <c r="F74" s="167"/>
      <c r="G74" s="167"/>
      <c r="H74" s="167"/>
      <c r="I74" s="167"/>
      <c r="J74" s="167"/>
      <c r="K74" s="167"/>
      <c r="L74" s="167"/>
      <c r="M74" s="167"/>
      <c r="N74" s="167"/>
      <c r="O74" s="197"/>
      <c r="P74" s="198"/>
      <c r="Q74" s="199"/>
      <c r="R74" s="198"/>
      <c r="S74" s="198"/>
      <c r="T74" s="198"/>
      <c r="U74" s="198"/>
      <c r="V74" s="198"/>
      <c r="W74" s="198"/>
      <c r="X74" s="166">
        <v>293851.11300000001</v>
      </c>
      <c r="Y74" s="75">
        <v>306677.886</v>
      </c>
      <c r="Z74" s="166">
        <v>320399.89500000002</v>
      </c>
      <c r="AA74" s="75">
        <v>330844.64</v>
      </c>
      <c r="AB74" s="166">
        <v>348370.30499999999</v>
      </c>
      <c r="AC74" s="75">
        <v>366253.25199999998</v>
      </c>
      <c r="AD74" s="166">
        <v>387955.52099999995</v>
      </c>
      <c r="AE74" s="75">
        <v>404960.89199999999</v>
      </c>
      <c r="AF74" s="166">
        <v>410639.484</v>
      </c>
      <c r="AG74" s="166">
        <v>439050.36499999999</v>
      </c>
      <c r="AH74" s="166">
        <v>444888.93200000003</v>
      </c>
      <c r="AI74" s="166">
        <v>444084.87</v>
      </c>
      <c r="AJ74" s="166">
        <v>450054.01399999997</v>
      </c>
      <c r="AK74" s="166">
        <v>464725.54600000003</v>
      </c>
      <c r="AL74" s="166">
        <v>495733.14199999999</v>
      </c>
      <c r="AM74" s="166">
        <v>530558.49899999995</v>
      </c>
      <c r="AN74" s="166">
        <v>550489.04599999997</v>
      </c>
      <c r="AO74" s="168">
        <v>576523.55000000005</v>
      </c>
      <c r="AP74" s="168">
        <v>589534.56700000004</v>
      </c>
      <c r="AQ74" s="168">
        <v>586229.39799999993</v>
      </c>
    </row>
    <row r="75" spans="2:43" ht="0.75" customHeight="1">
      <c r="B75" s="75"/>
      <c r="E75" s="167"/>
      <c r="F75" s="167"/>
      <c r="G75" s="167"/>
      <c r="H75" s="167"/>
      <c r="I75" s="167"/>
      <c r="J75" s="167"/>
      <c r="K75" s="167"/>
      <c r="L75" s="167"/>
      <c r="M75" s="167"/>
      <c r="N75" s="167"/>
      <c r="O75" s="197"/>
      <c r="P75" s="198"/>
      <c r="Q75" s="199"/>
      <c r="R75" s="198"/>
      <c r="S75" s="198"/>
      <c r="T75" s="198"/>
      <c r="U75" s="198"/>
      <c r="V75" s="198"/>
      <c r="W75" s="198"/>
      <c r="X75" s="166"/>
      <c r="Z75" s="166"/>
      <c r="AB75" s="166"/>
      <c r="AD75" s="166"/>
      <c r="AF75" s="166"/>
      <c r="AG75" s="166"/>
      <c r="AH75" s="166"/>
      <c r="AI75" s="166"/>
      <c r="AJ75" s="166"/>
      <c r="AK75" s="166"/>
      <c r="AL75" s="166"/>
      <c r="AM75" s="166"/>
      <c r="AN75" s="166"/>
      <c r="AO75" s="168"/>
      <c r="AP75" s="168"/>
      <c r="AQ75" s="168"/>
    </row>
    <row r="76" spans="2:43">
      <c r="B76" s="204" t="s">
        <v>38</v>
      </c>
      <c r="C76" s="578" t="s">
        <v>39</v>
      </c>
      <c r="E76" s="167"/>
      <c r="F76" s="167"/>
      <c r="G76" s="167"/>
      <c r="H76" s="167"/>
      <c r="I76" s="167"/>
      <c r="J76" s="167"/>
      <c r="K76" s="167"/>
      <c r="L76" s="167"/>
      <c r="M76" s="167"/>
      <c r="N76" s="167"/>
      <c r="O76" s="197"/>
      <c r="P76" s="198"/>
      <c r="Q76" s="199"/>
      <c r="R76" s="198"/>
      <c r="S76" s="198"/>
      <c r="T76" s="198"/>
      <c r="U76" s="198"/>
      <c r="V76" s="198"/>
      <c r="W76" s="198"/>
      <c r="X76" s="166">
        <v>301514.28900000005</v>
      </c>
      <c r="Y76" s="75">
        <v>314850.67800000001</v>
      </c>
      <c r="Z76" s="166">
        <v>328726.97599999997</v>
      </c>
      <c r="AA76" s="75">
        <v>339625.929</v>
      </c>
      <c r="AB76" s="166">
        <v>359389.772</v>
      </c>
      <c r="AC76" s="75">
        <v>378035.12199999997</v>
      </c>
      <c r="AD76" s="166">
        <v>401038.24300000002</v>
      </c>
      <c r="AE76" s="75">
        <v>420988.02899999998</v>
      </c>
      <c r="AF76" s="166">
        <v>427015.60399999999</v>
      </c>
      <c r="AG76" s="166">
        <v>455449.93</v>
      </c>
      <c r="AH76" s="166">
        <v>460612.64</v>
      </c>
      <c r="AI76" s="166">
        <v>459687.71099999995</v>
      </c>
      <c r="AJ76" s="166">
        <v>466555.973</v>
      </c>
      <c r="AK76" s="166">
        <v>481532.61600000004</v>
      </c>
      <c r="AL76" s="166">
        <v>514485.34500000003</v>
      </c>
      <c r="AM76" s="166">
        <v>550254.80100000009</v>
      </c>
      <c r="AN76" s="166">
        <v>570412.924</v>
      </c>
      <c r="AO76" s="168">
        <v>596358.19099999999</v>
      </c>
      <c r="AP76" s="168">
        <v>610184.74</v>
      </c>
      <c r="AQ76" s="168">
        <v>607810.64300000004</v>
      </c>
    </row>
    <row r="77" spans="2:43">
      <c r="B77" s="204"/>
      <c r="E77" s="167"/>
      <c r="F77" s="167"/>
      <c r="G77" s="167"/>
      <c r="H77" s="167"/>
      <c r="I77" s="167"/>
      <c r="J77" s="167"/>
      <c r="K77" s="167"/>
      <c r="L77" s="167"/>
      <c r="M77" s="167"/>
      <c r="N77" s="167"/>
      <c r="O77" s="197"/>
      <c r="P77" s="198"/>
      <c r="Q77" s="199"/>
      <c r="R77" s="198"/>
      <c r="S77" s="198"/>
      <c r="T77" s="198"/>
      <c r="U77" s="198"/>
      <c r="V77" s="198"/>
      <c r="W77" s="198"/>
      <c r="X77" s="166"/>
      <c r="Z77" s="166"/>
      <c r="AB77" s="166"/>
      <c r="AD77" s="166"/>
      <c r="AF77" s="166"/>
      <c r="AG77" s="166"/>
      <c r="AH77" s="166"/>
      <c r="AI77" s="166"/>
      <c r="AJ77" s="166"/>
      <c r="AK77" s="166"/>
      <c r="AL77" s="166"/>
      <c r="AM77" s="166"/>
      <c r="AN77" s="166"/>
    </row>
    <row r="78" spans="2:43">
      <c r="B78" s="165" t="s">
        <v>40</v>
      </c>
      <c r="E78" s="167"/>
      <c r="F78" s="167"/>
      <c r="G78" s="167"/>
      <c r="H78" s="167"/>
      <c r="I78" s="167"/>
      <c r="J78" s="167"/>
      <c r="K78" s="167"/>
      <c r="L78" s="167"/>
      <c r="M78" s="167"/>
      <c r="N78" s="167"/>
      <c r="O78" s="197"/>
      <c r="P78" s="198"/>
      <c r="Q78" s="199"/>
      <c r="R78" s="198"/>
      <c r="S78" s="198"/>
      <c r="T78" s="198"/>
      <c r="U78" s="198"/>
      <c r="V78" s="198"/>
      <c r="W78" s="198"/>
      <c r="X78" s="166"/>
      <c r="Z78" s="166"/>
      <c r="AB78" s="166"/>
      <c r="AD78" s="166"/>
      <c r="AF78" s="166"/>
      <c r="AG78" s="166"/>
      <c r="AH78" s="166"/>
      <c r="AI78" s="166"/>
      <c r="AJ78" s="166"/>
      <c r="AK78" s="166"/>
      <c r="AL78" s="166"/>
      <c r="AM78" s="166"/>
      <c r="AN78" s="166"/>
    </row>
    <row r="79" spans="2:43" ht="0.75" customHeight="1">
      <c r="B79" s="75"/>
      <c r="E79" s="167"/>
      <c r="F79" s="167"/>
      <c r="G79" s="167"/>
      <c r="H79" s="167"/>
      <c r="I79" s="167"/>
      <c r="J79" s="167"/>
      <c r="K79" s="167"/>
      <c r="L79" s="167"/>
      <c r="M79" s="167"/>
      <c r="N79" s="167"/>
      <c r="O79" s="197"/>
      <c r="P79" s="198"/>
      <c r="Q79" s="199"/>
      <c r="R79" s="198"/>
      <c r="S79" s="198"/>
      <c r="T79" s="198"/>
      <c r="U79" s="198"/>
      <c r="V79" s="198"/>
      <c r="W79" s="198"/>
      <c r="X79" s="166"/>
      <c r="Z79" s="166"/>
      <c r="AB79" s="166"/>
      <c r="AD79" s="166"/>
      <c r="AF79" s="166"/>
      <c r="AG79" s="166"/>
      <c r="AH79" s="166"/>
      <c r="AI79" s="166"/>
      <c r="AJ79" s="166"/>
      <c r="AK79" s="166"/>
      <c r="AL79" s="166"/>
      <c r="AM79" s="166"/>
      <c r="AN79" s="166"/>
    </row>
    <row r="80" spans="2:43">
      <c r="B80" s="205" t="s">
        <v>41</v>
      </c>
      <c r="C80" s="170" t="s">
        <v>42</v>
      </c>
      <c r="D80" s="206"/>
      <c r="E80" s="167"/>
      <c r="F80" s="167"/>
      <c r="G80" s="167"/>
      <c r="H80" s="167"/>
      <c r="I80" s="167"/>
      <c r="J80" s="167"/>
      <c r="K80" s="167"/>
      <c r="L80" s="167"/>
      <c r="M80" s="167"/>
      <c r="N80" s="167"/>
      <c r="O80" s="197"/>
      <c r="P80" s="198"/>
      <c r="Q80" s="199"/>
      <c r="R80" s="198"/>
      <c r="S80" s="198"/>
      <c r="T80" s="198"/>
      <c r="U80" s="198"/>
      <c r="V80" s="198"/>
      <c r="W80" s="198"/>
      <c r="X80" s="207">
        <f>X69/X67</f>
        <v>0.18997447877116469</v>
      </c>
      <c r="Y80" s="171">
        <f t="shared" ref="Y80:AN80" si="11">Y69/Y67</f>
        <v>0.19004059646118721</v>
      </c>
      <c r="Z80" s="207">
        <f t="shared" si="11"/>
        <v>0.19130029014469996</v>
      </c>
      <c r="AA80" s="171">
        <f t="shared" si="11"/>
        <v>0.19154111299920681</v>
      </c>
      <c r="AB80" s="207">
        <f t="shared" si="11"/>
        <v>0.19368486766766066</v>
      </c>
      <c r="AC80" s="171">
        <f t="shared" si="11"/>
        <v>0.1955688831844852</v>
      </c>
      <c r="AD80" s="207">
        <f t="shared" si="11"/>
        <v>0.19709649921843089</v>
      </c>
      <c r="AE80" s="171">
        <f t="shared" si="11"/>
        <v>0.19851231128633856</v>
      </c>
      <c r="AF80" s="207">
        <f t="shared" si="11"/>
        <v>0.19330819408906544</v>
      </c>
      <c r="AG80" s="207">
        <f t="shared" si="11"/>
        <v>0.19594642718237326</v>
      </c>
      <c r="AH80" s="207">
        <f t="shared" si="11"/>
        <v>0.19177290852857226</v>
      </c>
      <c r="AI80" s="207">
        <f t="shared" si="11"/>
        <v>0.18818371678207013</v>
      </c>
      <c r="AJ80" s="207">
        <f t="shared" si="11"/>
        <v>0.18584766510770978</v>
      </c>
      <c r="AK80" s="207">
        <f t="shared" si="11"/>
        <v>0.18463268044136996</v>
      </c>
      <c r="AL80" s="207">
        <f t="shared" si="11"/>
        <v>0.18752750277592278</v>
      </c>
      <c r="AM80" s="207">
        <f t="shared" si="11"/>
        <v>0.1918634372647032</v>
      </c>
      <c r="AN80" s="207">
        <f t="shared" si="11"/>
        <v>0.19224270580948824</v>
      </c>
      <c r="AO80" s="556">
        <f>AO69/AO67</f>
        <v>0.19208511895867228</v>
      </c>
      <c r="AP80" s="556">
        <f t="shared" ref="AP80:AQ80" si="12">AP69/AP67</f>
        <v>0.19234129637456882</v>
      </c>
      <c r="AQ80" s="556">
        <f t="shared" si="12"/>
        <v>0.19735552394251774</v>
      </c>
    </row>
    <row r="81" spans="2:43" ht="0.75" customHeight="1">
      <c r="B81" s="75"/>
      <c r="E81" s="167"/>
      <c r="F81" s="167"/>
      <c r="G81" s="167"/>
      <c r="H81" s="167"/>
      <c r="I81" s="167"/>
      <c r="J81" s="167"/>
      <c r="K81" s="167"/>
      <c r="L81" s="167"/>
      <c r="M81" s="167"/>
      <c r="N81" s="167"/>
      <c r="O81" s="197"/>
      <c r="P81" s="198"/>
      <c r="Q81" s="199"/>
      <c r="R81" s="198"/>
      <c r="S81" s="198"/>
      <c r="T81" s="198"/>
      <c r="U81" s="198"/>
      <c r="V81" s="198"/>
      <c r="W81" s="198"/>
      <c r="X81" s="166"/>
      <c r="Z81" s="166"/>
      <c r="AB81" s="166"/>
      <c r="AD81" s="166"/>
      <c r="AF81" s="166"/>
      <c r="AG81" s="166"/>
      <c r="AH81" s="166"/>
      <c r="AI81" s="166"/>
      <c r="AJ81" s="166"/>
      <c r="AK81" s="166"/>
      <c r="AL81" s="166"/>
      <c r="AM81" s="166"/>
      <c r="AN81" s="166"/>
      <c r="AO81" s="555"/>
      <c r="AP81" s="555"/>
      <c r="AQ81" s="555"/>
    </row>
    <row r="82" spans="2:43">
      <c r="B82" s="204" t="s">
        <v>43</v>
      </c>
      <c r="C82" s="578" t="s">
        <v>44</v>
      </c>
      <c r="E82" s="167"/>
      <c r="F82" s="167"/>
      <c r="G82" s="167"/>
      <c r="H82" s="167"/>
      <c r="I82" s="167"/>
      <c r="J82" s="167"/>
      <c r="K82" s="167"/>
      <c r="L82" s="167"/>
      <c r="M82" s="167"/>
      <c r="N82" s="167"/>
      <c r="O82" s="197"/>
      <c r="P82" s="198"/>
      <c r="Q82" s="199"/>
      <c r="R82" s="198"/>
      <c r="S82" s="198"/>
      <c r="T82" s="198"/>
      <c r="U82" s="198"/>
      <c r="V82" s="198"/>
      <c r="W82" s="198"/>
      <c r="X82" s="208">
        <f>X76/X67</f>
        <v>0.20315798945784658</v>
      </c>
      <c r="Y82" s="75">
        <f t="shared" ref="Y82:AN82" si="13">Y76/Y67</f>
        <v>0.2023753278106874</v>
      </c>
      <c r="Z82" s="208">
        <f t="shared" si="13"/>
        <v>0.20401794614790239</v>
      </c>
      <c r="AA82" s="75">
        <f t="shared" si="13"/>
        <v>0.20516233166465406</v>
      </c>
      <c r="AB82" s="208">
        <f t="shared" si="13"/>
        <v>0.20891231827191928</v>
      </c>
      <c r="AC82" s="75">
        <f t="shared" si="13"/>
        <v>0.21086684549637513</v>
      </c>
      <c r="AD82" s="208">
        <f t="shared" si="13"/>
        <v>0.21300652237072243</v>
      </c>
      <c r="AE82" s="75">
        <f t="shared" si="13"/>
        <v>0.21525029259021977</v>
      </c>
      <c r="AF82" s="208">
        <f t="shared" si="13"/>
        <v>0.21032091434538161</v>
      </c>
      <c r="AG82" s="208">
        <f t="shared" si="13"/>
        <v>0.21342245891576031</v>
      </c>
      <c r="AH82" s="208">
        <f t="shared" si="13"/>
        <v>0.20815414010205871</v>
      </c>
      <c r="AI82" s="208">
        <f t="shared" si="13"/>
        <v>0.20427242101951415</v>
      </c>
      <c r="AJ82" s="208">
        <f t="shared" si="13"/>
        <v>0.20159109225499142</v>
      </c>
      <c r="AK82" s="208">
        <f t="shared" si="13"/>
        <v>0.20007346582299415</v>
      </c>
      <c r="AL82" s="208">
        <f t="shared" si="13"/>
        <v>0.20329844627354596</v>
      </c>
      <c r="AM82" s="208">
        <f t="shared" si="13"/>
        <v>0.2090384357641224</v>
      </c>
      <c r="AN82" s="208">
        <f t="shared" si="13"/>
        <v>0.20867409130601633</v>
      </c>
      <c r="AO82" s="555">
        <f>AO76/AO67</f>
        <v>0.20918815380265762</v>
      </c>
      <c r="AP82" s="555">
        <f t="shared" ref="AP82:AQ82" si="14">AP76/AP67</f>
        <v>0.20799010812211116</v>
      </c>
      <c r="AQ82" s="555">
        <f t="shared" si="14"/>
        <v>0.21192728873454289</v>
      </c>
    </row>
    <row r="83" spans="2:43" ht="0.75" customHeight="1">
      <c r="B83" s="75"/>
      <c r="E83" s="167"/>
      <c r="F83" s="167"/>
      <c r="G83" s="167"/>
      <c r="H83" s="167"/>
      <c r="I83" s="167"/>
      <c r="J83" s="167"/>
      <c r="K83" s="167"/>
      <c r="L83" s="167"/>
      <c r="M83" s="167"/>
      <c r="N83" s="167"/>
      <c r="O83" s="197"/>
      <c r="P83" s="198"/>
      <c r="Q83" s="199"/>
      <c r="R83" s="198"/>
      <c r="S83" s="198"/>
      <c r="T83" s="198"/>
      <c r="U83" s="198"/>
      <c r="V83" s="198"/>
      <c r="W83" s="198"/>
      <c r="X83" s="166"/>
      <c r="Z83" s="166"/>
      <c r="AB83" s="166"/>
      <c r="AD83" s="166"/>
      <c r="AF83" s="166"/>
      <c r="AG83" s="166"/>
      <c r="AH83" s="166"/>
      <c r="AI83" s="166"/>
      <c r="AJ83" s="166"/>
      <c r="AK83" s="166"/>
      <c r="AL83" s="166"/>
      <c r="AM83" s="166"/>
      <c r="AN83" s="166"/>
      <c r="AO83" s="555"/>
      <c r="AP83" s="555"/>
      <c r="AQ83" s="555"/>
    </row>
    <row r="84" spans="2:43">
      <c r="B84" s="204" t="s">
        <v>45</v>
      </c>
      <c r="C84" s="578" t="s">
        <v>46</v>
      </c>
      <c r="E84" s="167"/>
      <c r="F84" s="167"/>
      <c r="G84" s="167"/>
      <c r="H84" s="167"/>
      <c r="I84" s="167"/>
      <c r="J84" s="167"/>
      <c r="K84" s="167"/>
      <c r="L84" s="167"/>
      <c r="M84" s="167"/>
      <c r="N84" s="167"/>
      <c r="O84" s="197"/>
      <c r="P84" s="198"/>
      <c r="Q84" s="199"/>
      <c r="R84" s="198"/>
      <c r="S84" s="198"/>
      <c r="T84" s="198"/>
      <c r="U84" s="198"/>
      <c r="V84" s="198"/>
      <c r="W84" s="198"/>
      <c r="X84" s="208">
        <f>X76/X65</f>
        <v>0.25596157532426633</v>
      </c>
      <c r="Y84" s="75">
        <f t="shared" ref="Y84:AN84" si="15">Y76/Y65</f>
        <v>0.25708685981549556</v>
      </c>
      <c r="Z84" s="208">
        <f t="shared" si="15"/>
        <v>0.25905840038457595</v>
      </c>
      <c r="AA84" s="75">
        <f t="shared" si="15"/>
        <v>0.25898479686191733</v>
      </c>
      <c r="AB84" s="208">
        <f t="shared" si="15"/>
        <v>0.26343009228378544</v>
      </c>
      <c r="AC84" s="75">
        <f t="shared" si="15"/>
        <v>0.26712109919305832</v>
      </c>
      <c r="AD84" s="208">
        <f t="shared" si="15"/>
        <v>0.26892703183162081</v>
      </c>
      <c r="AE84" s="75">
        <f t="shared" si="15"/>
        <v>0.27318365277045947</v>
      </c>
      <c r="AF84" s="208">
        <f t="shared" si="15"/>
        <v>0.26869271863048488</v>
      </c>
      <c r="AG84" s="208">
        <f t="shared" si="15"/>
        <v>0.27176827521845293</v>
      </c>
      <c r="AH84" s="208">
        <f t="shared" si="15"/>
        <v>0.26584670081523698</v>
      </c>
      <c r="AI84" s="208">
        <f t="shared" si="15"/>
        <v>0.26193390166019359</v>
      </c>
      <c r="AJ84" s="208">
        <f t="shared" si="15"/>
        <v>0.25944654318529881</v>
      </c>
      <c r="AK84" s="208">
        <f t="shared" si="15"/>
        <v>0.25762710000016054</v>
      </c>
      <c r="AL84" s="208">
        <f t="shared" si="15"/>
        <v>0.26226972750189254</v>
      </c>
      <c r="AM84" s="208">
        <f t="shared" si="15"/>
        <v>0.27178485446733353</v>
      </c>
      <c r="AN84" s="208">
        <f t="shared" si="15"/>
        <v>0.26976140749460042</v>
      </c>
      <c r="AO84" s="555">
        <f>AO76/AO65</f>
        <v>0.27028500705899416</v>
      </c>
      <c r="AP84" s="555">
        <f t="shared" ref="AP84:AQ84" si="16">AP76/AP65</f>
        <v>0.2688966017793803</v>
      </c>
      <c r="AQ84" s="555">
        <f t="shared" si="16"/>
        <v>0.27785642096293534</v>
      </c>
    </row>
    <row r="85" spans="2:43" ht="9" customHeight="1">
      <c r="B85" s="172"/>
      <c r="C85" s="59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row>
    <row r="86" spans="2:43" ht="0.75" customHeight="1">
      <c r="E86" s="167"/>
      <c r="F86" s="167"/>
      <c r="G86" s="167"/>
      <c r="H86" s="167"/>
      <c r="I86" s="167"/>
      <c r="J86" s="167"/>
      <c r="K86" s="167"/>
      <c r="L86" s="167"/>
      <c r="M86" s="167"/>
      <c r="N86" s="167"/>
      <c r="O86" s="197"/>
      <c r="P86" s="198"/>
      <c r="Q86" s="199"/>
      <c r="R86" s="198"/>
      <c r="S86" s="198"/>
      <c r="T86" s="198"/>
      <c r="U86" s="198"/>
      <c r="V86" s="198"/>
      <c r="W86" s="198"/>
      <c r="AF86" s="203"/>
      <c r="AG86" s="203"/>
      <c r="AH86" s="203"/>
      <c r="AI86" s="203"/>
      <c r="AJ86" s="203"/>
    </row>
    <row r="87" spans="2:43" ht="0.75" customHeight="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203"/>
      <c r="AH87" s="203"/>
      <c r="AI87" s="203"/>
      <c r="AJ87" s="623"/>
    </row>
    <row r="88" spans="2:43">
      <c r="AG88" s="203"/>
      <c r="AH88" s="203"/>
      <c r="AI88" s="203"/>
      <c r="AJ88" s="203"/>
      <c r="AK88" s="203"/>
      <c r="AL88" s="203"/>
      <c r="AM88" s="203"/>
    </row>
    <row r="89" spans="2:43">
      <c r="AI89" s="203"/>
    </row>
    <row r="90" spans="2:43">
      <c r="B90" s="170" t="s">
        <v>925</v>
      </c>
      <c r="C90" s="170"/>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row>
    <row r="91" spans="2:43">
      <c r="R91" s="261"/>
      <c r="S91" s="261"/>
      <c r="T91" s="261"/>
      <c r="U91" s="261"/>
      <c r="V91" s="261"/>
      <c r="W91" s="261"/>
      <c r="X91" s="202">
        <v>2001</v>
      </c>
      <c r="Y91" s="201"/>
      <c r="Z91" s="202">
        <v>2003</v>
      </c>
      <c r="AA91" s="201"/>
      <c r="AB91" s="202">
        <v>2005</v>
      </c>
      <c r="AC91" s="201"/>
      <c r="AD91" s="202">
        <v>2007</v>
      </c>
      <c r="AE91" s="201"/>
      <c r="AF91" s="202">
        <v>2009</v>
      </c>
      <c r="AG91" s="202">
        <v>2010</v>
      </c>
      <c r="AH91" s="202">
        <v>2011</v>
      </c>
      <c r="AI91" s="202">
        <v>2012</v>
      </c>
      <c r="AJ91" s="202">
        <v>2013</v>
      </c>
      <c r="AK91" s="202">
        <v>2014</v>
      </c>
      <c r="AL91" s="202">
        <v>2015</v>
      </c>
      <c r="AM91" s="202">
        <v>2016</v>
      </c>
      <c r="AN91" s="202">
        <v>2017</v>
      </c>
      <c r="AO91" s="202">
        <v>2018</v>
      </c>
      <c r="AP91" s="202">
        <v>2019</v>
      </c>
      <c r="AQ91" s="202">
        <v>2020</v>
      </c>
    </row>
    <row r="92" spans="2:43">
      <c r="B92" s="217" t="s">
        <v>49</v>
      </c>
      <c r="R92" s="261"/>
      <c r="S92" s="261"/>
      <c r="T92" s="261"/>
      <c r="U92" s="261"/>
      <c r="V92" s="261"/>
      <c r="W92" s="261"/>
      <c r="X92" s="244"/>
      <c r="Y92" s="244"/>
      <c r="Z92" s="244"/>
      <c r="AA92" s="244"/>
      <c r="AB92" s="244"/>
      <c r="AC92" s="244"/>
      <c r="AD92" s="244"/>
      <c r="AE92" s="244"/>
      <c r="AF92" s="244"/>
    </row>
    <row r="93" spans="2:43">
      <c r="B93" s="217"/>
      <c r="R93" s="261"/>
      <c r="S93" s="261"/>
      <c r="T93" s="261"/>
      <c r="U93" s="261"/>
      <c r="V93" s="261"/>
      <c r="W93" s="261"/>
      <c r="X93" s="244"/>
      <c r="Y93" s="244"/>
      <c r="Z93" s="244"/>
      <c r="AA93" s="244"/>
      <c r="AB93" s="244"/>
      <c r="AC93" s="244"/>
      <c r="AD93" s="244"/>
      <c r="AE93" s="244"/>
      <c r="AF93" s="244"/>
    </row>
    <row r="94" spans="2:43">
      <c r="B94" s="217" t="s">
        <v>50</v>
      </c>
      <c r="R94" s="261"/>
      <c r="S94" s="261"/>
      <c r="T94" s="261"/>
      <c r="U94" s="261"/>
      <c r="V94" s="261"/>
      <c r="W94" s="261"/>
      <c r="X94" s="244"/>
      <c r="Y94" s="244"/>
      <c r="Z94" s="244"/>
      <c r="AA94" s="244"/>
      <c r="AB94" s="244"/>
      <c r="AC94" s="244"/>
      <c r="AD94" s="244"/>
      <c r="AE94" s="244"/>
      <c r="AF94" s="244"/>
    </row>
    <row r="95" spans="2:43">
      <c r="B95" s="206" t="s">
        <v>56</v>
      </c>
      <c r="R95" s="261"/>
      <c r="S95" s="261"/>
      <c r="T95" s="261"/>
      <c r="U95" s="261"/>
      <c r="V95" s="261"/>
      <c r="W95" s="261"/>
      <c r="X95" s="244"/>
      <c r="Y95" s="244"/>
      <c r="Z95" s="244"/>
      <c r="AA95" s="244"/>
      <c r="AB95" s="244"/>
      <c r="AC95" s="244"/>
      <c r="AD95" s="244"/>
      <c r="AE95" s="244"/>
      <c r="AF95" s="244"/>
    </row>
    <row r="96" spans="2:43">
      <c r="R96" s="261"/>
      <c r="S96" s="261"/>
      <c r="T96" s="261"/>
      <c r="U96" s="261"/>
      <c r="V96" s="261"/>
      <c r="W96" s="261"/>
      <c r="X96" s="244"/>
      <c r="Y96" s="244"/>
      <c r="Z96" s="244"/>
      <c r="AA96" s="244"/>
      <c r="AB96" s="244"/>
      <c r="AC96" s="244"/>
      <c r="AD96" s="244"/>
      <c r="AE96" s="244"/>
      <c r="AF96" s="244"/>
    </row>
    <row r="97" spans="2:43">
      <c r="B97" s="217" t="s">
        <v>78</v>
      </c>
      <c r="R97" s="261"/>
      <c r="S97" s="261"/>
      <c r="T97" s="261"/>
      <c r="U97" s="261"/>
      <c r="V97" s="261"/>
      <c r="W97" s="261"/>
      <c r="X97" s="244"/>
      <c r="Y97" s="244"/>
      <c r="Z97" s="244"/>
      <c r="AA97" s="244"/>
      <c r="AB97" s="244"/>
      <c r="AC97" s="244"/>
      <c r="AD97" s="244"/>
      <c r="AE97" s="244"/>
      <c r="AF97" s="244"/>
    </row>
    <row r="98" spans="2:43">
      <c r="R98" s="261"/>
      <c r="S98" s="261"/>
      <c r="T98" s="261"/>
      <c r="U98" s="261"/>
      <c r="V98" s="261"/>
      <c r="W98" s="261"/>
      <c r="X98" s="244"/>
      <c r="Y98" s="244"/>
      <c r="Z98" s="244"/>
      <c r="AA98" s="244"/>
      <c r="AB98" s="244"/>
      <c r="AC98" s="244"/>
      <c r="AD98" s="244"/>
      <c r="AE98" s="244"/>
      <c r="AF98" s="244"/>
    </row>
    <row r="99" spans="2:43">
      <c r="R99" s="261"/>
      <c r="S99" s="261"/>
      <c r="T99" s="261"/>
      <c r="U99" s="261"/>
      <c r="V99" s="261"/>
      <c r="W99" s="261"/>
      <c r="X99" s="244"/>
      <c r="Y99" s="244"/>
      <c r="Z99" s="244"/>
      <c r="AA99" s="244"/>
      <c r="AB99" s="244"/>
      <c r="AC99" s="244"/>
      <c r="AD99" s="244"/>
      <c r="AE99" s="244"/>
      <c r="AF99" s="244"/>
    </row>
    <row r="100" spans="2:43" ht="13.5">
      <c r="B100" s="925" t="s">
        <v>90</v>
      </c>
      <c r="R100" s="261"/>
      <c r="S100" s="261"/>
      <c r="T100" s="261"/>
      <c r="U100" s="261"/>
      <c r="V100" s="261"/>
      <c r="W100" s="261"/>
      <c r="X100" s="244"/>
      <c r="Y100" s="244"/>
      <c r="Z100" s="244"/>
      <c r="AA100" s="244"/>
      <c r="AB100" s="244"/>
      <c r="AC100" s="244"/>
      <c r="AD100" s="244"/>
      <c r="AE100" s="244"/>
      <c r="AF100" s="244"/>
    </row>
    <row r="101" spans="2:43">
      <c r="B101" s="206" t="s">
        <v>110</v>
      </c>
      <c r="R101" s="261"/>
      <c r="S101" s="261"/>
      <c r="T101" s="261"/>
      <c r="U101" s="261"/>
      <c r="V101" s="261"/>
      <c r="W101" s="261"/>
      <c r="X101" s="244"/>
      <c r="Y101" s="244"/>
      <c r="Z101" s="244"/>
      <c r="AA101" s="244"/>
      <c r="AB101" s="244"/>
      <c r="AC101" s="244"/>
      <c r="AD101" s="244"/>
      <c r="AE101" s="244"/>
      <c r="AF101" s="244"/>
    </row>
    <row r="102" spans="2:43">
      <c r="R102" s="261"/>
      <c r="S102" s="261"/>
      <c r="T102" s="261"/>
      <c r="U102" s="261"/>
      <c r="V102" s="261"/>
      <c r="W102" s="261"/>
      <c r="X102" s="244"/>
      <c r="Y102" s="244"/>
      <c r="Z102" s="244"/>
      <c r="AA102" s="244"/>
      <c r="AB102" s="244"/>
      <c r="AC102" s="244"/>
      <c r="AD102" s="244"/>
      <c r="AE102" s="244"/>
      <c r="AF102" s="244"/>
    </row>
    <row r="103" spans="2:43">
      <c r="C103" s="837" t="s">
        <v>562</v>
      </c>
      <c r="R103" s="261"/>
      <c r="S103" s="261"/>
      <c r="T103" s="261"/>
      <c r="U103" s="261"/>
      <c r="V103" s="261"/>
      <c r="W103" s="261"/>
      <c r="X103" s="244"/>
      <c r="Y103" s="244"/>
      <c r="Z103" s="244"/>
      <c r="AA103" s="244"/>
      <c r="AB103" s="244"/>
      <c r="AC103" s="244"/>
      <c r="AD103" s="244"/>
      <c r="AE103" s="244"/>
      <c r="AF103" s="244"/>
    </row>
    <row r="104" spans="2:43">
      <c r="B104" s="206"/>
      <c r="R104" s="261"/>
      <c r="S104" s="261"/>
      <c r="T104" s="261"/>
      <c r="U104" s="261"/>
      <c r="V104" s="261"/>
      <c r="W104" s="261"/>
      <c r="X104" s="244"/>
      <c r="Y104" s="244"/>
      <c r="Z104" s="244"/>
      <c r="AA104" s="244"/>
      <c r="AB104" s="244"/>
      <c r="AC104" s="244"/>
      <c r="AD104" s="244"/>
      <c r="AE104" s="244"/>
      <c r="AF104" s="244"/>
    </row>
    <row r="105" spans="2:43">
      <c r="B105" s="165" t="s">
        <v>926</v>
      </c>
      <c r="AN105" s="75"/>
      <c r="AO105" s="75"/>
    </row>
    <row r="106" spans="2:43">
      <c r="AJ106" s="75"/>
      <c r="AK106" s="75"/>
      <c r="AL106" s="75"/>
      <c r="AM106" s="75"/>
      <c r="AN106" s="200"/>
      <c r="AO106" s="200"/>
      <c r="AP106" s="200"/>
      <c r="AQ106" s="200"/>
    </row>
    <row r="107" spans="2:43">
      <c r="B107" s="966" t="s">
        <v>18</v>
      </c>
      <c r="C107" s="1890"/>
      <c r="D107" s="966"/>
      <c r="E107" s="966"/>
      <c r="F107" s="966"/>
      <c r="G107" s="966"/>
      <c r="H107" s="966"/>
      <c r="I107" s="966"/>
      <c r="J107" s="966"/>
      <c r="K107" s="966"/>
      <c r="L107" s="966"/>
      <c r="M107" s="966"/>
      <c r="N107" s="966"/>
      <c r="O107" s="966"/>
      <c r="P107" s="966"/>
      <c r="Q107" s="966"/>
      <c r="R107" s="966"/>
      <c r="S107" s="966"/>
      <c r="T107" s="966"/>
      <c r="U107" s="966"/>
      <c r="V107" s="966"/>
      <c r="W107" s="966"/>
      <c r="X107" s="201"/>
      <c r="Y107" s="201"/>
      <c r="Z107" s="201"/>
      <c r="AA107" s="201"/>
      <c r="AB107" s="201"/>
      <c r="AC107" s="201"/>
      <c r="AD107" s="201"/>
      <c r="AE107" s="201"/>
      <c r="AF107" s="201"/>
      <c r="AG107" s="201"/>
      <c r="AH107" s="201"/>
      <c r="AI107" s="201"/>
      <c r="AJ107" s="201"/>
      <c r="AK107" s="201"/>
      <c r="AL107" s="201"/>
      <c r="AM107" s="201"/>
    </row>
  </sheetData>
  <mergeCells count="6">
    <mergeCell ref="B15:AQ15"/>
    <mergeCell ref="B87:AF87"/>
    <mergeCell ref="B44:AF44"/>
    <mergeCell ref="B47:Z47"/>
    <mergeCell ref="B48:Z48"/>
    <mergeCell ref="B49:Z49"/>
  </mergeCells>
  <pageMargins left="0.70866141732283472" right="0.70866141732283472" top="0.74803149606299213" bottom="0.74803149606299213" header="0.31496062992125984" footer="0.31496062992125984"/>
  <pageSetup paperSize="9" scale="5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R175"/>
  <sheetViews>
    <sheetView topLeftCell="B13" zoomScaleNormal="100" workbookViewId="0">
      <selection activeCell="B15" sqref="B15:AQ121"/>
    </sheetView>
  </sheetViews>
  <sheetFormatPr defaultColWidth="8.88671875" defaultRowHeight="12.75" outlineLevelRow="1"/>
  <cols>
    <col min="1" max="1" width="0" style="158" hidden="1" customWidth="1"/>
    <col min="2" max="2" width="5" style="158" customWidth="1"/>
    <col min="3" max="3" width="64" style="158" customWidth="1"/>
    <col min="4" max="4" width="2.6640625" style="158" hidden="1" customWidth="1"/>
    <col min="5" max="15" width="2.33203125" style="158" hidden="1" customWidth="1"/>
    <col min="16" max="16" width="4.44140625" style="158" hidden="1" customWidth="1"/>
    <col min="17" max="17" width="1.44140625" style="158" hidden="1" customWidth="1"/>
    <col min="18" max="18" width="4.44140625" style="158" hidden="1" customWidth="1"/>
    <col min="19" max="19" width="1.44140625" style="158" hidden="1" customWidth="1"/>
    <col min="20" max="20" width="4.44140625" style="158" hidden="1" customWidth="1"/>
    <col min="21" max="21" width="1.44140625" style="158" hidden="1" customWidth="1"/>
    <col min="22" max="22" width="4.44140625" style="158" hidden="1" customWidth="1"/>
    <col min="23" max="23" width="1.44140625" style="158" hidden="1" customWidth="1"/>
    <col min="24" max="24" width="10" style="276" hidden="1" customWidth="1"/>
    <col min="25" max="25" width="3.77734375" style="276" hidden="1" customWidth="1"/>
    <col min="26" max="26" width="10" style="276" hidden="1" customWidth="1"/>
    <col min="27" max="27" width="3.77734375" style="276" hidden="1" customWidth="1"/>
    <col min="28" max="28" width="7.5546875" style="276" bestFit="1" customWidth="1"/>
    <col min="29" max="29" width="2.21875" style="276" hidden="1" customWidth="1"/>
    <col min="30" max="30" width="10" style="276" customWidth="1"/>
    <col min="31" max="31" width="2.5546875" style="276" hidden="1" customWidth="1"/>
    <col min="32" max="37" width="6.33203125" style="743" customWidth="1"/>
    <col min="38" max="41" width="6.6640625" style="743" customWidth="1"/>
    <col min="42" max="43" width="6.6640625" style="744" customWidth="1"/>
    <col min="44" max="16384" width="8.88671875" style="158"/>
  </cols>
  <sheetData>
    <row r="1" spans="1:43" ht="12" hidden="1" customHeight="1" outlineLevel="1">
      <c r="B1" s="158" t="s">
        <v>1258</v>
      </c>
    </row>
    <row r="2" spans="1:43" ht="12" hidden="1" customHeight="1" outlineLevel="1"/>
    <row r="3" spans="1:43" ht="15" hidden="1" customHeight="1" outlineLevel="1"/>
    <row r="4" spans="1:43" ht="15" hidden="1" customHeight="1" outlineLevel="1">
      <c r="B4" s="570" t="s">
        <v>738</v>
      </c>
      <c r="C4" s="570"/>
      <c r="P4" s="158">
        <v>1993</v>
      </c>
      <c r="R4" s="158">
        <v>1995</v>
      </c>
      <c r="T4" s="158">
        <v>1997</v>
      </c>
      <c r="V4" s="158">
        <v>1999</v>
      </c>
      <c r="Y4" s="277"/>
      <c r="AB4" s="290">
        <v>2005</v>
      </c>
      <c r="AC4" s="290"/>
      <c r="AD4" s="290">
        <v>2007</v>
      </c>
      <c r="AE4" s="290"/>
      <c r="AF4" s="772">
        <v>2009</v>
      </c>
      <c r="AG4" s="772">
        <v>2010</v>
      </c>
      <c r="AH4" s="772">
        <v>2011</v>
      </c>
      <c r="AI4" s="772">
        <v>2012</v>
      </c>
      <c r="AJ4" s="772">
        <v>2013</v>
      </c>
      <c r="AK4" s="772">
        <v>2014</v>
      </c>
      <c r="AL4" s="772">
        <v>2015</v>
      </c>
      <c r="AM4" s="772">
        <v>2016</v>
      </c>
      <c r="AN4" s="772">
        <v>2017</v>
      </c>
      <c r="AO4" s="772">
        <v>2018</v>
      </c>
      <c r="AP4" s="772">
        <v>2019</v>
      </c>
      <c r="AQ4" s="772">
        <v>2020</v>
      </c>
    </row>
    <row r="5" spans="1:43" ht="21" hidden="1" customHeight="1" outlineLevel="1">
      <c r="Y5" s="277"/>
      <c r="AF5" s="764"/>
      <c r="AG5" s="764"/>
      <c r="AH5" s="764"/>
      <c r="AI5" s="764"/>
      <c r="AJ5" s="764"/>
      <c r="AK5" s="764"/>
      <c r="AL5" s="764"/>
      <c r="AM5" s="764"/>
      <c r="AN5" s="764"/>
      <c r="AO5" s="764"/>
      <c r="AP5" s="764"/>
      <c r="AQ5" s="764"/>
    </row>
    <row r="6" spans="1:43" ht="14.25" hidden="1" customHeight="1" outlineLevel="1">
      <c r="A6" s="158" t="s">
        <v>2</v>
      </c>
      <c r="B6" s="158" t="s">
        <v>3</v>
      </c>
      <c r="X6" s="278"/>
      <c r="Y6" s="279"/>
      <c r="Z6" s="278"/>
      <c r="AA6" s="278"/>
      <c r="AB6" s="278">
        <f>AB94</f>
        <v>0</v>
      </c>
      <c r="AC6" s="278"/>
      <c r="AD6" s="278">
        <f>AD94</f>
        <v>0</v>
      </c>
      <c r="AE6" s="278"/>
      <c r="AF6" s="773">
        <f t="shared" ref="AF6:AM6" si="0">AF94</f>
        <v>0</v>
      </c>
      <c r="AG6" s="773">
        <f t="shared" si="0"/>
        <v>0</v>
      </c>
      <c r="AH6" s="773">
        <f t="shared" si="0"/>
        <v>0</v>
      </c>
      <c r="AI6" s="773">
        <f t="shared" si="0"/>
        <v>0</v>
      </c>
      <c r="AJ6" s="773">
        <f t="shared" si="0"/>
        <v>0</v>
      </c>
      <c r="AK6" s="773">
        <f t="shared" si="0"/>
        <v>0</v>
      </c>
      <c r="AL6" s="763">
        <f t="shared" si="0"/>
        <v>17653.257761279998</v>
      </c>
      <c r="AM6" s="763">
        <f t="shared" si="0"/>
        <v>24516.976755389998</v>
      </c>
      <c r="AN6" s="763">
        <f>AN94</f>
        <v>28778.620240350006</v>
      </c>
      <c r="AO6" s="763">
        <f>AO94</f>
        <v>33374.054105569994</v>
      </c>
      <c r="AP6" s="763">
        <f>AP94</f>
        <v>40694.399999999994</v>
      </c>
      <c r="AQ6" s="763">
        <f>AQ94</f>
        <v>40927.199999999997</v>
      </c>
    </row>
    <row r="7" spans="1:43" ht="16.5" hidden="1" customHeight="1" outlineLevel="1">
      <c r="A7" s="158" t="s">
        <v>4</v>
      </c>
      <c r="B7" s="158" t="s">
        <v>5</v>
      </c>
      <c r="X7" s="280"/>
      <c r="Y7" s="281"/>
      <c r="Z7" s="280"/>
      <c r="AA7" s="280"/>
      <c r="AB7" s="280">
        <f>AB106</f>
        <v>0</v>
      </c>
      <c r="AC7" s="280"/>
      <c r="AD7" s="280">
        <f>AD106</f>
        <v>0</v>
      </c>
      <c r="AE7" s="280"/>
      <c r="AF7" s="774">
        <f t="shared" ref="AF7:AM7" si="1">AF106</f>
        <v>0</v>
      </c>
      <c r="AG7" s="774">
        <f t="shared" si="1"/>
        <v>0</v>
      </c>
      <c r="AH7" s="774">
        <f t="shared" si="1"/>
        <v>0</v>
      </c>
      <c r="AI7" s="774">
        <f t="shared" si="1"/>
        <v>0</v>
      </c>
      <c r="AJ7" s="774">
        <f t="shared" si="1"/>
        <v>0</v>
      </c>
      <c r="AK7" s="774">
        <f t="shared" si="1"/>
        <v>0</v>
      </c>
      <c r="AL7" s="775">
        <f t="shared" si="1"/>
        <v>39.315067390000003</v>
      </c>
      <c r="AM7" s="775">
        <f t="shared" si="1"/>
        <v>46.804887570000005</v>
      </c>
      <c r="AN7" s="775">
        <f>AN106</f>
        <v>29.623083769999994</v>
      </c>
      <c r="AO7" s="775">
        <f>AO106</f>
        <v>37.004958940000002</v>
      </c>
      <c r="AP7" s="775">
        <f>AP106</f>
        <v>75.2</v>
      </c>
      <c r="AQ7" s="775">
        <f>AQ106</f>
        <v>100.99999999999999</v>
      </c>
    </row>
    <row r="8" spans="1:43" ht="19.5" hidden="1" customHeight="1" outlineLevel="1">
      <c r="A8" s="158" t="s">
        <v>6</v>
      </c>
      <c r="X8" s="278"/>
      <c r="Y8" s="279"/>
      <c r="Z8" s="278"/>
      <c r="AA8" s="278"/>
      <c r="AB8" s="278">
        <f>AB6+AB7</f>
        <v>0</v>
      </c>
      <c r="AC8" s="278"/>
      <c r="AD8" s="278">
        <f>AD6+AD7</f>
        <v>0</v>
      </c>
      <c r="AE8" s="278"/>
      <c r="AF8" s="773">
        <f t="shared" ref="AF8:AM8" si="2">AF6+AF7</f>
        <v>0</v>
      </c>
      <c r="AG8" s="773">
        <f t="shared" si="2"/>
        <v>0</v>
      </c>
      <c r="AH8" s="773">
        <f t="shared" si="2"/>
        <v>0</v>
      </c>
      <c r="AI8" s="773">
        <f t="shared" si="2"/>
        <v>0</v>
      </c>
      <c r="AJ8" s="773">
        <f t="shared" si="2"/>
        <v>0</v>
      </c>
      <c r="AK8" s="773">
        <f t="shared" si="2"/>
        <v>0</v>
      </c>
      <c r="AL8" s="763">
        <f t="shared" si="2"/>
        <v>17692.57282867</v>
      </c>
      <c r="AM8" s="763">
        <f t="shared" si="2"/>
        <v>24563.781642959999</v>
      </c>
      <c r="AN8" s="763">
        <f>AN6+AN7</f>
        <v>28808.243324120005</v>
      </c>
      <c r="AO8" s="763">
        <f>AO6+AO7</f>
        <v>33411.059064509995</v>
      </c>
      <c r="AP8" s="763">
        <f>AP6+AP7</f>
        <v>40769.599999999991</v>
      </c>
      <c r="AQ8" s="763">
        <f>AQ6+AQ7</f>
        <v>41028.199999999997</v>
      </c>
    </row>
    <row r="9" spans="1:43" ht="18.75" hidden="1" customHeight="1" outlineLevel="1">
      <c r="Y9" s="279"/>
      <c r="AF9" s="764"/>
      <c r="AG9" s="764"/>
      <c r="AH9" s="764"/>
      <c r="AI9" s="764"/>
      <c r="AJ9" s="764"/>
      <c r="AK9" s="764"/>
      <c r="AL9" s="763"/>
      <c r="AM9" s="763"/>
      <c r="AN9" s="763"/>
      <c r="AO9" s="763"/>
      <c r="AP9" s="763"/>
      <c r="AQ9" s="763"/>
    </row>
    <row r="10" spans="1:43" ht="16.5" hidden="1" customHeight="1" outlineLevel="1">
      <c r="B10" s="158" t="s">
        <v>110</v>
      </c>
      <c r="X10" s="278"/>
      <c r="Y10" s="279"/>
      <c r="Z10" s="278"/>
      <c r="AA10" s="278"/>
      <c r="AB10" s="278">
        <f>AB115</f>
        <v>0</v>
      </c>
      <c r="AC10" s="278"/>
      <c r="AD10" s="278">
        <f>AD115</f>
        <v>0</v>
      </c>
      <c r="AE10" s="278"/>
      <c r="AF10" s="773">
        <f t="shared" ref="AF10:AM10" si="3">AF115</f>
        <v>0</v>
      </c>
      <c r="AG10" s="773">
        <f t="shared" si="3"/>
        <v>0</v>
      </c>
      <c r="AH10" s="773">
        <f t="shared" si="3"/>
        <v>0</v>
      </c>
      <c r="AI10" s="773">
        <f t="shared" si="3"/>
        <v>0</v>
      </c>
      <c r="AJ10" s="773">
        <f t="shared" si="3"/>
        <v>0</v>
      </c>
      <c r="AK10" s="773">
        <f t="shared" si="3"/>
        <v>0</v>
      </c>
      <c r="AL10" s="763">
        <f t="shared" si="3"/>
        <v>520.61200589999999</v>
      </c>
      <c r="AM10" s="763">
        <f t="shared" si="3"/>
        <v>749.41132716999994</v>
      </c>
      <c r="AN10" s="763">
        <f>AN115</f>
        <v>87.455775599999996</v>
      </c>
      <c r="AO10" s="763">
        <f>AO115</f>
        <v>117.87235971</v>
      </c>
      <c r="AP10" s="763">
        <f>AP115</f>
        <v>151.20000000000002</v>
      </c>
      <c r="AQ10" s="763">
        <f>AQ115</f>
        <v>196.1</v>
      </c>
    </row>
    <row r="11" spans="1:43" ht="13.5" hidden="1" customHeight="1" outlineLevel="1">
      <c r="X11" s="278"/>
      <c r="Y11" s="279"/>
      <c r="Z11" s="278"/>
      <c r="AA11" s="278"/>
      <c r="AB11" s="278"/>
      <c r="AC11" s="278"/>
      <c r="AD11" s="278"/>
      <c r="AE11" s="278"/>
      <c r="AF11" s="773"/>
      <c r="AG11" s="773"/>
      <c r="AH11" s="773"/>
      <c r="AI11" s="773"/>
      <c r="AJ11" s="773"/>
      <c r="AK11" s="773"/>
      <c r="AL11" s="763"/>
      <c r="AM11" s="763"/>
      <c r="AN11" s="763"/>
      <c r="AO11" s="763"/>
      <c r="AP11" s="763"/>
      <c r="AQ11" s="763"/>
    </row>
    <row r="12" spans="1:43" ht="18" hidden="1" customHeight="1" outlineLevel="1">
      <c r="B12" s="158" t="s">
        <v>8</v>
      </c>
      <c r="X12" s="278"/>
      <c r="Y12" s="279"/>
      <c r="Z12" s="278"/>
      <c r="AB12" s="278">
        <f>AB96</f>
        <v>0</v>
      </c>
      <c r="AC12" s="278"/>
      <c r="AD12" s="278">
        <f>AD96</f>
        <v>0</v>
      </c>
      <c r="AE12" s="278"/>
      <c r="AF12" s="773">
        <f t="shared" ref="AF12:AM12" si="4">AF96</f>
        <v>0</v>
      </c>
      <c r="AG12" s="773">
        <f t="shared" si="4"/>
        <v>0</v>
      </c>
      <c r="AH12" s="773">
        <f t="shared" si="4"/>
        <v>0</v>
      </c>
      <c r="AI12" s="773">
        <f t="shared" si="4"/>
        <v>0</v>
      </c>
      <c r="AJ12" s="773">
        <f t="shared" si="4"/>
        <v>0</v>
      </c>
      <c r="AK12" s="773">
        <f t="shared" si="4"/>
        <v>0</v>
      </c>
      <c r="AL12" s="763">
        <f t="shared" si="4"/>
        <v>24.641999999999999</v>
      </c>
      <c r="AM12" s="763">
        <f t="shared" si="4"/>
        <v>207.30199999999999</v>
      </c>
      <c r="AN12" s="763">
        <f>AN96</f>
        <v>279.2</v>
      </c>
      <c r="AO12" s="763">
        <f>AO96</f>
        <v>245.17400000000001</v>
      </c>
      <c r="AP12" s="763">
        <f>AP96</f>
        <v>124.2</v>
      </c>
      <c r="AQ12" s="763">
        <f>AQ96</f>
        <v>122.5</v>
      </c>
    </row>
    <row r="13" spans="1:43" ht="23.25" customHeight="1" outlineLevel="1">
      <c r="X13" s="278"/>
      <c r="Z13" s="278"/>
      <c r="AD13" s="278"/>
      <c r="AF13" s="746"/>
      <c r="AH13" s="746"/>
    </row>
    <row r="14" spans="1:43" outlineLevel="1">
      <c r="X14" s="278"/>
      <c r="Z14" s="278"/>
      <c r="AD14" s="278"/>
      <c r="AF14" s="746"/>
      <c r="AH14" s="746"/>
    </row>
    <row r="15" spans="1:43" ht="27" customHeight="1">
      <c r="B15" s="1917" t="s">
        <v>697</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37"/>
      <c r="AH15" s="1937"/>
      <c r="AI15" s="1937"/>
      <c r="AJ15" s="2064"/>
      <c r="AK15" s="2064"/>
      <c r="AL15" s="2064"/>
      <c r="AM15" s="2064"/>
      <c r="AN15" s="2064"/>
      <c r="AO15" s="2057"/>
      <c r="AP15" s="2057"/>
      <c r="AQ15" s="2057"/>
    </row>
    <row r="16" spans="1:43">
      <c r="O16" s="283"/>
      <c r="P16" s="283"/>
      <c r="Q16" s="283"/>
      <c r="R16" s="283"/>
      <c r="S16" s="283"/>
      <c r="T16" s="283"/>
      <c r="U16" s="283"/>
      <c r="V16" s="283"/>
      <c r="W16" s="283"/>
      <c r="X16" s="284"/>
      <c r="Y16" s="285"/>
      <c r="Z16" s="285"/>
      <c r="AA16" s="285"/>
      <c r="AB16" s="285"/>
      <c r="AC16" s="285"/>
      <c r="AD16" s="285"/>
      <c r="AE16" s="285"/>
      <c r="AF16" s="747"/>
      <c r="AH16" s="746"/>
    </row>
    <row r="17" spans="2:34">
      <c r="B17" s="286" t="s">
        <v>1865</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748"/>
      <c r="AH17" s="746"/>
    </row>
    <row r="18" spans="2:34">
      <c r="O18" s="283"/>
      <c r="P18" s="283"/>
      <c r="Q18" s="283"/>
      <c r="R18" s="283"/>
      <c r="S18" s="283"/>
      <c r="T18" s="283"/>
      <c r="U18" s="283"/>
      <c r="V18" s="283"/>
      <c r="W18" s="283"/>
      <c r="X18" s="284"/>
      <c r="Y18" s="285"/>
      <c r="Z18" s="285"/>
      <c r="AA18" s="285"/>
      <c r="AB18" s="285"/>
      <c r="AC18" s="285"/>
      <c r="AD18" s="285"/>
      <c r="AE18" s="285"/>
      <c r="AF18" s="747"/>
      <c r="AH18" s="746"/>
    </row>
    <row r="19" spans="2:34">
      <c r="B19" s="286" t="s">
        <v>1259</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748"/>
      <c r="AH19" s="746"/>
    </row>
    <row r="20" spans="2:34">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748"/>
      <c r="AH20" s="746"/>
    </row>
    <row r="21" spans="2:34" ht="15">
      <c r="B21" s="1926" t="s">
        <v>1260</v>
      </c>
      <c r="C21" s="1927"/>
      <c r="D21" s="1927"/>
      <c r="E21" s="1927"/>
      <c r="F21" s="1927"/>
      <c r="G21" s="1927"/>
      <c r="H21" s="1927"/>
      <c r="I21" s="1927"/>
      <c r="J21" s="1927"/>
      <c r="K21" s="1927"/>
      <c r="L21" s="1927"/>
      <c r="M21" s="1927"/>
      <c r="N21" s="1927"/>
      <c r="O21" s="1927"/>
      <c r="P21" s="1927"/>
      <c r="Q21" s="1927"/>
      <c r="R21" s="1927"/>
      <c r="S21" s="1927"/>
      <c r="T21" s="1927"/>
      <c r="U21" s="1927"/>
      <c r="V21" s="1927"/>
      <c r="W21" s="1927"/>
      <c r="X21" s="1927"/>
      <c r="Y21" s="1927"/>
      <c r="Z21" s="1927"/>
      <c r="AA21" s="1927"/>
      <c r="AB21" s="2065"/>
      <c r="AC21" s="1927"/>
      <c r="AD21" s="1927"/>
      <c r="AE21" s="1927"/>
      <c r="AF21" s="1927"/>
      <c r="AH21" s="746"/>
    </row>
    <row r="22" spans="2:34" ht="27.75" customHeight="1">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8"/>
      <c r="AC22" s="287"/>
      <c r="AD22" s="287"/>
      <c r="AE22" s="287"/>
      <c r="AF22" s="748"/>
      <c r="AH22" s="746"/>
    </row>
    <row r="23" spans="2:34" hidden="1">
      <c r="B23" s="28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748"/>
      <c r="AH23" s="746"/>
    </row>
    <row r="24" spans="2:34" hidden="1">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748"/>
      <c r="AH24" s="746"/>
    </row>
    <row r="25" spans="2:34" hidden="1">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748"/>
      <c r="AH25" s="746"/>
    </row>
    <row r="26" spans="2:34" hidden="1">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748"/>
      <c r="AH26" s="746"/>
    </row>
    <row r="27" spans="2:34" hidden="1">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748"/>
      <c r="AH27" s="746"/>
    </row>
    <row r="28" spans="2:34" hidden="1">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748"/>
      <c r="AH28" s="746"/>
    </row>
    <row r="29" spans="2:34" hidden="1">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748"/>
      <c r="AH29" s="746"/>
    </row>
    <row r="30" spans="2:34" hidden="1">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748"/>
      <c r="AH30" s="746"/>
    </row>
    <row r="31" spans="2:34" hidden="1">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748"/>
      <c r="AH31" s="746"/>
    </row>
    <row r="32" spans="2:34" hidden="1">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748"/>
      <c r="AH32" s="746"/>
    </row>
    <row r="33" spans="2:34" hidden="1">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748"/>
      <c r="AH33" s="746"/>
    </row>
    <row r="34" spans="2:34" hidden="1">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748"/>
      <c r="AH34" s="746"/>
    </row>
    <row r="35" spans="2:34" hidden="1">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748"/>
      <c r="AH35" s="746"/>
    </row>
    <row r="36" spans="2:34" hidden="1">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748"/>
      <c r="AH36" s="746"/>
    </row>
    <row r="37" spans="2:34" hidden="1">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748"/>
      <c r="AH37" s="746"/>
    </row>
    <row r="38" spans="2:34" hidden="1">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748"/>
      <c r="AH38" s="746"/>
    </row>
    <row r="39" spans="2:34" hidden="1">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748"/>
      <c r="AH39" s="746"/>
    </row>
    <row r="40" spans="2:34" hidden="1">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287"/>
      <c r="AF40" s="748"/>
      <c r="AH40" s="746"/>
    </row>
    <row r="41" spans="2:34" hidden="1">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748"/>
      <c r="AH41" s="746"/>
    </row>
    <row r="42" spans="2:34" hidden="1">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748"/>
      <c r="AH42" s="746"/>
    </row>
    <row r="43" spans="2:34" hidden="1">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748"/>
      <c r="AH43" s="746"/>
    </row>
    <row r="44" spans="2:34" hidden="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748"/>
      <c r="AH44" s="746"/>
    </row>
    <row r="45" spans="2:34" hidden="1">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748"/>
      <c r="AH45" s="746"/>
    </row>
    <row r="46" spans="2:34" hidden="1">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748"/>
      <c r="AH46" s="746"/>
    </row>
    <row r="47" spans="2:34" hidden="1">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748"/>
      <c r="AH47" s="746"/>
    </row>
    <row r="48" spans="2:34" hidden="1">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748"/>
      <c r="AH48" s="746"/>
    </row>
    <row r="49" spans="2:43" hidden="1">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748"/>
      <c r="AH49" s="746"/>
    </row>
    <row r="50" spans="2:43" hidden="1">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748"/>
      <c r="AH50" s="746"/>
    </row>
    <row r="51" spans="2:43" hidden="1">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748"/>
      <c r="AH51" s="746"/>
    </row>
    <row r="52" spans="2:43" hidden="1">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748"/>
      <c r="AH52" s="746"/>
    </row>
    <row r="53" spans="2:43" hidden="1">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748"/>
      <c r="AH53" s="746"/>
    </row>
    <row r="54" spans="2:43" ht="21.75" hidden="1" customHeight="1">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748"/>
      <c r="AH54" s="746"/>
    </row>
    <row r="55" spans="2:43" ht="21.75" hidden="1" customHeight="1">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748"/>
      <c r="AH55" s="746"/>
    </row>
    <row r="56" spans="2:43" ht="21.75" hidden="1" customHeight="1">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748"/>
      <c r="AH56" s="746"/>
    </row>
    <row r="57" spans="2:43" ht="21.75" hidden="1" customHeight="1">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748"/>
      <c r="AH57" s="746"/>
    </row>
    <row r="58" spans="2:43" ht="21.75" hidden="1" customHeight="1">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748"/>
      <c r="AH58" s="746"/>
    </row>
    <row r="59" spans="2:43" ht="14.25" customHeight="1">
      <c r="X59" s="278"/>
      <c r="Z59" s="278"/>
      <c r="AD59" s="278"/>
      <c r="AF59" s="746"/>
      <c r="AH59" s="746"/>
    </row>
    <row r="60" spans="2:43" outlineLevel="1">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748"/>
      <c r="AH60" s="746"/>
    </row>
    <row r="61" spans="2:43" outlineLevel="1">
      <c r="B61" s="190" t="s">
        <v>749</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245"/>
      <c r="AH61" s="746"/>
    </row>
    <row r="62" spans="2:43"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749"/>
      <c r="AH62" s="746"/>
    </row>
    <row r="63" spans="2:43" outlineLevel="1">
      <c r="B63" s="165" t="s">
        <v>1865</v>
      </c>
      <c r="E63" s="167"/>
      <c r="F63" s="167"/>
      <c r="G63" s="167"/>
      <c r="H63" s="167"/>
      <c r="I63" s="167"/>
      <c r="J63" s="167"/>
      <c r="K63" s="167"/>
      <c r="L63" s="167"/>
      <c r="M63" s="167"/>
      <c r="N63" s="167"/>
      <c r="O63" s="197"/>
      <c r="P63" s="198"/>
      <c r="Q63" s="199"/>
      <c r="R63" s="198"/>
      <c r="S63" s="198"/>
      <c r="T63" s="198"/>
      <c r="U63" s="198"/>
      <c r="V63" s="198"/>
      <c r="W63" s="198"/>
      <c r="X63" s="563">
        <v>2001</v>
      </c>
      <c r="Y63" s="289"/>
      <c r="Z63" s="290">
        <v>2003</v>
      </c>
      <c r="AA63" s="289"/>
      <c r="AB63" s="290">
        <v>2005</v>
      </c>
      <c r="AC63" s="289"/>
      <c r="AD63" s="290">
        <v>2007</v>
      </c>
      <c r="AE63" s="289"/>
      <c r="AF63" s="772">
        <v>2009</v>
      </c>
      <c r="AG63" s="772">
        <v>2010</v>
      </c>
      <c r="AH63" s="772">
        <v>2011</v>
      </c>
      <c r="AI63" s="772">
        <v>2012</v>
      </c>
      <c r="AJ63" s="772">
        <v>2013</v>
      </c>
      <c r="AK63" s="772">
        <v>2014</v>
      </c>
      <c r="AL63" s="772">
        <v>2015</v>
      </c>
      <c r="AM63" s="772">
        <v>2016</v>
      </c>
      <c r="AN63" s="772">
        <v>2017</v>
      </c>
      <c r="AO63" s="772">
        <v>2018</v>
      </c>
      <c r="AP63" s="772">
        <v>2019</v>
      </c>
      <c r="AQ63" s="772">
        <v>2020</v>
      </c>
    </row>
    <row r="64" spans="2:43" outlineLevel="1">
      <c r="B64" s="165" t="s">
        <v>1866</v>
      </c>
      <c r="E64" s="167"/>
      <c r="F64" s="167"/>
      <c r="G64" s="167"/>
      <c r="H64" s="167"/>
      <c r="I64" s="167"/>
      <c r="J64" s="167"/>
      <c r="K64" s="167"/>
      <c r="L64" s="167"/>
      <c r="M64" s="167"/>
      <c r="N64" s="167"/>
      <c r="O64" s="197"/>
      <c r="P64" s="198"/>
      <c r="Q64" s="199"/>
      <c r="R64" s="198"/>
      <c r="S64" s="198"/>
      <c r="T64" s="198"/>
      <c r="U64" s="198"/>
      <c r="V64" s="198"/>
      <c r="W64" s="198"/>
      <c r="Y64" s="291"/>
      <c r="AA64" s="291"/>
      <c r="AB64" s="291"/>
      <c r="AC64" s="291"/>
      <c r="AE64" s="291"/>
      <c r="AH64" s="746"/>
    </row>
    <row r="65" spans="2:43" outlineLevel="1">
      <c r="B65" s="292" t="s">
        <v>28</v>
      </c>
      <c r="C65" s="158" t="s">
        <v>29</v>
      </c>
      <c r="E65" s="167"/>
      <c r="F65" s="167"/>
      <c r="G65" s="167"/>
      <c r="H65" s="167"/>
      <c r="I65" s="167"/>
      <c r="J65" s="167"/>
      <c r="K65" s="167"/>
      <c r="L65" s="167"/>
      <c r="M65" s="167"/>
      <c r="N65" s="167"/>
      <c r="O65" s="197"/>
      <c r="P65" s="198"/>
      <c r="Q65" s="199"/>
      <c r="R65" s="198"/>
      <c r="S65" s="198"/>
      <c r="T65" s="198"/>
      <c r="U65" s="198"/>
      <c r="V65" s="198"/>
      <c r="W65" s="198"/>
      <c r="X65" s="285"/>
      <c r="Z65" s="285"/>
      <c r="AB65" s="761">
        <v>431296.47100000002</v>
      </c>
      <c r="AC65" s="762">
        <v>491117.25</v>
      </c>
      <c r="AD65" s="761">
        <v>551098.23</v>
      </c>
      <c r="AE65" s="762">
        <v>612487.33600000001</v>
      </c>
      <c r="AF65" s="763">
        <v>619648.34499999997</v>
      </c>
      <c r="AG65" s="763">
        <v>731881.897</v>
      </c>
      <c r="AH65" s="763">
        <v>881073.48300000001</v>
      </c>
      <c r="AI65" s="763">
        <v>979094.89500000002</v>
      </c>
      <c r="AJ65" s="763">
        <v>1117823.5660000001</v>
      </c>
      <c r="AK65" s="763">
        <v>1240496.0900000001</v>
      </c>
      <c r="AL65" s="763">
        <v>1411072.9450000001</v>
      </c>
      <c r="AM65" s="763">
        <v>1560395.8219999999</v>
      </c>
      <c r="AN65" s="763">
        <v>1836628.05</v>
      </c>
      <c r="AO65" s="763">
        <v>2111939.6749999998</v>
      </c>
      <c r="AP65" s="763">
        <v>2456122.5079999999</v>
      </c>
      <c r="AQ65" s="763">
        <v>2863969.102</v>
      </c>
    </row>
    <row r="66" spans="2:43" ht="5.0999999999999996" customHeight="1" outlineLevel="1">
      <c r="B66" s="276"/>
      <c r="E66" s="167"/>
      <c r="F66" s="167"/>
      <c r="G66" s="167"/>
      <c r="H66" s="167"/>
      <c r="I66" s="167"/>
      <c r="J66" s="167"/>
      <c r="K66" s="167"/>
      <c r="L66" s="167"/>
      <c r="M66" s="167"/>
      <c r="N66" s="167"/>
      <c r="O66" s="197"/>
      <c r="P66" s="198"/>
      <c r="Q66" s="199"/>
      <c r="R66" s="198"/>
      <c r="S66" s="198"/>
      <c r="T66" s="198"/>
      <c r="U66" s="198"/>
      <c r="V66" s="198"/>
      <c r="W66" s="198"/>
      <c r="X66" s="285"/>
      <c r="Z66" s="285"/>
      <c r="AB66" s="761"/>
      <c r="AC66" s="762"/>
      <c r="AD66" s="761"/>
      <c r="AE66" s="762"/>
      <c r="AF66" s="763"/>
      <c r="AG66" s="763"/>
      <c r="AH66" s="763"/>
      <c r="AI66" s="763"/>
      <c r="AJ66" s="763"/>
      <c r="AK66" s="763"/>
      <c r="AL66" s="763"/>
      <c r="AM66" s="763"/>
      <c r="AN66" s="763"/>
      <c r="AO66" s="763"/>
      <c r="AP66" s="763"/>
      <c r="AQ66" s="763"/>
    </row>
    <row r="67" spans="2:43" outlineLevel="1">
      <c r="B67" s="292" t="s">
        <v>30</v>
      </c>
      <c r="C67" s="158" t="s">
        <v>31</v>
      </c>
      <c r="E67" s="167"/>
      <c r="F67" s="167"/>
      <c r="G67" s="167"/>
      <c r="H67" s="167"/>
      <c r="I67" s="167"/>
      <c r="J67" s="167"/>
      <c r="K67" s="167"/>
      <c r="L67" s="167"/>
      <c r="M67" s="167"/>
      <c r="N67" s="167"/>
      <c r="O67" s="197"/>
      <c r="P67" s="198"/>
      <c r="Q67" s="199"/>
      <c r="R67" s="198"/>
      <c r="S67" s="198"/>
      <c r="T67" s="198"/>
      <c r="U67" s="198"/>
      <c r="V67" s="198"/>
      <c r="W67" s="198"/>
      <c r="X67" s="285"/>
      <c r="Z67" s="285"/>
      <c r="AB67" s="761">
        <v>466926.47058965638</v>
      </c>
      <c r="AC67" s="762">
        <v>593829.81900000002</v>
      </c>
      <c r="AD67" s="761">
        <v>607167.24791630206</v>
      </c>
      <c r="AE67" s="762">
        <v>748825.04300000006</v>
      </c>
      <c r="AF67" s="763">
        <v>693807.51800000004</v>
      </c>
      <c r="AG67" s="763">
        <v>809450.82700000005</v>
      </c>
      <c r="AH67" s="763">
        <v>961333.56599999999</v>
      </c>
      <c r="AI67" s="763">
        <v>1072842.7650000001</v>
      </c>
      <c r="AJ67" s="763">
        <v>1229586.6580000003</v>
      </c>
      <c r="AK67" s="763">
        <v>1364574.9640000002</v>
      </c>
      <c r="AL67" s="763">
        <v>1552983.53</v>
      </c>
      <c r="AM67" s="763">
        <v>1730539.9829999998</v>
      </c>
      <c r="AN67" s="763">
        <v>2050081.6320000002</v>
      </c>
      <c r="AO67" s="763">
        <v>2363834.23</v>
      </c>
      <c r="AP67" s="763">
        <v>2750026.4439999997</v>
      </c>
      <c r="AQ67" s="763">
        <v>3194267.13</v>
      </c>
    </row>
    <row r="68" spans="2:43" ht="5.0999999999999996" customHeight="1" outlineLevel="1">
      <c r="B68" s="276"/>
      <c r="E68" s="167"/>
      <c r="F68" s="167"/>
      <c r="G68" s="167"/>
      <c r="H68" s="167"/>
      <c r="I68" s="167"/>
      <c r="J68" s="167"/>
      <c r="K68" s="167"/>
      <c r="L68" s="167"/>
      <c r="M68" s="167"/>
      <c r="N68" s="167"/>
      <c r="O68" s="197"/>
      <c r="P68" s="198"/>
      <c r="Q68" s="199"/>
      <c r="R68" s="198"/>
      <c r="S68" s="198"/>
      <c r="T68" s="198"/>
      <c r="U68" s="198"/>
      <c r="V68" s="198"/>
      <c r="W68" s="198"/>
      <c r="AB68" s="762"/>
      <c r="AC68" s="762"/>
      <c r="AD68" s="762"/>
      <c r="AE68" s="762"/>
      <c r="AF68" s="764"/>
      <c r="AG68" s="764"/>
      <c r="AH68" s="764"/>
      <c r="AI68" s="764"/>
      <c r="AJ68" s="764"/>
      <c r="AK68" s="764"/>
      <c r="AL68" s="764"/>
      <c r="AM68" s="764"/>
      <c r="AN68" s="764"/>
      <c r="AO68" s="764"/>
      <c r="AP68" s="764"/>
      <c r="AQ68" s="764"/>
    </row>
    <row r="69" spans="2:43" outlineLevel="1">
      <c r="B69" s="292" t="s">
        <v>32</v>
      </c>
      <c r="C69" s="158" t="s">
        <v>33</v>
      </c>
      <c r="E69" s="167"/>
      <c r="F69" s="167"/>
      <c r="G69" s="167"/>
      <c r="H69" s="167"/>
      <c r="I69" s="167"/>
      <c r="J69" s="167"/>
      <c r="K69" s="167"/>
      <c r="L69" s="167"/>
      <c r="M69" s="167"/>
      <c r="N69" s="167"/>
      <c r="O69" s="197"/>
      <c r="P69" s="198"/>
      <c r="Q69" s="199"/>
      <c r="R69" s="198"/>
      <c r="S69" s="198"/>
      <c r="T69" s="198"/>
      <c r="U69" s="198"/>
      <c r="V69" s="198"/>
      <c r="W69" s="198"/>
      <c r="X69" s="285"/>
      <c r="Z69" s="285"/>
      <c r="AB69" s="761">
        <f t="shared" ref="AB69:AN69" si="5">SUM(AB71:AB72)</f>
        <v>67685.018000000011</v>
      </c>
      <c r="AC69" s="762">
        <f t="shared" si="5"/>
        <v>78262.975000000006</v>
      </c>
      <c r="AD69" s="761">
        <f t="shared" si="5"/>
        <v>82395.77900000001</v>
      </c>
      <c r="AE69" s="762">
        <f t="shared" si="5"/>
        <v>88608.630999999994</v>
      </c>
      <c r="AF69" s="763">
        <f t="shared" si="5"/>
        <v>90606.679000000004</v>
      </c>
      <c r="AG69" s="763">
        <f t="shared" si="5"/>
        <v>119818.40299999999</v>
      </c>
      <c r="AH69" s="763">
        <f t="shared" si="5"/>
        <v>142830.58199999999</v>
      </c>
      <c r="AI69" s="763">
        <f t="shared" si="5"/>
        <v>153277.70300000001</v>
      </c>
      <c r="AJ69" s="763">
        <f t="shared" si="5"/>
        <v>186184.19</v>
      </c>
      <c r="AK69" s="763">
        <f t="shared" si="5"/>
        <v>193627.288</v>
      </c>
      <c r="AL69" s="763">
        <f t="shared" si="5"/>
        <v>226992.63800000001</v>
      </c>
      <c r="AM69" s="763">
        <f t="shared" si="5"/>
        <v>251221.20699999999</v>
      </c>
      <c r="AN69" s="763">
        <f t="shared" si="5"/>
        <v>294017.74300000002</v>
      </c>
      <c r="AO69" s="763">
        <f>SUM(AO71:AO72)</f>
        <v>312519.54200000002</v>
      </c>
      <c r="AP69" s="763">
        <f t="shared" ref="AP69:AQ69" si="6">SUM(AP71:AP72)</f>
        <v>327860.26</v>
      </c>
      <c r="AQ69" s="763">
        <f t="shared" si="6"/>
        <v>437985.07999999996</v>
      </c>
    </row>
    <row r="70" spans="2:43" ht="5.0999999999999996" customHeight="1" outlineLevel="1">
      <c r="B70" s="276"/>
      <c r="E70" s="167"/>
      <c r="F70" s="167"/>
      <c r="G70" s="167"/>
      <c r="H70" s="167"/>
      <c r="I70" s="167"/>
      <c r="J70" s="167"/>
      <c r="K70" s="167"/>
      <c r="L70" s="167"/>
      <c r="M70" s="167"/>
      <c r="N70" s="167"/>
      <c r="O70" s="197"/>
      <c r="P70" s="198"/>
      <c r="Q70" s="199"/>
      <c r="R70" s="198"/>
      <c r="S70" s="198"/>
      <c r="T70" s="198"/>
      <c r="U70" s="198"/>
      <c r="V70" s="198"/>
      <c r="W70" s="198"/>
      <c r="AB70" s="762"/>
      <c r="AC70" s="762"/>
      <c r="AD70" s="762"/>
      <c r="AE70" s="762"/>
      <c r="AF70" s="764"/>
      <c r="AG70" s="764"/>
      <c r="AH70" s="764"/>
      <c r="AI70" s="764"/>
      <c r="AJ70" s="764"/>
      <c r="AK70" s="764"/>
      <c r="AL70" s="764"/>
      <c r="AM70" s="764"/>
      <c r="AN70" s="764"/>
      <c r="AO70" s="764"/>
      <c r="AP70" s="764"/>
      <c r="AQ70" s="764"/>
    </row>
    <row r="71" spans="2:43" outlineLevel="1">
      <c r="B71" s="276"/>
      <c r="C71" s="158" t="s">
        <v>34</v>
      </c>
      <c r="E71" s="167"/>
      <c r="F71" s="167"/>
      <c r="G71" s="167"/>
      <c r="H71" s="167"/>
      <c r="I71" s="167"/>
      <c r="J71" s="167"/>
      <c r="K71" s="167"/>
      <c r="L71" s="167"/>
      <c r="M71" s="167"/>
      <c r="N71" s="167"/>
      <c r="O71" s="197"/>
      <c r="P71" s="198"/>
      <c r="Q71" s="199"/>
      <c r="R71" s="198"/>
      <c r="S71" s="198"/>
      <c r="T71" s="198"/>
      <c r="U71" s="198"/>
      <c r="V71" s="198"/>
      <c r="W71" s="198"/>
      <c r="X71" s="285"/>
      <c r="Z71" s="285"/>
      <c r="AB71" s="761">
        <v>34356.627</v>
      </c>
      <c r="AC71" s="762">
        <v>41336.799999999996</v>
      </c>
      <c r="AD71" s="761">
        <v>43285.273999999998</v>
      </c>
      <c r="AE71" s="762">
        <v>46776.907999999996</v>
      </c>
      <c r="AF71" s="763">
        <v>46986.885000000002</v>
      </c>
      <c r="AG71" s="763">
        <v>62533.281999999999</v>
      </c>
      <c r="AH71" s="763">
        <v>78641.796000000002</v>
      </c>
      <c r="AI71" s="763">
        <v>81572.202000000005</v>
      </c>
      <c r="AJ71" s="763">
        <v>100722.637</v>
      </c>
      <c r="AK71" s="763">
        <v>102532.557</v>
      </c>
      <c r="AL71" s="763">
        <v>121070.3</v>
      </c>
      <c r="AM71" s="763">
        <v>130822.451</v>
      </c>
      <c r="AN71" s="763">
        <v>155679.50200000001</v>
      </c>
      <c r="AO71" s="763">
        <v>178616.022</v>
      </c>
      <c r="AP71" s="763">
        <v>180728.894</v>
      </c>
      <c r="AQ71" s="763">
        <v>230712.09099999999</v>
      </c>
    </row>
    <row r="72" spans="2:43" outlineLevel="1">
      <c r="B72" s="276"/>
      <c r="C72" s="158" t="s">
        <v>35</v>
      </c>
      <c r="E72" s="167"/>
      <c r="F72" s="167"/>
      <c r="G72" s="167"/>
      <c r="H72" s="167"/>
      <c r="I72" s="167"/>
      <c r="J72" s="167"/>
      <c r="K72" s="167"/>
      <c r="L72" s="167"/>
      <c r="M72" s="167"/>
      <c r="N72" s="167"/>
      <c r="O72" s="197"/>
      <c r="P72" s="198"/>
      <c r="Q72" s="199"/>
      <c r="R72" s="198"/>
      <c r="S72" s="198"/>
      <c r="T72" s="198"/>
      <c r="U72" s="198"/>
      <c r="V72" s="198"/>
      <c r="W72" s="198"/>
      <c r="X72" s="285"/>
      <c r="Z72" s="285"/>
      <c r="AB72" s="761">
        <v>33328.391000000003</v>
      </c>
      <c r="AC72" s="762">
        <v>36926.175000000003</v>
      </c>
      <c r="AD72" s="761">
        <v>39110.505000000005</v>
      </c>
      <c r="AE72" s="762">
        <v>41831.722999999998</v>
      </c>
      <c r="AF72" s="763">
        <v>43619.794000000002</v>
      </c>
      <c r="AG72" s="763">
        <v>57285.120999999999</v>
      </c>
      <c r="AH72" s="763">
        <v>64188.785999999993</v>
      </c>
      <c r="AI72" s="763">
        <v>71705.501000000004</v>
      </c>
      <c r="AJ72" s="763">
        <v>85461.553</v>
      </c>
      <c r="AK72" s="763">
        <v>91094.731</v>
      </c>
      <c r="AL72" s="763">
        <v>105922.338</v>
      </c>
      <c r="AM72" s="763">
        <v>120398.75600000001</v>
      </c>
      <c r="AN72" s="763">
        <v>138338.24100000001</v>
      </c>
      <c r="AO72" s="763">
        <v>133903.51999999999</v>
      </c>
      <c r="AP72" s="763">
        <v>147131.36600000001</v>
      </c>
      <c r="AQ72" s="763">
        <v>207272.989</v>
      </c>
    </row>
    <row r="73" spans="2:43" ht="5.0999999999999996" customHeight="1" outlineLevel="1">
      <c r="B73" s="276"/>
      <c r="E73" s="167"/>
      <c r="F73" s="167"/>
      <c r="G73" s="167"/>
      <c r="H73" s="167"/>
      <c r="I73" s="167"/>
      <c r="J73" s="167"/>
      <c r="K73" s="167"/>
      <c r="L73" s="167"/>
      <c r="M73" s="167"/>
      <c r="N73" s="167"/>
      <c r="O73" s="197"/>
      <c r="P73" s="198"/>
      <c r="Q73" s="199"/>
      <c r="R73" s="198"/>
      <c r="S73" s="198"/>
      <c r="T73" s="198"/>
      <c r="U73" s="198"/>
      <c r="V73" s="198"/>
      <c r="W73" s="198"/>
      <c r="X73" s="285"/>
      <c r="Z73" s="285"/>
      <c r="AB73" s="761"/>
      <c r="AC73" s="762"/>
      <c r="AD73" s="761"/>
      <c r="AE73" s="762"/>
      <c r="AF73" s="763"/>
      <c r="AG73" s="763"/>
      <c r="AH73" s="763"/>
      <c r="AI73" s="763"/>
      <c r="AJ73" s="763"/>
      <c r="AK73" s="763"/>
      <c r="AL73" s="763"/>
      <c r="AM73" s="763"/>
      <c r="AN73" s="763"/>
      <c r="AO73" s="763"/>
      <c r="AP73" s="763"/>
      <c r="AQ73" s="763"/>
    </row>
    <row r="74" spans="2:43" outlineLevel="1">
      <c r="B74" s="292" t="s">
        <v>36</v>
      </c>
      <c r="C74" s="158" t="s">
        <v>37</v>
      </c>
      <c r="E74" s="167"/>
      <c r="F74" s="167"/>
      <c r="G74" s="167"/>
      <c r="H74" s="167"/>
      <c r="I74" s="167"/>
      <c r="J74" s="167"/>
      <c r="K74" s="167"/>
      <c r="L74" s="167"/>
      <c r="M74" s="167"/>
      <c r="N74" s="167"/>
      <c r="O74" s="197"/>
      <c r="P74" s="198"/>
      <c r="Q74" s="199"/>
      <c r="R74" s="198"/>
      <c r="S74" s="198"/>
      <c r="T74" s="198"/>
      <c r="U74" s="198"/>
      <c r="V74" s="198"/>
      <c r="W74" s="198"/>
      <c r="X74" s="285"/>
      <c r="Z74" s="285"/>
      <c r="AB74" s="761">
        <v>74560.706999999995</v>
      </c>
      <c r="AC74" s="762">
        <v>87115.489999999991</v>
      </c>
      <c r="AD74" s="761">
        <v>92605.425999999992</v>
      </c>
      <c r="AE74" s="762">
        <v>100090.59600000001</v>
      </c>
      <c r="AF74" s="763">
        <v>102383.713</v>
      </c>
      <c r="AG74" s="763">
        <v>131878.41800000001</v>
      </c>
      <c r="AH74" s="763">
        <v>156944.068</v>
      </c>
      <c r="AI74" s="763">
        <v>169225.62600000002</v>
      </c>
      <c r="AJ74" s="763">
        <v>203363.758</v>
      </c>
      <c r="AK74" s="763">
        <v>213257.462</v>
      </c>
      <c r="AL74" s="763">
        <v>250261.35400000002</v>
      </c>
      <c r="AM74" s="763">
        <v>277579.84699999995</v>
      </c>
      <c r="AN74" s="763">
        <v>324935.06300000002</v>
      </c>
      <c r="AO74" s="763">
        <v>351455.07199999999</v>
      </c>
      <c r="AP74" s="763">
        <v>373691.663</v>
      </c>
      <c r="AQ74" s="763">
        <v>500309.54200000002</v>
      </c>
    </row>
    <row r="75" spans="2:43" ht="5.0999999999999996" customHeight="1" outlineLevel="1">
      <c r="B75" s="276"/>
      <c r="E75" s="167"/>
      <c r="F75" s="167"/>
      <c r="G75" s="167"/>
      <c r="H75" s="167"/>
      <c r="I75" s="167"/>
      <c r="J75" s="167"/>
      <c r="K75" s="167"/>
      <c r="L75" s="167"/>
      <c r="M75" s="167"/>
      <c r="N75" s="167"/>
      <c r="O75" s="197"/>
      <c r="P75" s="198"/>
      <c r="Q75" s="199"/>
      <c r="R75" s="198"/>
      <c r="S75" s="198"/>
      <c r="T75" s="198"/>
      <c r="U75" s="198"/>
      <c r="V75" s="198"/>
      <c r="W75" s="198"/>
      <c r="X75" s="285"/>
      <c r="Z75" s="285"/>
      <c r="AB75" s="761"/>
      <c r="AC75" s="762"/>
      <c r="AD75" s="761"/>
      <c r="AE75" s="762"/>
      <c r="AF75" s="763"/>
      <c r="AG75" s="763"/>
      <c r="AH75" s="763"/>
      <c r="AI75" s="763"/>
      <c r="AJ75" s="763"/>
      <c r="AK75" s="763"/>
      <c r="AL75" s="763"/>
      <c r="AM75" s="763"/>
      <c r="AN75" s="763"/>
      <c r="AO75" s="763"/>
      <c r="AP75" s="763"/>
      <c r="AQ75" s="763"/>
    </row>
    <row r="76" spans="2:43" outlineLevel="1">
      <c r="B76" s="292" t="s">
        <v>38</v>
      </c>
      <c r="C76" s="158" t="s">
        <v>39</v>
      </c>
      <c r="E76" s="167"/>
      <c r="F76" s="167"/>
      <c r="G76" s="167"/>
      <c r="H76" s="167"/>
      <c r="I76" s="167"/>
      <c r="J76" s="167"/>
      <c r="K76" s="167"/>
      <c r="L76" s="167"/>
      <c r="M76" s="167"/>
      <c r="N76" s="167"/>
      <c r="O76" s="197"/>
      <c r="P76" s="198"/>
      <c r="Q76" s="199"/>
      <c r="R76" s="198"/>
      <c r="S76" s="198"/>
      <c r="T76" s="198"/>
      <c r="U76" s="198"/>
      <c r="V76" s="198"/>
      <c r="W76" s="198"/>
      <c r="X76" s="285"/>
      <c r="Z76" s="285"/>
      <c r="AB76" s="761">
        <v>77604.990999999995</v>
      </c>
      <c r="AC76" s="762">
        <v>90577.437000000005</v>
      </c>
      <c r="AD76" s="761">
        <v>96766.413</v>
      </c>
      <c r="AE76" s="762">
        <v>104677.84699999999</v>
      </c>
      <c r="AF76" s="763">
        <v>107127.88799999999</v>
      </c>
      <c r="AG76" s="763">
        <v>137252.06299999999</v>
      </c>
      <c r="AH76" s="763">
        <v>163346.64599999998</v>
      </c>
      <c r="AI76" s="763">
        <v>176305.092</v>
      </c>
      <c r="AJ76" s="763">
        <v>211257.478</v>
      </c>
      <c r="AK76" s="763">
        <v>221642.027</v>
      </c>
      <c r="AL76" s="763">
        <v>259964.10400000002</v>
      </c>
      <c r="AM76" s="763">
        <v>287947.86499999999</v>
      </c>
      <c r="AN76" s="763">
        <v>336256.32199999999</v>
      </c>
      <c r="AO76" s="763">
        <v>364982.05599999998</v>
      </c>
      <c r="AP76" s="763">
        <v>389092.13199999998</v>
      </c>
      <c r="AQ76" s="763">
        <v>517226.22700000001</v>
      </c>
    </row>
    <row r="77" spans="2:43" outlineLevel="1">
      <c r="B77" s="292"/>
      <c r="E77" s="167"/>
      <c r="F77" s="167"/>
      <c r="G77" s="167"/>
      <c r="H77" s="167"/>
      <c r="I77" s="167"/>
      <c r="J77" s="167"/>
      <c r="K77" s="167"/>
      <c r="L77" s="167"/>
      <c r="M77" s="167"/>
      <c r="N77" s="167"/>
      <c r="O77" s="197"/>
      <c r="P77" s="198"/>
      <c r="Q77" s="199"/>
      <c r="R77" s="198"/>
      <c r="S77" s="198"/>
      <c r="T77" s="198"/>
      <c r="U77" s="198"/>
      <c r="V77" s="198"/>
      <c r="W77" s="198"/>
      <c r="X77" s="285"/>
      <c r="Z77" s="285"/>
      <c r="AB77" s="761"/>
      <c r="AC77" s="762"/>
      <c r="AD77" s="761"/>
      <c r="AE77" s="762"/>
      <c r="AF77" s="763"/>
      <c r="AG77" s="763"/>
      <c r="AH77" s="763"/>
      <c r="AI77" s="763"/>
      <c r="AJ77" s="763"/>
      <c r="AK77" s="763"/>
      <c r="AL77" s="763"/>
      <c r="AM77" s="763"/>
      <c r="AN77" s="763"/>
      <c r="AO77" s="763"/>
      <c r="AP77" s="763"/>
      <c r="AQ77" s="763"/>
    </row>
    <row r="78" spans="2:43" outlineLevel="1">
      <c r="B78" s="158" t="s">
        <v>40</v>
      </c>
      <c r="E78" s="167"/>
      <c r="F78" s="167"/>
      <c r="G78" s="167"/>
      <c r="H78" s="167"/>
      <c r="I78" s="167"/>
      <c r="J78" s="167"/>
      <c r="K78" s="167"/>
      <c r="L78" s="167"/>
      <c r="M78" s="167"/>
      <c r="N78" s="167"/>
      <c r="O78" s="197"/>
      <c r="P78" s="198"/>
      <c r="Q78" s="199"/>
      <c r="R78" s="198"/>
      <c r="S78" s="198"/>
      <c r="T78" s="198"/>
      <c r="U78" s="198"/>
      <c r="V78" s="198"/>
      <c r="W78" s="198"/>
      <c r="X78" s="285"/>
      <c r="Z78" s="285"/>
      <c r="AB78" s="761"/>
      <c r="AC78" s="762"/>
      <c r="AD78" s="761"/>
      <c r="AE78" s="762"/>
      <c r="AF78" s="763"/>
      <c r="AG78" s="763"/>
      <c r="AH78" s="763"/>
      <c r="AI78" s="763"/>
      <c r="AJ78" s="763"/>
      <c r="AK78" s="763"/>
      <c r="AL78" s="763"/>
      <c r="AM78" s="763"/>
      <c r="AN78" s="763"/>
      <c r="AO78" s="763"/>
      <c r="AP78" s="763"/>
      <c r="AQ78" s="763"/>
    </row>
    <row r="79" spans="2:43" ht="6" customHeight="1" outlineLevel="1">
      <c r="B79" s="276"/>
      <c r="E79" s="167"/>
      <c r="F79" s="167"/>
      <c r="G79" s="167"/>
      <c r="H79" s="167"/>
      <c r="I79" s="167"/>
      <c r="J79" s="167"/>
      <c r="K79" s="167"/>
      <c r="L79" s="167"/>
      <c r="M79" s="167"/>
      <c r="N79" s="167"/>
      <c r="O79" s="197"/>
      <c r="P79" s="198"/>
      <c r="Q79" s="199"/>
      <c r="R79" s="198"/>
      <c r="S79" s="198"/>
      <c r="T79" s="198"/>
      <c r="U79" s="198"/>
      <c r="V79" s="198"/>
      <c r="W79" s="198"/>
      <c r="X79" s="285"/>
      <c r="Z79" s="285"/>
      <c r="AB79" s="761"/>
      <c r="AC79" s="762"/>
      <c r="AD79" s="761"/>
      <c r="AE79" s="762"/>
      <c r="AF79" s="763"/>
      <c r="AG79" s="763"/>
      <c r="AH79" s="763"/>
      <c r="AI79" s="763"/>
      <c r="AJ79" s="763"/>
      <c r="AK79" s="763"/>
      <c r="AL79" s="763"/>
      <c r="AM79" s="763"/>
      <c r="AN79" s="763"/>
      <c r="AO79" s="763"/>
      <c r="AP79" s="763"/>
      <c r="AQ79" s="763"/>
    </row>
    <row r="80" spans="2:43" outlineLevel="1">
      <c r="B80" s="293" t="s">
        <v>41</v>
      </c>
      <c r="C80" s="294" t="s">
        <v>42</v>
      </c>
      <c r="D80" s="294"/>
      <c r="E80" s="167"/>
      <c r="F80" s="167"/>
      <c r="G80" s="167"/>
      <c r="H80" s="167"/>
      <c r="I80" s="167"/>
      <c r="J80" s="167"/>
      <c r="K80" s="167"/>
      <c r="L80" s="167"/>
      <c r="M80" s="167"/>
      <c r="N80" s="167"/>
      <c r="O80" s="197"/>
      <c r="P80" s="198"/>
      <c r="Q80" s="199"/>
      <c r="R80" s="198"/>
      <c r="S80" s="198"/>
      <c r="T80" s="198"/>
      <c r="U80" s="198"/>
      <c r="V80" s="198"/>
      <c r="W80" s="198"/>
      <c r="X80" s="295"/>
      <c r="Y80" s="287"/>
      <c r="Z80" s="295"/>
      <c r="AA80" s="287"/>
      <c r="AB80" s="765">
        <f t="shared" ref="AB80:AN80" si="7">AB69/AB67</f>
        <v>0.14495862253113265</v>
      </c>
      <c r="AC80" s="766">
        <f t="shared" si="7"/>
        <v>0.13179360903733936</v>
      </c>
      <c r="AD80" s="765">
        <f t="shared" si="7"/>
        <v>0.13570524313155682</v>
      </c>
      <c r="AE80" s="766">
        <f t="shared" si="7"/>
        <v>0.11833021855814187</v>
      </c>
      <c r="AF80" s="767">
        <f t="shared" si="7"/>
        <v>0.13059339463657987</v>
      </c>
      <c r="AG80" s="767">
        <f t="shared" si="7"/>
        <v>0.14802431352633602</v>
      </c>
      <c r="AH80" s="767">
        <f t="shared" si="7"/>
        <v>0.14857546542799069</v>
      </c>
      <c r="AI80" s="767">
        <f t="shared" si="7"/>
        <v>0.14287061254497996</v>
      </c>
      <c r="AJ80" s="767">
        <f t="shared" si="7"/>
        <v>0.1514201449638696</v>
      </c>
      <c r="AK80" s="767">
        <f t="shared" si="7"/>
        <v>0.14189567675521267</v>
      </c>
      <c r="AL80" s="767">
        <f t="shared" si="7"/>
        <v>0.14616551535482156</v>
      </c>
      <c r="AM80" s="767">
        <f t="shared" si="7"/>
        <v>0.14516925899885436</v>
      </c>
      <c r="AN80" s="767">
        <f t="shared" si="7"/>
        <v>0.14341757831036456</v>
      </c>
      <c r="AO80" s="767">
        <f>AO69/AO67</f>
        <v>0.13220873868130761</v>
      </c>
      <c r="AP80" s="767">
        <f t="shared" ref="AP80:AQ80" si="8">AP69/AP67</f>
        <v>0.119220766300384</v>
      </c>
      <c r="AQ80" s="767">
        <f t="shared" si="8"/>
        <v>0.13711598378436182</v>
      </c>
    </row>
    <row r="81" spans="2:43" ht="5.0999999999999996" customHeight="1" outlineLevel="1">
      <c r="B81" s="276"/>
      <c r="E81" s="167"/>
      <c r="F81" s="167"/>
      <c r="G81" s="167"/>
      <c r="H81" s="167"/>
      <c r="I81" s="167"/>
      <c r="J81" s="167"/>
      <c r="K81" s="167"/>
      <c r="L81" s="167"/>
      <c r="M81" s="167"/>
      <c r="N81" s="167"/>
      <c r="O81" s="197"/>
      <c r="P81" s="198"/>
      <c r="Q81" s="199"/>
      <c r="R81" s="198"/>
      <c r="S81" s="198"/>
      <c r="T81" s="198"/>
      <c r="U81" s="198"/>
      <c r="V81" s="198"/>
      <c r="W81" s="198"/>
      <c r="X81" s="285"/>
      <c r="Z81" s="285"/>
      <c r="AB81" s="761"/>
      <c r="AC81" s="762"/>
      <c r="AD81" s="761"/>
      <c r="AE81" s="762"/>
      <c r="AF81" s="763"/>
      <c r="AG81" s="763"/>
      <c r="AH81" s="763"/>
      <c r="AI81" s="763"/>
      <c r="AJ81" s="763"/>
      <c r="AK81" s="763"/>
      <c r="AL81" s="763"/>
      <c r="AM81" s="763"/>
      <c r="AN81" s="763"/>
      <c r="AO81" s="763"/>
      <c r="AP81" s="763"/>
      <c r="AQ81" s="763"/>
    </row>
    <row r="82" spans="2:43" outlineLevel="1">
      <c r="B82" s="292" t="s">
        <v>43</v>
      </c>
      <c r="C82" s="158" t="s">
        <v>44</v>
      </c>
      <c r="E82" s="167"/>
      <c r="F82" s="167"/>
      <c r="G82" s="167"/>
      <c r="H82" s="167"/>
      <c r="I82" s="167"/>
      <c r="J82" s="167"/>
      <c r="K82" s="167"/>
      <c r="L82" s="167"/>
      <c r="M82" s="167"/>
      <c r="N82" s="167"/>
      <c r="O82" s="197"/>
      <c r="P82" s="198"/>
      <c r="Q82" s="199"/>
      <c r="R82" s="198"/>
      <c r="S82" s="198"/>
      <c r="T82" s="198"/>
      <c r="U82" s="198"/>
      <c r="V82" s="198"/>
      <c r="W82" s="198"/>
      <c r="X82" s="296"/>
      <c r="Z82" s="296"/>
      <c r="AB82" s="768">
        <f t="shared" ref="AB82:AN82" si="9">AB76/AB67</f>
        <v>0.16620387981430312</v>
      </c>
      <c r="AC82" s="762">
        <f t="shared" si="9"/>
        <v>0.1525309677990421</v>
      </c>
      <c r="AD82" s="768">
        <f t="shared" si="9"/>
        <v>0.15937357183228573</v>
      </c>
      <c r="AE82" s="762">
        <f t="shared" si="9"/>
        <v>0.13978945813648488</v>
      </c>
      <c r="AF82" s="769">
        <f t="shared" si="9"/>
        <v>0.15440577569526998</v>
      </c>
      <c r="AG82" s="769">
        <f t="shared" si="9"/>
        <v>0.16956195289673845</v>
      </c>
      <c r="AH82" s="769">
        <f t="shared" si="9"/>
        <v>0.16991671962487159</v>
      </c>
      <c r="AI82" s="769">
        <f t="shared" si="9"/>
        <v>0.16433451177722205</v>
      </c>
      <c r="AJ82" s="769">
        <f t="shared" si="9"/>
        <v>0.17181178457451995</v>
      </c>
      <c r="AK82" s="769">
        <f t="shared" si="9"/>
        <v>0.16242568773964403</v>
      </c>
      <c r="AL82" s="769">
        <f t="shared" si="9"/>
        <v>0.16739656215156384</v>
      </c>
      <c r="AM82" s="769">
        <f t="shared" si="9"/>
        <v>0.1663919168748845</v>
      </c>
      <c r="AN82" s="769">
        <f t="shared" si="9"/>
        <v>0.16402094275239082</v>
      </c>
      <c r="AO82" s="769">
        <f>AO76/AO67</f>
        <v>0.1544025597767911</v>
      </c>
      <c r="AP82" s="769">
        <f t="shared" ref="AP82:AQ82" si="10">AP76/AP67</f>
        <v>0.14148668746401336</v>
      </c>
      <c r="AQ82" s="769">
        <f t="shared" si="10"/>
        <v>0.1619232850447295</v>
      </c>
    </row>
    <row r="83" spans="2:43" ht="5.0999999999999996" customHeight="1" outlineLevel="1">
      <c r="B83" s="276"/>
      <c r="E83" s="167"/>
      <c r="F83" s="167"/>
      <c r="G83" s="167"/>
      <c r="H83" s="167"/>
      <c r="I83" s="167"/>
      <c r="J83" s="167"/>
      <c r="K83" s="167"/>
      <c r="L83" s="167"/>
      <c r="M83" s="167"/>
      <c r="N83" s="167"/>
      <c r="O83" s="197"/>
      <c r="P83" s="198"/>
      <c r="Q83" s="199"/>
      <c r="R83" s="198"/>
      <c r="S83" s="198"/>
      <c r="T83" s="198"/>
      <c r="U83" s="198"/>
      <c r="V83" s="198"/>
      <c r="W83" s="198"/>
      <c r="X83" s="285"/>
      <c r="Z83" s="285"/>
      <c r="AB83" s="761"/>
      <c r="AC83" s="762"/>
      <c r="AD83" s="761"/>
      <c r="AE83" s="762"/>
      <c r="AF83" s="763"/>
      <c r="AG83" s="763"/>
      <c r="AH83" s="763"/>
      <c r="AI83" s="763"/>
      <c r="AJ83" s="763"/>
      <c r="AK83" s="763"/>
      <c r="AL83" s="763"/>
      <c r="AM83" s="763"/>
      <c r="AN83" s="763"/>
      <c r="AO83" s="763"/>
      <c r="AP83" s="763"/>
      <c r="AQ83" s="763"/>
    </row>
    <row r="84" spans="2:43" outlineLevel="1">
      <c r="B84" s="292" t="s">
        <v>45</v>
      </c>
      <c r="C84" s="158" t="s">
        <v>46</v>
      </c>
      <c r="E84" s="167"/>
      <c r="F84" s="167"/>
      <c r="G84" s="167"/>
      <c r="H84" s="167"/>
      <c r="I84" s="167"/>
      <c r="J84" s="167"/>
      <c r="K84" s="167"/>
      <c r="L84" s="167"/>
      <c r="M84" s="167"/>
      <c r="N84" s="167"/>
      <c r="O84" s="197"/>
      <c r="P84" s="198"/>
      <c r="Q84" s="199"/>
      <c r="R84" s="198"/>
      <c r="S84" s="198"/>
      <c r="T84" s="198"/>
      <c r="U84" s="198"/>
      <c r="V84" s="198"/>
      <c r="W84" s="198"/>
      <c r="X84" s="296"/>
      <c r="Z84" s="296"/>
      <c r="AB84" s="768">
        <f t="shared" ref="AB84:AN84" si="11">AB76/AB65</f>
        <v>0.17993421281668681</v>
      </c>
      <c r="AC84" s="762">
        <f t="shared" si="11"/>
        <v>0.18443138985649557</v>
      </c>
      <c r="AD84" s="768">
        <f t="shared" si="11"/>
        <v>0.17558832116009518</v>
      </c>
      <c r="AE84" s="762">
        <f t="shared" si="11"/>
        <v>0.17090614098835832</v>
      </c>
      <c r="AF84" s="769">
        <f t="shared" si="11"/>
        <v>0.17288497397665123</v>
      </c>
      <c r="AG84" s="769">
        <f t="shared" si="11"/>
        <v>0.18753307543553027</v>
      </c>
      <c r="AH84" s="769">
        <f t="shared" si="11"/>
        <v>0.18539503134723212</v>
      </c>
      <c r="AI84" s="769">
        <f t="shared" si="11"/>
        <v>0.1800694630319771</v>
      </c>
      <c r="AJ84" s="769">
        <f t="shared" si="11"/>
        <v>0.18899000202327099</v>
      </c>
      <c r="AK84" s="769">
        <f t="shared" si="11"/>
        <v>0.17867208835781173</v>
      </c>
      <c r="AL84" s="769">
        <f t="shared" si="11"/>
        <v>0.18423151327587817</v>
      </c>
      <c r="AM84" s="769">
        <f t="shared" si="11"/>
        <v>0.18453514226340961</v>
      </c>
      <c r="AN84" s="769">
        <f t="shared" si="11"/>
        <v>0.18308351655633268</v>
      </c>
      <c r="AO84" s="769">
        <f>AO76/AO65</f>
        <v>0.17281840969250223</v>
      </c>
      <c r="AP84" s="769">
        <f t="shared" ref="AP84:AQ84" si="12">AP76/AP65</f>
        <v>0.15841723315211767</v>
      </c>
      <c r="AQ84" s="769">
        <f t="shared" si="12"/>
        <v>0.18059769801245573</v>
      </c>
    </row>
    <row r="85" spans="2:43" ht="5.0999999999999996" customHeight="1" outlineLevel="1">
      <c r="B85" s="226"/>
      <c r="C85" s="226"/>
      <c r="D85" s="226"/>
      <c r="E85" s="562"/>
      <c r="F85" s="562"/>
      <c r="G85" s="562"/>
      <c r="H85" s="562"/>
      <c r="I85" s="562"/>
      <c r="J85" s="562"/>
      <c r="K85" s="562"/>
      <c r="L85" s="562"/>
      <c r="M85" s="562"/>
      <c r="N85" s="562"/>
      <c r="O85" s="561"/>
      <c r="P85" s="194"/>
      <c r="Q85" s="194"/>
      <c r="R85" s="194"/>
      <c r="S85" s="194"/>
      <c r="T85" s="194"/>
      <c r="U85" s="194"/>
      <c r="V85" s="194"/>
      <c r="W85" s="194"/>
      <c r="X85" s="563"/>
      <c r="Y85" s="563"/>
      <c r="Z85" s="563"/>
      <c r="AA85" s="563"/>
      <c r="AB85" s="770"/>
      <c r="AC85" s="770"/>
      <c r="AD85" s="770"/>
      <c r="AE85" s="770"/>
      <c r="AF85" s="771"/>
      <c r="AG85" s="771"/>
      <c r="AH85" s="771"/>
      <c r="AI85" s="771"/>
      <c r="AJ85" s="771"/>
      <c r="AK85" s="771"/>
      <c r="AL85" s="771"/>
      <c r="AM85" s="771"/>
      <c r="AN85" s="771"/>
      <c r="AO85" s="771"/>
      <c r="AP85" s="771"/>
      <c r="AQ85" s="771"/>
    </row>
    <row r="86" spans="2:43" ht="6" customHeight="1" outlineLevel="1">
      <c r="E86" s="167"/>
      <c r="F86" s="167"/>
      <c r="G86" s="167"/>
      <c r="H86" s="167"/>
      <c r="I86" s="167"/>
      <c r="J86" s="167"/>
      <c r="K86" s="167"/>
      <c r="L86" s="167"/>
      <c r="M86" s="167"/>
      <c r="N86" s="167"/>
      <c r="O86" s="197"/>
      <c r="P86" s="198"/>
      <c r="Q86" s="199"/>
      <c r="R86" s="198"/>
      <c r="S86" s="198"/>
      <c r="T86" s="198"/>
      <c r="U86" s="198"/>
      <c r="V86" s="198"/>
      <c r="W86" s="198"/>
      <c r="AH86" s="746"/>
      <c r="AI86" s="746"/>
      <c r="AJ86" s="746"/>
      <c r="AK86" s="746"/>
      <c r="AL86" s="746"/>
    </row>
    <row r="87" spans="2:43" ht="30" customHeight="1" outlineLevel="1">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H87" s="746"/>
    </row>
    <row r="88" spans="2:43" ht="19.5" customHeight="1">
      <c r="X88" s="278"/>
      <c r="Z88" s="278"/>
      <c r="AD88" s="278"/>
      <c r="AF88" s="746"/>
      <c r="AH88" s="746"/>
    </row>
    <row r="89" spans="2:43">
      <c r="X89" s="278"/>
      <c r="Z89" s="278"/>
      <c r="AD89" s="278"/>
      <c r="AF89" s="746"/>
      <c r="AH89" s="746"/>
    </row>
    <row r="90" spans="2:43">
      <c r="B90" s="286" t="s">
        <v>1261</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748"/>
      <c r="AH90" s="746"/>
    </row>
    <row r="91" spans="2:43">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751"/>
      <c r="AH91" s="746"/>
    </row>
    <row r="92" spans="2:43">
      <c r="B92" s="209"/>
      <c r="C92" s="209"/>
      <c r="D92" s="209"/>
      <c r="E92" s="209"/>
      <c r="F92" s="209"/>
      <c r="G92" s="209"/>
      <c r="H92" s="209"/>
      <c r="I92" s="209"/>
      <c r="J92" s="209"/>
      <c r="K92" s="209"/>
      <c r="L92" s="209"/>
      <c r="M92" s="209"/>
      <c r="N92" s="209"/>
      <c r="O92" s="210"/>
      <c r="P92" s="198"/>
      <c r="Q92" s="198"/>
      <c r="R92" s="198"/>
      <c r="S92" s="198"/>
      <c r="T92" s="198"/>
      <c r="U92" s="198"/>
      <c r="V92" s="198"/>
      <c r="W92" s="198"/>
      <c r="X92" s="211"/>
      <c r="Y92" s="196"/>
      <c r="Z92" s="211"/>
      <c r="AA92" s="196"/>
      <c r="AB92" s="211">
        <v>2005</v>
      </c>
      <c r="AC92" s="196"/>
      <c r="AD92" s="211">
        <v>2007</v>
      </c>
      <c r="AE92" s="196"/>
      <c r="AF92" s="752">
        <v>2009</v>
      </c>
      <c r="AG92" s="745">
        <v>2010</v>
      </c>
      <c r="AH92" s="745">
        <v>2011</v>
      </c>
      <c r="AI92" s="745">
        <v>2012</v>
      </c>
      <c r="AJ92" s="745">
        <v>2013</v>
      </c>
      <c r="AK92" s="745">
        <v>2014</v>
      </c>
      <c r="AL92" s="745">
        <v>2015</v>
      </c>
      <c r="AM92" s="745">
        <v>2016</v>
      </c>
      <c r="AN92" s="745">
        <v>2017</v>
      </c>
      <c r="AO92" s="772">
        <v>2018</v>
      </c>
      <c r="AP92" s="772">
        <v>2019</v>
      </c>
      <c r="AQ92" s="772">
        <v>2020</v>
      </c>
    </row>
    <row r="93" spans="2:43">
      <c r="R93" s="282"/>
      <c r="S93" s="282"/>
      <c r="T93" s="282"/>
      <c r="U93" s="282"/>
      <c r="V93" s="282"/>
      <c r="W93" s="282"/>
      <c r="X93" s="278"/>
      <c r="Y93" s="278"/>
      <c r="Z93" s="278"/>
      <c r="AA93" s="278"/>
      <c r="AB93" s="278"/>
      <c r="AC93" s="278"/>
      <c r="AD93" s="278"/>
      <c r="AE93" s="278"/>
      <c r="AF93" s="746"/>
      <c r="AH93" s="746"/>
      <c r="AO93" s="764"/>
      <c r="AP93" s="764"/>
      <c r="AQ93" s="764"/>
    </row>
    <row r="94" spans="2:43">
      <c r="B94" s="217" t="s">
        <v>815</v>
      </c>
      <c r="X94" s="297"/>
      <c r="Y94" s="297"/>
      <c r="Z94" s="297"/>
      <c r="AA94" s="297"/>
      <c r="AB94" s="297"/>
      <c r="AC94" s="297"/>
      <c r="AD94" s="297"/>
      <c r="AE94" s="297"/>
      <c r="AF94" s="753"/>
      <c r="AG94" s="753"/>
      <c r="AH94" s="753"/>
      <c r="AI94" s="753"/>
      <c r="AJ94" s="753"/>
      <c r="AK94" s="753"/>
      <c r="AL94" s="780">
        <v>17653.257761279998</v>
      </c>
      <c r="AM94" s="780">
        <v>24516.976755389998</v>
      </c>
      <c r="AN94" s="780">
        <v>28778.620240350006</v>
      </c>
      <c r="AO94" s="781">
        <v>33374.054105569994</v>
      </c>
      <c r="AP94" s="782">
        <f>+AP96+AP99</f>
        <v>40694.399999999994</v>
      </c>
      <c r="AQ94" s="781">
        <f>+AQ96+AQ99</f>
        <v>40927.199999999997</v>
      </c>
    </row>
    <row r="95" spans="2:43" s="227" customFormat="1" ht="10.5" customHeight="1">
      <c r="C95" s="298"/>
      <c r="X95" s="299"/>
      <c r="Y95" s="299"/>
      <c r="Z95" s="299"/>
      <c r="AA95" s="299"/>
      <c r="AB95" s="299"/>
      <c r="AC95" s="299"/>
      <c r="AD95" s="299"/>
      <c r="AE95" s="299"/>
      <c r="AF95" s="754"/>
      <c r="AG95" s="754"/>
      <c r="AH95" s="754"/>
      <c r="AI95" s="754"/>
      <c r="AJ95" s="754"/>
      <c r="AK95" s="754"/>
      <c r="AL95" s="783"/>
      <c r="AM95" s="783"/>
      <c r="AN95" s="783"/>
      <c r="AO95" s="784"/>
      <c r="AP95" s="785"/>
      <c r="AQ95" s="786"/>
    </row>
    <row r="96" spans="2:43" s="227" customFormat="1">
      <c r="B96" s="300" t="s">
        <v>50</v>
      </c>
      <c r="C96" s="298"/>
      <c r="X96" s="299"/>
      <c r="Y96" s="299"/>
      <c r="Z96" s="299"/>
      <c r="AA96" s="299"/>
      <c r="AB96" s="299"/>
      <c r="AC96" s="299"/>
      <c r="AD96" s="299"/>
      <c r="AE96" s="299"/>
      <c r="AF96" s="754"/>
      <c r="AG96" s="754"/>
      <c r="AH96" s="754"/>
      <c r="AI96" s="754"/>
      <c r="AJ96" s="743"/>
      <c r="AL96" s="787">
        <v>24.641999999999999</v>
      </c>
      <c r="AM96" s="787">
        <v>207.30199999999999</v>
      </c>
      <c r="AN96" s="787">
        <v>279.2</v>
      </c>
      <c r="AO96" s="788">
        <v>245.17400000000001</v>
      </c>
      <c r="AP96" s="789">
        <f>+AP97</f>
        <v>124.2</v>
      </c>
      <c r="AQ96" s="790">
        <f>+AQ97</f>
        <v>122.5</v>
      </c>
    </row>
    <row r="97" spans="1:44" s="227" customFormat="1">
      <c r="A97" s="227" t="s">
        <v>1262</v>
      </c>
      <c r="B97" s="227" t="s">
        <v>1263</v>
      </c>
      <c r="C97" s="298"/>
      <c r="X97" s="299"/>
      <c r="Y97" s="299"/>
      <c r="Z97" s="299"/>
      <c r="AA97" s="299"/>
      <c r="AB97" s="299"/>
      <c r="AC97" s="299"/>
      <c r="AD97" s="299"/>
      <c r="AE97" s="299"/>
      <c r="AF97" s="754"/>
      <c r="AG97" s="754"/>
      <c r="AH97" s="754"/>
      <c r="AI97" s="754"/>
      <c r="AJ97" s="743"/>
      <c r="AL97" s="783">
        <v>24.641999999999999</v>
      </c>
      <c r="AM97" s="783">
        <v>207.30199999999999</v>
      </c>
      <c r="AN97" s="783">
        <v>279.2</v>
      </c>
      <c r="AO97" s="784">
        <v>245.17400000000001</v>
      </c>
      <c r="AP97" s="785">
        <v>124.2</v>
      </c>
      <c r="AQ97" s="786">
        <v>122.5</v>
      </c>
    </row>
    <row r="98" spans="1:44" s="227" customFormat="1">
      <c r="B98" s="300"/>
      <c r="C98" s="298"/>
      <c r="X98" s="299"/>
      <c r="Y98" s="299"/>
      <c r="Z98" s="299"/>
      <c r="AA98" s="299"/>
      <c r="AB98" s="299"/>
      <c r="AC98" s="299"/>
      <c r="AD98" s="299"/>
      <c r="AE98" s="299"/>
      <c r="AF98" s="754"/>
      <c r="AG98" s="754"/>
      <c r="AH98" s="754"/>
      <c r="AI98" s="754"/>
      <c r="AJ98" s="743"/>
      <c r="AL98" s="783"/>
      <c r="AM98" s="783"/>
      <c r="AN98" s="783"/>
      <c r="AO98" s="784"/>
      <c r="AP98" s="785"/>
      <c r="AQ98" s="786"/>
    </row>
    <row r="99" spans="1:44">
      <c r="B99" s="294" t="s">
        <v>56</v>
      </c>
      <c r="X99" s="278"/>
      <c r="Y99" s="278"/>
      <c r="Z99" s="278"/>
      <c r="AA99" s="278"/>
      <c r="AB99" s="278"/>
      <c r="AC99" s="278"/>
      <c r="AD99" s="278"/>
      <c r="AE99" s="278"/>
      <c r="AF99" s="746"/>
      <c r="AG99" s="746"/>
      <c r="AH99" s="746"/>
      <c r="AI99" s="746"/>
      <c r="AL99" s="791">
        <v>17628.615761279998</v>
      </c>
      <c r="AM99" s="791">
        <v>24309.674755389999</v>
      </c>
      <c r="AN99" s="791">
        <v>28499.420240350006</v>
      </c>
      <c r="AO99" s="792">
        <v>33128.880105569995</v>
      </c>
      <c r="AP99" s="793">
        <f>+AP100+AP101+AP102+AP103</f>
        <v>40570.199999999997</v>
      </c>
      <c r="AQ99" s="794">
        <f>+AQ100+AQ101+AQ102+AQ103</f>
        <v>40804.699999999997</v>
      </c>
    </row>
    <row r="100" spans="1:44" ht="12.75" customHeight="1">
      <c r="B100" s="2058" t="s">
        <v>1264</v>
      </c>
      <c r="C100" s="2058"/>
      <c r="X100" s="278"/>
      <c r="Y100" s="278"/>
      <c r="Z100" s="278"/>
      <c r="AA100" s="278"/>
      <c r="AB100" s="278"/>
      <c r="AC100" s="278"/>
      <c r="AD100" s="278"/>
      <c r="AE100" s="278"/>
      <c r="AF100" s="746"/>
      <c r="AG100" s="746"/>
      <c r="AH100" s="746"/>
      <c r="AI100" s="746"/>
      <c r="AL100" s="795">
        <v>15.393000000000001</v>
      </c>
      <c r="AM100" s="795">
        <v>16.655999999999999</v>
      </c>
      <c r="AN100" s="795">
        <v>32.299999999999997</v>
      </c>
      <c r="AO100" s="796">
        <v>37.799999999999997</v>
      </c>
      <c r="AP100" s="797">
        <v>44.4</v>
      </c>
      <c r="AQ100" s="798">
        <v>53.7</v>
      </c>
    </row>
    <row r="101" spans="1:44" ht="12.75" customHeight="1">
      <c r="B101" s="2063" t="s">
        <v>1265</v>
      </c>
      <c r="C101" s="2063"/>
      <c r="X101" s="278"/>
      <c r="Y101" s="278"/>
      <c r="Z101" s="278"/>
      <c r="AA101" s="278"/>
      <c r="AB101" s="278"/>
      <c r="AC101" s="278"/>
      <c r="AD101" s="278"/>
      <c r="AE101" s="278"/>
      <c r="AF101" s="746"/>
      <c r="AG101" s="746"/>
      <c r="AH101" s="746"/>
      <c r="AI101" s="746"/>
      <c r="AL101" s="795">
        <v>8.4420000000000002</v>
      </c>
      <c r="AM101" s="795">
        <v>36.979999999999997</v>
      </c>
      <c r="AN101" s="795">
        <v>213.34700000000001</v>
      </c>
      <c r="AO101" s="796">
        <v>271</v>
      </c>
      <c r="AP101" s="799">
        <v>158.30000000000001</v>
      </c>
      <c r="AQ101" s="796">
        <v>232.4</v>
      </c>
    </row>
    <row r="102" spans="1:44" ht="12.75" customHeight="1">
      <c r="B102" s="2063" t="s">
        <v>1266</v>
      </c>
      <c r="C102" s="2063"/>
      <c r="X102" s="278"/>
      <c r="Y102" s="278"/>
      <c r="Z102" s="278"/>
      <c r="AA102" s="278"/>
      <c r="AB102" s="278"/>
      <c r="AC102" s="278"/>
      <c r="AD102" s="278"/>
      <c r="AE102" s="278"/>
      <c r="AF102" s="746"/>
      <c r="AG102" s="746"/>
      <c r="AH102" s="746"/>
      <c r="AI102" s="746"/>
      <c r="AL102" s="795">
        <v>17256.440999999999</v>
      </c>
      <c r="AM102" s="795">
        <v>23864.05</v>
      </c>
      <c r="AN102" s="795">
        <v>27919.796000000002</v>
      </c>
      <c r="AO102" s="796">
        <v>32453.214</v>
      </c>
      <c r="AP102" s="799">
        <v>40095.5</v>
      </c>
      <c r="AQ102" s="796">
        <v>40146.6</v>
      </c>
    </row>
    <row r="103" spans="1:44" ht="12.75" customHeight="1">
      <c r="B103" s="2058" t="s">
        <v>1267</v>
      </c>
      <c r="C103" s="2058"/>
      <c r="X103" s="278"/>
      <c r="Y103" s="278"/>
      <c r="Z103" s="278"/>
      <c r="AA103" s="278"/>
      <c r="AB103" s="278"/>
      <c r="AC103" s="278"/>
      <c r="AD103" s="278"/>
      <c r="AE103" s="278"/>
      <c r="AF103" s="746"/>
      <c r="AG103" s="746"/>
      <c r="AH103" s="746"/>
      <c r="AI103" s="746"/>
      <c r="AL103" s="800">
        <v>241.84276127999999</v>
      </c>
      <c r="AM103" s="800">
        <v>268.31475539000002</v>
      </c>
      <c r="AN103" s="800">
        <v>332.98724034999998</v>
      </c>
      <c r="AO103" s="801">
        <v>366.20010557000001</v>
      </c>
      <c r="AP103" s="802">
        <v>272</v>
      </c>
      <c r="AQ103" s="801">
        <v>372</v>
      </c>
    </row>
    <row r="104" spans="1:44" ht="12.75" customHeight="1">
      <c r="B104" s="2058" t="s">
        <v>1268</v>
      </c>
      <c r="C104" s="2058"/>
      <c r="X104" s="278"/>
      <c r="Y104" s="278"/>
      <c r="Z104" s="278"/>
      <c r="AA104" s="278"/>
      <c r="AB104" s="278"/>
      <c r="AC104" s="278"/>
      <c r="AD104" s="278"/>
      <c r="AE104" s="278"/>
      <c r="AF104" s="746"/>
      <c r="AG104" s="746"/>
      <c r="AH104" s="746"/>
      <c r="AI104" s="746"/>
      <c r="AL104" s="800">
        <v>106.497</v>
      </c>
      <c r="AM104" s="800">
        <v>123.67400000000001</v>
      </c>
      <c r="AN104" s="800">
        <v>0.99</v>
      </c>
      <c r="AO104" s="801">
        <v>0.66600000000000004</v>
      </c>
      <c r="AP104" s="802"/>
      <c r="AQ104" s="801"/>
    </row>
    <row r="105" spans="1:44" ht="12.75" customHeight="1">
      <c r="B105" s="294"/>
      <c r="X105" s="278"/>
      <c r="Y105" s="278"/>
      <c r="Z105" s="278"/>
      <c r="AA105" s="278"/>
      <c r="AB105" s="278"/>
      <c r="AC105" s="278"/>
      <c r="AD105" s="278"/>
      <c r="AE105" s="278"/>
      <c r="AF105" s="746"/>
      <c r="AG105" s="746"/>
      <c r="AH105" s="746"/>
      <c r="AI105" s="746"/>
      <c r="AL105" s="747"/>
      <c r="AM105" s="747"/>
      <c r="AN105" s="747"/>
      <c r="AO105" s="763"/>
      <c r="AP105" s="797"/>
      <c r="AQ105" s="798"/>
    </row>
    <row r="106" spans="1:44">
      <c r="B106" s="304" t="s">
        <v>78</v>
      </c>
      <c r="C106" s="305"/>
      <c r="X106" s="297"/>
      <c r="Y106" s="297"/>
      <c r="Z106" s="297"/>
      <c r="AA106" s="297"/>
      <c r="AB106" s="297"/>
      <c r="AC106" s="297"/>
      <c r="AD106" s="297"/>
      <c r="AE106" s="297"/>
      <c r="AF106" s="753"/>
      <c r="AG106" s="753"/>
      <c r="AH106" s="753"/>
      <c r="AI106" s="753"/>
      <c r="AJ106" s="753"/>
      <c r="AK106" s="753"/>
      <c r="AL106" s="803">
        <v>39.315067390000003</v>
      </c>
      <c r="AM106" s="803">
        <v>46.804887570000005</v>
      </c>
      <c r="AN106" s="803">
        <v>29.623083769999994</v>
      </c>
      <c r="AO106" s="794">
        <v>37.004958940000002</v>
      </c>
      <c r="AP106" s="793">
        <f>+AP107+AP108+AP109+AP110+AP111+AP112</f>
        <v>75.2</v>
      </c>
      <c r="AQ106" s="794">
        <f>+AQ107+AQ108+AQ109+AQ110+AQ111+AQ112</f>
        <v>100.99999999999999</v>
      </c>
    </row>
    <row r="107" spans="1:44" ht="72.599999999999994" customHeight="1">
      <c r="B107" s="2059" t="s">
        <v>1269</v>
      </c>
      <c r="C107" s="2059"/>
      <c r="X107" s="303"/>
      <c r="Y107" s="303"/>
      <c r="Z107" s="303"/>
      <c r="AA107" s="303"/>
      <c r="AB107" s="303"/>
      <c r="AC107" s="303"/>
      <c r="AD107" s="303"/>
      <c r="AE107" s="303"/>
      <c r="AF107" s="756"/>
      <c r="AG107" s="756"/>
      <c r="AH107" s="756"/>
      <c r="AI107" s="756"/>
      <c r="AJ107" s="756"/>
      <c r="AK107" s="756"/>
      <c r="AL107" s="804">
        <v>5.1499758499999997</v>
      </c>
      <c r="AM107" s="805">
        <v>7.6533793599999997</v>
      </c>
      <c r="AN107" s="805">
        <v>5.68538517</v>
      </c>
      <c r="AO107" s="806">
        <v>8.8785323199999997</v>
      </c>
      <c r="AP107" s="807">
        <v>27.1</v>
      </c>
      <c r="AQ107" s="806">
        <v>26.2</v>
      </c>
      <c r="AR107" s="227"/>
    </row>
    <row r="108" spans="1:44" ht="111" customHeight="1">
      <c r="B108" s="2060" t="s">
        <v>1270</v>
      </c>
      <c r="C108" s="2060"/>
      <c r="X108" s="303"/>
      <c r="Y108" s="303"/>
      <c r="Z108" s="303"/>
      <c r="AA108" s="303"/>
      <c r="AB108" s="303"/>
      <c r="AC108" s="303"/>
      <c r="AD108" s="303"/>
      <c r="AE108" s="303"/>
      <c r="AF108" s="756"/>
      <c r="AG108" s="756"/>
      <c r="AH108" s="756"/>
      <c r="AI108" s="756"/>
      <c r="AJ108" s="756"/>
      <c r="AK108" s="756"/>
      <c r="AL108" s="800">
        <v>31.391451570000001</v>
      </c>
      <c r="AM108" s="808">
        <v>36.91882614</v>
      </c>
      <c r="AN108" s="808">
        <v>20.762544519999999</v>
      </c>
      <c r="AO108" s="809">
        <v>24.098869229999998</v>
      </c>
      <c r="AP108" s="810">
        <v>39.700000000000003</v>
      </c>
      <c r="AQ108" s="809">
        <v>50.9</v>
      </c>
      <c r="AR108" s="742"/>
    </row>
    <row r="109" spans="1:44" ht="44.45" customHeight="1">
      <c r="B109" s="2061" t="s">
        <v>1271</v>
      </c>
      <c r="C109" s="2061"/>
      <c r="X109" s="303"/>
      <c r="Y109" s="303"/>
      <c r="Z109" s="303"/>
      <c r="AA109" s="303"/>
      <c r="AB109" s="303"/>
      <c r="AC109" s="303"/>
      <c r="AD109" s="303"/>
      <c r="AE109" s="303"/>
      <c r="AF109" s="756"/>
      <c r="AG109" s="756"/>
      <c r="AH109" s="756"/>
      <c r="AI109" s="756"/>
      <c r="AJ109" s="756"/>
      <c r="AK109" s="756"/>
      <c r="AL109" s="795">
        <v>0.73484132000000002</v>
      </c>
      <c r="AM109" s="795">
        <v>1.0587517900000001</v>
      </c>
      <c r="AN109" s="795">
        <v>1.2572015700000001</v>
      </c>
      <c r="AO109" s="796">
        <v>2.0411274700000002</v>
      </c>
      <c r="AP109" s="799">
        <v>3.8</v>
      </c>
      <c r="AQ109" s="796">
        <v>4</v>
      </c>
      <c r="AR109" s="227"/>
    </row>
    <row r="110" spans="1:44" ht="28.5" customHeight="1">
      <c r="B110" s="2062" t="s">
        <v>1272</v>
      </c>
      <c r="C110" s="2062"/>
      <c r="X110" s="303"/>
      <c r="Y110" s="303"/>
      <c r="Z110" s="303"/>
      <c r="AA110" s="303"/>
      <c r="AB110" s="303"/>
      <c r="AC110" s="303"/>
      <c r="AD110" s="303"/>
      <c r="AE110" s="303"/>
      <c r="AF110" s="756"/>
      <c r="AG110" s="756"/>
      <c r="AH110" s="756"/>
      <c r="AI110" s="756"/>
      <c r="AJ110" s="756"/>
      <c r="AK110" s="756"/>
      <c r="AL110" s="800">
        <v>0.16849695000000001</v>
      </c>
      <c r="AM110" s="808">
        <v>0.45642958</v>
      </c>
      <c r="AN110" s="808">
        <v>7.9429230000000003E-2</v>
      </c>
      <c r="AO110" s="809">
        <v>0.118904</v>
      </c>
      <c r="AP110" s="810">
        <v>0.6</v>
      </c>
      <c r="AQ110" s="809">
        <v>14.1</v>
      </c>
      <c r="AR110" s="227"/>
    </row>
    <row r="111" spans="1:44" ht="26.25" customHeight="1">
      <c r="B111" s="2060" t="s">
        <v>1273</v>
      </c>
      <c r="C111" s="2060"/>
      <c r="X111" s="303"/>
      <c r="Y111" s="303"/>
      <c r="Z111" s="303"/>
      <c r="AA111" s="303"/>
      <c r="AB111" s="303"/>
      <c r="AC111" s="303"/>
      <c r="AD111" s="303"/>
      <c r="AE111" s="303"/>
      <c r="AF111" s="756"/>
      <c r="AG111" s="756"/>
      <c r="AH111" s="756"/>
      <c r="AI111" s="756"/>
      <c r="AJ111" s="756"/>
      <c r="AK111" s="756"/>
      <c r="AL111" s="795">
        <v>1.8626787</v>
      </c>
      <c r="AM111" s="795">
        <v>0.51569012000000003</v>
      </c>
      <c r="AN111" s="795">
        <v>1.5673947100000001</v>
      </c>
      <c r="AO111" s="796">
        <v>1.0078359800000001</v>
      </c>
      <c r="AP111" s="799">
        <v>3.9</v>
      </c>
      <c r="AQ111" s="796">
        <v>5.7</v>
      </c>
      <c r="AR111" s="227"/>
    </row>
    <row r="112" spans="1:44" ht="30.75" customHeight="1">
      <c r="B112" s="2062" t="s">
        <v>1274</v>
      </c>
      <c r="C112" s="2062"/>
      <c r="X112" s="303"/>
      <c r="Y112" s="303"/>
      <c r="Z112" s="303"/>
      <c r="AA112" s="303"/>
      <c r="AB112" s="303"/>
      <c r="AC112" s="303"/>
      <c r="AD112" s="303"/>
      <c r="AE112" s="303"/>
      <c r="AF112" s="756"/>
      <c r="AG112" s="756"/>
      <c r="AH112" s="756"/>
      <c r="AI112" s="756"/>
      <c r="AJ112" s="756"/>
      <c r="AK112" s="756"/>
      <c r="AL112" s="800">
        <v>7.6229999999999996E-3</v>
      </c>
      <c r="AM112" s="800">
        <v>0.20181057999999999</v>
      </c>
      <c r="AN112" s="800">
        <v>0.27112857000000001</v>
      </c>
      <c r="AO112" s="801">
        <v>0.85968993999999999</v>
      </c>
      <c r="AP112" s="802">
        <v>0.1</v>
      </c>
      <c r="AQ112" s="801">
        <v>0.1</v>
      </c>
    </row>
    <row r="113" spans="2:44" ht="12.75" customHeight="1">
      <c r="B113" s="2062"/>
      <c r="C113" s="2062"/>
      <c r="X113" s="278"/>
      <c r="Y113" s="278"/>
      <c r="Z113" s="278"/>
      <c r="AA113" s="278"/>
      <c r="AB113" s="278"/>
      <c r="AC113" s="278"/>
      <c r="AD113" s="278"/>
      <c r="AE113" s="278"/>
      <c r="AF113" s="746"/>
      <c r="AG113" s="746"/>
      <c r="AH113" s="746"/>
      <c r="AI113" s="746"/>
      <c r="AJ113" s="746"/>
      <c r="AK113" s="746"/>
      <c r="AL113" s="747"/>
      <c r="AM113" s="747"/>
      <c r="AN113" s="747"/>
      <c r="AO113" s="763"/>
      <c r="AP113" s="797"/>
      <c r="AQ113" s="798"/>
    </row>
    <row r="114" spans="2:44" ht="12.75" customHeight="1">
      <c r="B114" s="811" t="s">
        <v>446</v>
      </c>
      <c r="C114" s="811" t="s">
        <v>446</v>
      </c>
      <c r="X114" s="278"/>
      <c r="Y114" s="278"/>
      <c r="Z114" s="278"/>
      <c r="AA114" s="278"/>
      <c r="AB114" s="278"/>
      <c r="AC114" s="278"/>
      <c r="AD114" s="278"/>
      <c r="AE114" s="278"/>
      <c r="AF114" s="746"/>
      <c r="AG114" s="746"/>
      <c r="AH114" s="746"/>
      <c r="AI114" s="746"/>
      <c r="AJ114" s="746"/>
      <c r="AK114" s="746"/>
      <c r="AL114" s="747"/>
      <c r="AM114" s="747"/>
      <c r="AN114" s="747"/>
      <c r="AO114" s="763"/>
      <c r="AP114" s="797"/>
      <c r="AQ114" s="798"/>
    </row>
    <row r="115" spans="2:44" ht="12.75" customHeight="1">
      <c r="B115" s="306" t="s">
        <v>447</v>
      </c>
      <c r="C115" s="306" t="s">
        <v>447</v>
      </c>
      <c r="D115" s="226"/>
      <c r="E115" s="226"/>
      <c r="F115" s="226"/>
      <c r="G115" s="226"/>
      <c r="H115" s="226"/>
      <c r="I115" s="226"/>
      <c r="J115" s="226"/>
      <c r="K115" s="226"/>
      <c r="L115" s="226"/>
      <c r="M115" s="226"/>
      <c r="N115" s="226"/>
      <c r="O115" s="226"/>
      <c r="P115" s="226"/>
      <c r="Q115" s="226"/>
      <c r="R115" s="226"/>
      <c r="S115" s="226"/>
      <c r="T115" s="226"/>
      <c r="U115" s="226"/>
      <c r="V115" s="226"/>
      <c r="W115" s="226"/>
      <c r="X115" s="297"/>
      <c r="Y115" s="563"/>
      <c r="Z115" s="297"/>
      <c r="AA115" s="563"/>
      <c r="AB115" s="297"/>
      <c r="AC115" s="297"/>
      <c r="AD115" s="297"/>
      <c r="AE115" s="297"/>
      <c r="AF115" s="753"/>
      <c r="AG115" s="753"/>
      <c r="AH115" s="753"/>
      <c r="AI115" s="753"/>
      <c r="AJ115" s="753"/>
      <c r="AK115" s="753"/>
      <c r="AL115" s="803">
        <v>520.61200589999999</v>
      </c>
      <c r="AM115" s="803">
        <v>749.41132716999994</v>
      </c>
      <c r="AN115" s="803">
        <v>87.455775599999996</v>
      </c>
      <c r="AO115" s="794">
        <v>117.87235971</v>
      </c>
      <c r="AP115" s="793">
        <f>+AP116+AP117</f>
        <v>151.20000000000002</v>
      </c>
      <c r="AQ115" s="794">
        <f>+AQ116+AQ117</f>
        <v>196.1</v>
      </c>
    </row>
    <row r="116" spans="2:44" ht="44.1" customHeight="1">
      <c r="B116" s="2062" t="s">
        <v>1275</v>
      </c>
      <c r="C116" s="2062"/>
      <c r="X116" s="302"/>
      <c r="Z116" s="302"/>
      <c r="AB116" s="302"/>
      <c r="AC116" s="302"/>
      <c r="AD116" s="302"/>
      <c r="AE116" s="302"/>
      <c r="AF116" s="755"/>
      <c r="AG116" s="755"/>
      <c r="AH116" s="755"/>
      <c r="AI116" s="755"/>
      <c r="AJ116" s="755"/>
      <c r="AK116" s="755"/>
      <c r="AL116" s="757">
        <v>467.995</v>
      </c>
      <c r="AM116" s="758">
        <v>686.81299999999999</v>
      </c>
      <c r="AN116" s="758">
        <v>6</v>
      </c>
      <c r="AO116" s="776">
        <v>17.613</v>
      </c>
      <c r="AP116" s="778">
        <v>21.3</v>
      </c>
      <c r="AQ116" s="776">
        <v>19</v>
      </c>
    </row>
    <row r="117" spans="2:44" ht="56.1" customHeight="1">
      <c r="B117" s="2062" t="s">
        <v>1276</v>
      </c>
      <c r="C117" s="2062"/>
      <c r="X117" s="302"/>
      <c r="Z117" s="302"/>
      <c r="AB117" s="302"/>
      <c r="AC117" s="302"/>
      <c r="AD117" s="302"/>
      <c r="AE117" s="302"/>
      <c r="AF117" s="755"/>
      <c r="AG117" s="755"/>
      <c r="AH117" s="755"/>
      <c r="AI117" s="755"/>
      <c r="AJ117" s="755"/>
      <c r="AK117" s="755"/>
      <c r="AL117" s="759">
        <v>52.617005900000002</v>
      </c>
      <c r="AM117" s="759">
        <v>62.598327169999997</v>
      </c>
      <c r="AN117" s="759">
        <v>81.455775599999996</v>
      </c>
      <c r="AO117" s="777">
        <v>100.25935971</v>
      </c>
      <c r="AP117" s="779">
        <v>129.9</v>
      </c>
      <c r="AQ117" s="777">
        <v>177.1</v>
      </c>
      <c r="AR117" s="227"/>
    </row>
    <row r="118" spans="2:44">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563"/>
      <c r="Y118" s="563"/>
      <c r="Z118" s="563"/>
      <c r="AA118" s="563"/>
      <c r="AB118" s="563"/>
      <c r="AC118" s="563"/>
      <c r="AD118" s="563"/>
      <c r="AE118" s="563"/>
      <c r="AF118" s="750"/>
      <c r="AG118" s="750"/>
      <c r="AH118" s="750"/>
      <c r="AI118" s="750"/>
      <c r="AJ118" s="750"/>
      <c r="AK118" s="750"/>
      <c r="AL118" s="750"/>
      <c r="AM118" s="750"/>
      <c r="AN118" s="750"/>
      <c r="AO118" s="771"/>
      <c r="AP118" s="771"/>
      <c r="AQ118" s="771"/>
    </row>
    <row r="119" spans="2:44">
      <c r="AN119" s="760"/>
    </row>
    <row r="120" spans="2:44" ht="53.25" customHeight="1">
      <c r="B120" s="1938" t="s">
        <v>1867</v>
      </c>
      <c r="C120" s="2057"/>
      <c r="D120" s="2057"/>
      <c r="E120" s="2057"/>
      <c r="F120" s="2057"/>
      <c r="G120" s="2057"/>
      <c r="H120" s="2057"/>
      <c r="I120" s="2057"/>
      <c r="J120" s="2057"/>
      <c r="K120" s="2057"/>
      <c r="L120" s="2057"/>
      <c r="M120" s="2057"/>
      <c r="N120" s="2057"/>
      <c r="O120" s="2057"/>
      <c r="P120" s="2057"/>
      <c r="Q120" s="2057"/>
      <c r="R120" s="2057"/>
      <c r="S120" s="2057"/>
      <c r="T120" s="2057"/>
      <c r="U120" s="2057"/>
      <c r="V120" s="2057"/>
      <c r="W120" s="2057"/>
      <c r="X120" s="2057"/>
      <c r="Y120" s="2057"/>
      <c r="Z120" s="2057"/>
      <c r="AA120" s="2057"/>
      <c r="AB120" s="2057"/>
      <c r="AC120" s="2057"/>
      <c r="AD120" s="2057"/>
      <c r="AE120" s="2057"/>
      <c r="AF120" s="2057"/>
      <c r="AG120" s="2057"/>
      <c r="AH120" s="2057"/>
      <c r="AI120" s="2057"/>
      <c r="AJ120" s="2057"/>
      <c r="AK120" s="2057"/>
      <c r="AL120" s="2057"/>
      <c r="AM120" s="2057"/>
      <c r="AN120" s="2057"/>
      <c r="AO120" s="2057"/>
      <c r="AP120" s="2057"/>
      <c r="AQ120" s="2057"/>
    </row>
    <row r="121" spans="2:44">
      <c r="B121" s="158" t="s">
        <v>1868</v>
      </c>
    </row>
    <row r="130" spans="3:31">
      <c r="X130" s="158"/>
      <c r="Y130" s="158"/>
      <c r="Z130" s="158"/>
      <c r="AA130" s="158"/>
      <c r="AB130" s="158"/>
      <c r="AC130" s="158"/>
      <c r="AD130" s="158"/>
      <c r="AE130" s="158"/>
    </row>
    <row r="131" spans="3:31" ht="13.5">
      <c r="C131" s="301"/>
      <c r="X131" s="158"/>
      <c r="Y131" s="158"/>
      <c r="Z131" s="158"/>
      <c r="AA131" s="158"/>
      <c r="AB131" s="158"/>
      <c r="AC131" s="158"/>
      <c r="AD131" s="158"/>
      <c r="AE131" s="158"/>
    </row>
    <row r="132" spans="3:31">
      <c r="C132" s="294"/>
      <c r="X132" s="158"/>
      <c r="Y132" s="158"/>
      <c r="Z132" s="158"/>
      <c r="AA132" s="158"/>
      <c r="AB132" s="158"/>
      <c r="AC132" s="158"/>
      <c r="AD132" s="158"/>
      <c r="AE132" s="158"/>
    </row>
    <row r="133" spans="3:31">
      <c r="X133" s="158"/>
      <c r="Y133" s="158"/>
      <c r="Z133" s="158"/>
      <c r="AA133" s="158"/>
      <c r="AB133" s="158"/>
      <c r="AC133" s="158"/>
      <c r="AD133" s="158"/>
      <c r="AE133" s="158"/>
    </row>
    <row r="134" spans="3:31">
      <c r="X134" s="158"/>
      <c r="Y134" s="158"/>
      <c r="Z134" s="158"/>
      <c r="AA134" s="158"/>
      <c r="AB134" s="158"/>
      <c r="AC134" s="158"/>
      <c r="AD134" s="158"/>
      <c r="AE134" s="158"/>
    </row>
    <row r="135" spans="3:31">
      <c r="X135" s="158"/>
      <c r="Y135" s="158"/>
      <c r="Z135" s="158"/>
      <c r="AA135" s="158"/>
      <c r="AB135" s="158"/>
      <c r="AC135" s="158"/>
      <c r="AD135" s="158"/>
      <c r="AE135" s="158"/>
    </row>
    <row r="136" spans="3:31">
      <c r="X136" s="158"/>
      <c r="Y136" s="158"/>
      <c r="Z136" s="158"/>
      <c r="AA136" s="158"/>
      <c r="AB136" s="158"/>
      <c r="AC136" s="158"/>
      <c r="AD136" s="158"/>
      <c r="AE136" s="158"/>
    </row>
    <row r="137" spans="3:31">
      <c r="X137" s="158"/>
      <c r="Y137" s="158"/>
      <c r="Z137" s="158"/>
      <c r="AA137" s="158"/>
      <c r="AB137" s="158"/>
      <c r="AC137" s="158"/>
      <c r="AD137" s="158"/>
      <c r="AE137" s="158"/>
    </row>
    <row r="138" spans="3:31">
      <c r="X138" s="158"/>
      <c r="Y138" s="158"/>
      <c r="Z138" s="158"/>
      <c r="AA138" s="158"/>
      <c r="AB138" s="158"/>
      <c r="AC138" s="158"/>
      <c r="AD138" s="158"/>
      <c r="AE138" s="158"/>
    </row>
    <row r="139" spans="3:31">
      <c r="X139" s="158"/>
      <c r="Y139" s="158"/>
      <c r="Z139" s="158"/>
      <c r="AA139" s="158"/>
      <c r="AB139" s="158"/>
      <c r="AC139" s="158"/>
      <c r="AD139" s="158"/>
      <c r="AE139" s="158"/>
    </row>
    <row r="140" spans="3:31">
      <c r="X140" s="158"/>
      <c r="Y140" s="158"/>
      <c r="Z140" s="158"/>
      <c r="AA140" s="158"/>
      <c r="AB140" s="158"/>
      <c r="AC140" s="158"/>
      <c r="AD140" s="158"/>
      <c r="AE140" s="158"/>
    </row>
    <row r="141" spans="3:31">
      <c r="X141" s="158"/>
      <c r="Y141" s="158"/>
      <c r="Z141" s="158"/>
      <c r="AA141" s="158"/>
      <c r="AB141" s="158"/>
      <c r="AC141" s="158"/>
      <c r="AD141" s="158"/>
      <c r="AE141" s="158"/>
    </row>
    <row r="142" spans="3:31">
      <c r="X142" s="158"/>
      <c r="Y142" s="158"/>
      <c r="Z142" s="158"/>
      <c r="AA142" s="158"/>
      <c r="AB142" s="158"/>
      <c r="AC142" s="158"/>
      <c r="AD142" s="158"/>
      <c r="AE142" s="158"/>
    </row>
    <row r="143" spans="3:31">
      <c r="X143" s="158"/>
      <c r="Y143" s="158"/>
      <c r="Z143" s="158"/>
      <c r="AA143" s="158"/>
      <c r="AB143" s="158"/>
      <c r="AC143" s="158"/>
      <c r="AD143" s="158"/>
      <c r="AE143" s="158"/>
    </row>
    <row r="144" spans="3:31">
      <c r="X144" s="158"/>
      <c r="Y144" s="158"/>
      <c r="Z144" s="158"/>
      <c r="AA144" s="158"/>
      <c r="AB144" s="158"/>
      <c r="AC144" s="158"/>
      <c r="AD144" s="158"/>
      <c r="AE144" s="158"/>
    </row>
    <row r="145" spans="24:31">
      <c r="X145" s="158"/>
      <c r="Y145" s="158"/>
      <c r="Z145" s="158"/>
      <c r="AA145" s="158"/>
      <c r="AB145" s="158"/>
      <c r="AC145" s="158"/>
      <c r="AD145" s="158"/>
      <c r="AE145" s="158"/>
    </row>
    <row r="146" spans="24:31">
      <c r="X146" s="158"/>
      <c r="Y146" s="158"/>
      <c r="Z146" s="158"/>
      <c r="AA146" s="158"/>
      <c r="AB146" s="158"/>
      <c r="AC146" s="158"/>
      <c r="AD146" s="158"/>
      <c r="AE146" s="158"/>
    </row>
    <row r="147" spans="24:31">
      <c r="X147" s="158"/>
      <c r="Y147" s="158"/>
      <c r="Z147" s="158"/>
      <c r="AA147" s="158"/>
      <c r="AB147" s="158"/>
      <c r="AC147" s="158"/>
      <c r="AD147" s="158"/>
      <c r="AE147" s="158"/>
    </row>
    <row r="148" spans="24:31">
      <c r="X148" s="158"/>
      <c r="Y148" s="158"/>
      <c r="Z148" s="158"/>
      <c r="AA148" s="158"/>
      <c r="AB148" s="158"/>
      <c r="AC148" s="158"/>
      <c r="AD148" s="158"/>
      <c r="AE148" s="158"/>
    </row>
    <row r="149" spans="24:31">
      <c r="X149" s="158"/>
      <c r="Y149" s="158"/>
      <c r="Z149" s="158"/>
      <c r="AA149" s="158"/>
      <c r="AB149" s="158"/>
      <c r="AC149" s="158"/>
      <c r="AD149" s="158"/>
      <c r="AE149" s="158"/>
    </row>
    <row r="150" spans="24:31">
      <c r="X150" s="158"/>
      <c r="Y150" s="158"/>
      <c r="Z150" s="158"/>
      <c r="AA150" s="158"/>
      <c r="AB150" s="158"/>
      <c r="AC150" s="158"/>
      <c r="AD150" s="158"/>
      <c r="AE150" s="158"/>
    </row>
    <row r="151" spans="24:31">
      <c r="X151" s="158"/>
      <c r="Y151" s="158"/>
      <c r="Z151" s="158"/>
      <c r="AA151" s="158"/>
      <c r="AB151" s="158"/>
      <c r="AC151" s="158"/>
      <c r="AD151" s="158"/>
      <c r="AE151" s="158"/>
    </row>
    <row r="152" spans="24:31">
      <c r="X152" s="158"/>
      <c r="Y152" s="158"/>
      <c r="Z152" s="158"/>
      <c r="AA152" s="158"/>
      <c r="AB152" s="158"/>
      <c r="AC152" s="158"/>
      <c r="AD152" s="158"/>
      <c r="AE152" s="158"/>
    </row>
    <row r="153" spans="24:31">
      <c r="X153" s="158"/>
      <c r="Y153" s="158"/>
      <c r="Z153" s="158"/>
      <c r="AA153" s="158"/>
      <c r="AB153" s="158"/>
      <c r="AC153" s="158"/>
      <c r="AD153" s="158"/>
      <c r="AE153" s="158"/>
    </row>
    <row r="154" spans="24:31">
      <c r="X154" s="158"/>
      <c r="Y154" s="158"/>
      <c r="Z154" s="158"/>
      <c r="AA154" s="158"/>
      <c r="AB154" s="158"/>
      <c r="AC154" s="158"/>
      <c r="AD154" s="158"/>
      <c r="AE154" s="158"/>
    </row>
    <row r="155" spans="24:31">
      <c r="X155" s="158"/>
      <c r="Y155" s="158"/>
      <c r="Z155" s="158"/>
      <c r="AA155" s="158"/>
      <c r="AB155" s="158"/>
      <c r="AC155" s="158"/>
      <c r="AD155" s="158"/>
      <c r="AE155" s="158"/>
    </row>
    <row r="156" spans="24:31">
      <c r="X156" s="158"/>
      <c r="Y156" s="158"/>
      <c r="Z156" s="158"/>
      <c r="AA156" s="158"/>
      <c r="AB156" s="158"/>
      <c r="AC156" s="158"/>
      <c r="AD156" s="158"/>
      <c r="AE156" s="158"/>
    </row>
    <row r="157" spans="24:31">
      <c r="X157" s="158"/>
      <c r="Y157" s="158"/>
      <c r="Z157" s="158"/>
      <c r="AA157" s="158"/>
      <c r="AB157" s="158"/>
      <c r="AC157" s="158"/>
      <c r="AD157" s="158"/>
      <c r="AE157" s="158"/>
    </row>
    <row r="158" spans="24:31">
      <c r="X158" s="158"/>
      <c r="Y158" s="158"/>
      <c r="Z158" s="158"/>
      <c r="AA158" s="158"/>
      <c r="AB158" s="158"/>
      <c r="AC158" s="158"/>
      <c r="AD158" s="158"/>
      <c r="AE158" s="158"/>
    </row>
    <row r="159" spans="24:31">
      <c r="X159" s="158"/>
      <c r="Y159" s="158"/>
      <c r="Z159" s="158"/>
      <c r="AA159" s="158"/>
      <c r="AB159" s="158"/>
      <c r="AC159" s="158"/>
      <c r="AD159" s="158"/>
      <c r="AE159" s="158"/>
    </row>
    <row r="160" spans="24:31">
      <c r="X160" s="158"/>
      <c r="Y160" s="158"/>
      <c r="Z160" s="158"/>
      <c r="AA160" s="158"/>
      <c r="AB160" s="158"/>
      <c r="AC160" s="158"/>
      <c r="AD160" s="158"/>
      <c r="AE160" s="158"/>
    </row>
    <row r="161" spans="24:31">
      <c r="X161" s="158"/>
      <c r="Y161" s="158"/>
      <c r="Z161" s="158"/>
      <c r="AA161" s="158"/>
      <c r="AB161" s="158"/>
      <c r="AC161" s="158"/>
      <c r="AD161" s="158"/>
      <c r="AE161" s="158"/>
    </row>
    <row r="162" spans="24:31">
      <c r="X162" s="158"/>
      <c r="Y162" s="158"/>
      <c r="Z162" s="158"/>
      <c r="AA162" s="158"/>
      <c r="AB162" s="158"/>
      <c r="AC162" s="158"/>
      <c r="AD162" s="158"/>
      <c r="AE162" s="158"/>
    </row>
    <row r="163" spans="24:31">
      <c r="X163" s="158"/>
      <c r="Y163" s="158"/>
      <c r="Z163" s="158"/>
      <c r="AA163" s="158"/>
      <c r="AB163" s="158"/>
      <c r="AC163" s="158"/>
      <c r="AD163" s="158"/>
      <c r="AE163" s="158"/>
    </row>
    <row r="164" spans="24:31">
      <c r="X164" s="158"/>
      <c r="Y164" s="158"/>
      <c r="Z164" s="158"/>
      <c r="AA164" s="158"/>
      <c r="AB164" s="158"/>
      <c r="AC164" s="158"/>
      <c r="AD164" s="158"/>
      <c r="AE164" s="158"/>
    </row>
    <row r="165" spans="24:31">
      <c r="X165" s="158"/>
      <c r="Y165" s="158"/>
      <c r="Z165" s="158"/>
      <c r="AA165" s="158"/>
      <c r="AB165" s="158"/>
      <c r="AC165" s="158"/>
      <c r="AD165" s="158"/>
      <c r="AE165" s="158"/>
    </row>
    <row r="166" spans="24:31">
      <c r="X166" s="158"/>
      <c r="Y166" s="158"/>
      <c r="Z166" s="158"/>
      <c r="AA166" s="158"/>
      <c r="AB166" s="158"/>
      <c r="AC166" s="158"/>
      <c r="AD166" s="158"/>
      <c r="AE166" s="158"/>
    </row>
    <row r="167" spans="24:31">
      <c r="X167" s="158"/>
      <c r="Y167" s="158"/>
      <c r="Z167" s="158"/>
      <c r="AA167" s="158"/>
      <c r="AB167" s="158"/>
      <c r="AC167" s="158"/>
      <c r="AD167" s="158"/>
      <c r="AE167" s="158"/>
    </row>
    <row r="168" spans="24:31">
      <c r="X168" s="158"/>
      <c r="Y168" s="158"/>
      <c r="Z168" s="158"/>
      <c r="AA168" s="158"/>
      <c r="AB168" s="158"/>
      <c r="AC168" s="158"/>
      <c r="AD168" s="158"/>
      <c r="AE168" s="158"/>
    </row>
    <row r="169" spans="24:31">
      <c r="X169" s="158"/>
      <c r="Y169" s="158"/>
      <c r="Z169" s="158"/>
      <c r="AA169" s="158"/>
      <c r="AB169" s="158"/>
      <c r="AC169" s="158"/>
      <c r="AD169" s="158"/>
      <c r="AE169" s="158"/>
    </row>
    <row r="170" spans="24:31">
      <c r="X170" s="158"/>
      <c r="Y170" s="158"/>
      <c r="Z170" s="158"/>
      <c r="AA170" s="158"/>
      <c r="AB170" s="158"/>
      <c r="AC170" s="158"/>
      <c r="AD170" s="158"/>
      <c r="AE170" s="158"/>
    </row>
    <row r="171" spans="24:31">
      <c r="X171" s="158"/>
      <c r="Y171" s="158"/>
      <c r="Z171" s="158"/>
      <c r="AA171" s="158"/>
      <c r="AB171" s="158"/>
      <c r="AC171" s="158"/>
      <c r="AD171" s="158"/>
      <c r="AE171" s="158"/>
    </row>
    <row r="172" spans="24:31">
      <c r="X172" s="158"/>
      <c r="Y172" s="158"/>
      <c r="Z172" s="158"/>
      <c r="AA172" s="158"/>
      <c r="AB172" s="158"/>
      <c r="AC172" s="158"/>
      <c r="AD172" s="158"/>
      <c r="AE172" s="158"/>
    </row>
    <row r="173" spans="24:31">
      <c r="X173" s="158"/>
      <c r="Y173" s="158"/>
      <c r="Z173" s="158"/>
      <c r="AA173" s="158"/>
      <c r="AB173" s="158"/>
      <c r="AC173" s="158"/>
      <c r="AD173" s="158"/>
      <c r="AE173" s="158"/>
    </row>
    <row r="174" spans="24:31">
      <c r="X174" s="158"/>
      <c r="Y174" s="158"/>
      <c r="Z174" s="158"/>
      <c r="AA174" s="158"/>
      <c r="AB174" s="158"/>
      <c r="AC174" s="158"/>
      <c r="AD174" s="158"/>
      <c r="AE174" s="158"/>
    </row>
    <row r="175" spans="24:31">
      <c r="X175" s="158"/>
      <c r="Y175" s="158"/>
      <c r="Z175" s="158"/>
      <c r="AA175" s="158"/>
      <c r="AB175" s="158"/>
      <c r="AC175" s="158"/>
      <c r="AD175" s="158"/>
      <c r="AE175" s="158"/>
    </row>
  </sheetData>
  <mergeCells count="18">
    <mergeCell ref="B102:C102"/>
    <mergeCell ref="B15:AQ15"/>
    <mergeCell ref="B21:AF21"/>
    <mergeCell ref="B87:AF87"/>
    <mergeCell ref="B100:C100"/>
    <mergeCell ref="B101:C101"/>
    <mergeCell ref="B120:AQ120"/>
    <mergeCell ref="B103:C103"/>
    <mergeCell ref="B104:C104"/>
    <mergeCell ref="B107:C107"/>
    <mergeCell ref="B108:C108"/>
    <mergeCell ref="B109:C109"/>
    <mergeCell ref="B110:C110"/>
    <mergeCell ref="B111:C111"/>
    <mergeCell ref="B112:C112"/>
    <mergeCell ref="B113:C113"/>
    <mergeCell ref="B116:C116"/>
    <mergeCell ref="B117:C117"/>
  </mergeCells>
  <pageMargins left="0.70866141732283472" right="0.70866141732283472" top="0.74803149606299213" bottom="0.74803149606299213" header="0.31496062992125984" footer="0.31496062992125984"/>
  <pageSetup paperSize="9" scale="44"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T210"/>
  <sheetViews>
    <sheetView topLeftCell="B15" zoomScale="80" zoomScaleNormal="80" workbookViewId="0">
      <selection activeCell="B15" sqref="B15:AR165"/>
    </sheetView>
  </sheetViews>
  <sheetFormatPr defaultColWidth="12.5546875" defaultRowHeight="12.75" outlineLevelRow="1" outlineLevelCol="1"/>
  <cols>
    <col min="1" max="1" width="2.88671875" style="1164" hidden="1" customWidth="1"/>
    <col min="2" max="3" width="2.77734375" style="1164" customWidth="1"/>
    <col min="4" max="4" width="56.5546875" style="1164" customWidth="1"/>
    <col min="5" max="5" width="2.5546875" style="1164" hidden="1" customWidth="1"/>
    <col min="6" max="11" width="1.77734375" style="1164" hidden="1" customWidth="1"/>
    <col min="12" max="22" width="5.44140625" style="1164" hidden="1" customWidth="1"/>
    <col min="23" max="23" width="22.77734375" style="1164" hidden="1" customWidth="1"/>
    <col min="24" max="24" width="7.21875" style="1180" hidden="1" customWidth="1" outlineLevel="1"/>
    <col min="25" max="25" width="3.21875" style="1180" hidden="1" customWidth="1" outlineLevel="1"/>
    <col min="26" max="26" width="5.88671875" style="1180" hidden="1" customWidth="1" outlineLevel="1"/>
    <col min="27" max="27" width="3" style="1180" hidden="1" customWidth="1" outlineLevel="1"/>
    <col min="28" max="28" width="6.5546875" style="1180" hidden="1" customWidth="1" outlineLevel="1"/>
    <col min="29" max="29" width="2.88671875" style="1180" hidden="1" customWidth="1" outlineLevel="1"/>
    <col min="30" max="30" width="7" style="1180" hidden="1" customWidth="1" outlineLevel="1"/>
    <col min="31" max="31" width="2.44140625" style="1180" hidden="1" customWidth="1" outlineLevel="1"/>
    <col min="32" max="32" width="6.33203125" style="1180" hidden="1" customWidth="1" outlineLevel="1"/>
    <col min="33" max="33" width="8.33203125" style="1164" customWidth="1" collapsed="1"/>
    <col min="34" max="35" width="8.33203125" style="1164" customWidth="1"/>
    <col min="36" max="36" width="8.33203125" style="1191" customWidth="1"/>
    <col min="37" max="44" width="8.33203125" style="1164" customWidth="1"/>
    <col min="45" max="16384" width="12.5546875" style="1164"/>
  </cols>
  <sheetData>
    <row r="1" spans="2:44" ht="30" hidden="1" customHeight="1" outlineLevel="1">
      <c r="B1" s="1164" t="s">
        <v>927</v>
      </c>
    </row>
    <row r="2" spans="2:44" ht="30" hidden="1" customHeight="1" outlineLevel="1"/>
    <row r="3" spans="2:44" ht="30" hidden="1" customHeight="1" outlineLevel="1"/>
    <row r="4" spans="2:44" ht="30" hidden="1" customHeight="1" outlineLevel="1">
      <c r="B4" s="1891" t="s">
        <v>928</v>
      </c>
      <c r="C4" s="1891"/>
      <c r="D4" s="1891"/>
      <c r="L4" s="1164">
        <v>1989</v>
      </c>
      <c r="M4" s="1164">
        <v>1990</v>
      </c>
      <c r="N4" s="1164">
        <v>1991</v>
      </c>
      <c r="O4" s="1164">
        <v>1992</v>
      </c>
      <c r="P4" s="1164">
        <v>1993</v>
      </c>
      <c r="Q4" s="1164">
        <v>1994</v>
      </c>
      <c r="R4" s="1164">
        <v>1995</v>
      </c>
      <c r="S4" s="1164">
        <v>1996</v>
      </c>
      <c r="T4" s="1164">
        <v>1997</v>
      </c>
      <c r="U4" s="1164">
        <v>1998</v>
      </c>
      <c r="V4" s="1164">
        <v>1999</v>
      </c>
      <c r="W4" s="1164">
        <v>2000</v>
      </c>
      <c r="X4" s="1180">
        <v>2001</v>
      </c>
      <c r="Z4" s="1180">
        <v>2003</v>
      </c>
      <c r="AB4" s="1180">
        <v>2005</v>
      </c>
      <c r="AD4" s="1180">
        <v>2007</v>
      </c>
      <c r="AF4" s="1180">
        <v>2009</v>
      </c>
      <c r="AG4" s="1892">
        <v>2010</v>
      </c>
      <c r="AH4" s="1892">
        <v>2011</v>
      </c>
      <c r="AI4" s="1892">
        <v>2012</v>
      </c>
      <c r="AJ4" s="1892">
        <v>2013</v>
      </c>
      <c r="AK4" s="1892">
        <v>2014</v>
      </c>
      <c r="AL4" s="1892">
        <v>2015</v>
      </c>
      <c r="AM4" s="1892">
        <v>2016</v>
      </c>
      <c r="AN4" s="1892">
        <v>2017</v>
      </c>
      <c r="AO4" s="1892">
        <v>2018</v>
      </c>
      <c r="AP4" s="1892">
        <v>2019</v>
      </c>
      <c r="AQ4" s="1892">
        <v>2020</v>
      </c>
      <c r="AR4" s="1892">
        <v>2021</v>
      </c>
    </row>
    <row r="5" spans="2:44" ht="30" hidden="1" customHeight="1" outlineLevel="1">
      <c r="P5" s="1893"/>
      <c r="Q5" s="1893"/>
      <c r="R5" s="1893"/>
      <c r="S5" s="1893"/>
      <c r="T5" s="1893"/>
      <c r="U5" s="1893"/>
      <c r="V5" s="1893"/>
      <c r="W5" s="1893"/>
      <c r="AG5" s="1893"/>
      <c r="AH5" s="1893"/>
      <c r="AI5" s="1191"/>
    </row>
    <row r="6" spans="2:44" ht="30" hidden="1" customHeight="1" outlineLevel="1">
      <c r="B6" s="1164" t="s">
        <v>2</v>
      </c>
      <c r="C6" s="1164" t="s">
        <v>3</v>
      </c>
      <c r="L6" s="1894">
        <f t="shared" ref="L6:V6" si="0">L94</f>
        <v>4480</v>
      </c>
      <c r="M6" s="1894">
        <f t="shared" si="0"/>
        <v>4915</v>
      </c>
      <c r="N6" s="1894">
        <f t="shared" si="0"/>
        <v>5315</v>
      </c>
      <c r="O6" s="1894">
        <f t="shared" si="0"/>
        <v>5800</v>
      </c>
      <c r="P6" s="1894">
        <f t="shared" si="0"/>
        <v>6660</v>
      </c>
      <c r="Q6" s="1894">
        <f t="shared" si="0"/>
        <v>7255</v>
      </c>
      <c r="R6" s="1894">
        <f t="shared" si="0"/>
        <v>8440</v>
      </c>
      <c r="S6" s="1894">
        <f t="shared" si="0"/>
        <v>9480</v>
      </c>
      <c r="T6" s="1894">
        <f t="shared" si="0"/>
        <v>10265</v>
      </c>
      <c r="U6" s="1894">
        <f t="shared" si="0"/>
        <v>10026</v>
      </c>
      <c r="V6" s="1894">
        <f t="shared" si="0"/>
        <v>8570</v>
      </c>
      <c r="W6" s="1894"/>
      <c r="X6" s="1895">
        <f>X94</f>
        <v>78658</v>
      </c>
      <c r="Y6" s="1895"/>
      <c r="Z6" s="1895">
        <f>Z94</f>
        <v>84304</v>
      </c>
      <c r="AA6" s="1895"/>
      <c r="AB6" s="1895">
        <f>AB94</f>
        <v>91916</v>
      </c>
      <c r="AC6" s="1895"/>
      <c r="AD6" s="1895">
        <f>AD94</f>
        <v>83830</v>
      </c>
      <c r="AE6" s="1895"/>
      <c r="AF6" s="1895">
        <f t="shared" ref="AF6:AP6" si="1">AF94</f>
        <v>97363</v>
      </c>
      <c r="AG6" s="1895">
        <f t="shared" si="1"/>
        <v>149653</v>
      </c>
      <c r="AH6" s="1895">
        <f t="shared" si="1"/>
        <v>130420</v>
      </c>
      <c r="AI6" s="1895">
        <f t="shared" si="1"/>
        <v>106872</v>
      </c>
      <c r="AJ6" s="1895">
        <f t="shared" si="1"/>
        <v>110060</v>
      </c>
      <c r="AK6" s="1895">
        <f t="shared" si="1"/>
        <v>121768</v>
      </c>
      <c r="AL6" s="1895">
        <f t="shared" si="1"/>
        <v>127295</v>
      </c>
      <c r="AM6" s="1895">
        <f t="shared" si="1"/>
        <v>132538</v>
      </c>
      <c r="AN6" s="1895">
        <f t="shared" si="1"/>
        <v>134776</v>
      </c>
      <c r="AO6" s="1895">
        <f t="shared" si="1"/>
        <v>104233</v>
      </c>
      <c r="AP6" s="1895">
        <f t="shared" si="1"/>
        <v>145918</v>
      </c>
      <c r="AQ6" s="1895">
        <f t="shared" ref="AQ6:AR6" si="2">AQ94</f>
        <v>150580</v>
      </c>
      <c r="AR6" s="1895">
        <f t="shared" si="2"/>
        <v>153210</v>
      </c>
    </row>
    <row r="7" spans="2:44" ht="30" hidden="1" customHeight="1" outlineLevel="1">
      <c r="B7" s="1164" t="s">
        <v>4</v>
      </c>
      <c r="C7" s="1164" t="s">
        <v>5</v>
      </c>
      <c r="L7" s="1894">
        <f t="shared" ref="L7:V7" si="3">L124</f>
        <v>41040</v>
      </c>
      <c r="M7" s="1894">
        <f t="shared" si="3"/>
        <v>45575</v>
      </c>
      <c r="N7" s="1894">
        <f t="shared" si="3"/>
        <v>51660</v>
      </c>
      <c r="O7" s="1894">
        <f t="shared" si="3"/>
        <v>55945</v>
      </c>
      <c r="P7" s="1894">
        <f t="shared" si="3"/>
        <v>63455</v>
      </c>
      <c r="Q7" s="1894">
        <f t="shared" si="3"/>
        <v>69375</v>
      </c>
      <c r="R7" s="1894">
        <f t="shared" si="3"/>
        <v>83105</v>
      </c>
      <c r="S7" s="1894">
        <f t="shared" si="3"/>
        <v>89375</v>
      </c>
      <c r="T7" s="1894">
        <f t="shared" si="3"/>
        <v>88475</v>
      </c>
      <c r="U7" s="1894">
        <f t="shared" si="3"/>
        <v>90515</v>
      </c>
      <c r="V7" s="1894">
        <f t="shared" si="3"/>
        <v>94015</v>
      </c>
      <c r="W7" s="1894"/>
      <c r="X7" s="1895">
        <f>X124</f>
        <v>116470</v>
      </c>
      <c r="Y7" s="1895"/>
      <c r="Z7" s="1895">
        <f>Z124</f>
        <v>141320</v>
      </c>
      <c r="AA7" s="1895"/>
      <c r="AB7" s="1895">
        <f>AB124</f>
        <v>159720</v>
      </c>
      <c r="AC7" s="1895"/>
      <c r="AD7" s="1895">
        <f>AD124</f>
        <v>186600</v>
      </c>
      <c r="AE7" s="1895"/>
      <c r="AF7" s="1895">
        <f t="shared" ref="AF7:AP7" si="4">AF124</f>
        <v>195722</v>
      </c>
      <c r="AG7" s="1895">
        <f t="shared" si="4"/>
        <v>212620</v>
      </c>
      <c r="AH7" s="1895">
        <f t="shared" si="4"/>
        <v>208865</v>
      </c>
      <c r="AI7" s="1895">
        <f t="shared" si="4"/>
        <v>233390</v>
      </c>
      <c r="AJ7" s="1895">
        <f t="shared" si="4"/>
        <v>360050</v>
      </c>
      <c r="AK7" s="1895">
        <f t="shared" si="4"/>
        <v>377690</v>
      </c>
      <c r="AL7" s="1895">
        <f t="shared" si="4"/>
        <v>388343</v>
      </c>
      <c r="AM7" s="1895">
        <f t="shared" si="4"/>
        <v>404260</v>
      </c>
      <c r="AN7" s="1895">
        <f t="shared" si="4"/>
        <v>410400</v>
      </c>
      <c r="AO7" s="1895">
        <f t="shared" si="4"/>
        <v>401806</v>
      </c>
      <c r="AP7" s="1895">
        <f t="shared" si="4"/>
        <v>396170</v>
      </c>
      <c r="AQ7" s="1895">
        <f t="shared" ref="AQ7:AR7" si="5">AQ124</f>
        <v>374000</v>
      </c>
      <c r="AR7" s="1895">
        <f t="shared" si="5"/>
        <v>426600</v>
      </c>
    </row>
    <row r="8" spans="2:44" ht="30" hidden="1" customHeight="1" outlineLevel="1">
      <c r="B8" s="1164" t="s">
        <v>929</v>
      </c>
      <c r="L8" s="1894">
        <f t="shared" ref="L8:Q8" si="6">L7+L6</f>
        <v>45520</v>
      </c>
      <c r="M8" s="1894">
        <f t="shared" si="6"/>
        <v>50490</v>
      </c>
      <c r="N8" s="1894">
        <f t="shared" si="6"/>
        <v>56975</v>
      </c>
      <c r="O8" s="1894">
        <f t="shared" si="6"/>
        <v>61745</v>
      </c>
      <c r="P8" s="1894">
        <f t="shared" si="6"/>
        <v>70115</v>
      </c>
      <c r="Q8" s="1894">
        <f t="shared" si="6"/>
        <v>76630</v>
      </c>
      <c r="R8" s="1894">
        <f>R7+R6</f>
        <v>91545</v>
      </c>
      <c r="S8" s="1894">
        <f>S7+S6</f>
        <v>98855</v>
      </c>
      <c r="T8" s="1894">
        <f>T7+T6</f>
        <v>98740</v>
      </c>
      <c r="U8" s="1894">
        <f>U7+U6</f>
        <v>100541</v>
      </c>
      <c r="V8" s="1894">
        <f>V7+V6</f>
        <v>102585</v>
      </c>
      <c r="W8" s="1894"/>
      <c r="X8" s="1895">
        <f>X7+X6</f>
        <v>195128</v>
      </c>
      <c r="Y8" s="1895"/>
      <c r="Z8" s="1895">
        <f>Z7+Z6</f>
        <v>225624</v>
      </c>
      <c r="AA8" s="1895"/>
      <c r="AB8" s="1895">
        <f>AB7+AB6</f>
        <v>251636</v>
      </c>
      <c r="AC8" s="1895"/>
      <c r="AD8" s="1895">
        <f>AD7+AD6</f>
        <v>270430</v>
      </c>
      <c r="AE8" s="1895"/>
      <c r="AF8" s="1895">
        <f t="shared" ref="AF8:AP8" si="7">AF7+AF6</f>
        <v>293085</v>
      </c>
      <c r="AG8" s="1895">
        <f t="shared" si="7"/>
        <v>362273</v>
      </c>
      <c r="AH8" s="1895">
        <f t="shared" si="7"/>
        <v>339285</v>
      </c>
      <c r="AI8" s="1895">
        <f t="shared" si="7"/>
        <v>340262</v>
      </c>
      <c r="AJ8" s="1895">
        <f t="shared" si="7"/>
        <v>470110</v>
      </c>
      <c r="AK8" s="1895">
        <f t="shared" si="7"/>
        <v>499458</v>
      </c>
      <c r="AL8" s="1895">
        <f t="shared" si="7"/>
        <v>515638</v>
      </c>
      <c r="AM8" s="1895">
        <f t="shared" si="7"/>
        <v>536798</v>
      </c>
      <c r="AN8" s="1895">
        <f t="shared" si="7"/>
        <v>545176</v>
      </c>
      <c r="AO8" s="1895">
        <f t="shared" si="7"/>
        <v>506039</v>
      </c>
      <c r="AP8" s="1895">
        <f t="shared" si="7"/>
        <v>542088</v>
      </c>
      <c r="AQ8" s="1895">
        <f t="shared" ref="AQ8:AR8" si="8">AQ7+AQ6</f>
        <v>524580</v>
      </c>
      <c r="AR8" s="1895">
        <f t="shared" si="8"/>
        <v>579810</v>
      </c>
    </row>
    <row r="9" spans="2:44" ht="30" hidden="1" customHeight="1" outlineLevel="1">
      <c r="J9" s="1894"/>
      <c r="K9" s="1894"/>
      <c r="L9" s="1894"/>
      <c r="M9" s="1894"/>
      <c r="N9" s="1894"/>
      <c r="O9" s="1894"/>
      <c r="P9" s="1894"/>
      <c r="Q9" s="1894"/>
      <c r="R9" s="1894"/>
      <c r="S9" s="1894"/>
      <c r="T9" s="1894"/>
      <c r="U9" s="1894"/>
      <c r="V9" s="1894"/>
      <c r="W9" s="1894"/>
      <c r="X9" s="1895"/>
      <c r="Y9" s="1895"/>
      <c r="Z9" s="1895"/>
      <c r="AA9" s="1895"/>
      <c r="AB9" s="1895"/>
      <c r="AC9" s="1895"/>
      <c r="AD9" s="1895"/>
      <c r="AE9" s="1895"/>
      <c r="AF9" s="1895"/>
      <c r="AG9" s="1895"/>
      <c r="AH9" s="1895"/>
      <c r="AI9" s="1895"/>
      <c r="AJ9" s="1895"/>
      <c r="AK9" s="1895"/>
      <c r="AL9" s="1895"/>
      <c r="AM9" s="1895"/>
      <c r="AN9" s="1895"/>
      <c r="AO9" s="1895"/>
      <c r="AP9" s="1895"/>
      <c r="AQ9" s="1895"/>
      <c r="AR9" s="1895"/>
    </row>
    <row r="10" spans="2:44" ht="30" hidden="1" customHeight="1" outlineLevel="1">
      <c r="B10" s="1164" t="s">
        <v>110</v>
      </c>
      <c r="J10" s="1894"/>
      <c r="K10" s="1894"/>
      <c r="L10" s="1894">
        <f t="shared" ref="L10:X10" si="9">L147</f>
        <v>49570</v>
      </c>
      <c r="M10" s="1894">
        <f t="shared" si="9"/>
        <v>52515</v>
      </c>
      <c r="N10" s="1894">
        <f t="shared" si="9"/>
        <v>54495</v>
      </c>
      <c r="O10" s="1894">
        <f t="shared" si="9"/>
        <v>56955</v>
      </c>
      <c r="P10" s="1894">
        <f t="shared" si="9"/>
        <v>58395</v>
      </c>
      <c r="Q10" s="1894">
        <f t="shared" si="9"/>
        <v>57835</v>
      </c>
      <c r="R10" s="1894">
        <f t="shared" si="9"/>
        <v>63105</v>
      </c>
      <c r="S10" s="1894">
        <f t="shared" si="9"/>
        <v>66545</v>
      </c>
      <c r="T10" s="1894">
        <f t="shared" si="9"/>
        <v>84435</v>
      </c>
      <c r="U10" s="1894">
        <f t="shared" si="9"/>
        <v>96710</v>
      </c>
      <c r="V10" s="1894">
        <f t="shared" si="9"/>
        <v>102360</v>
      </c>
      <c r="W10" s="1894">
        <f t="shared" si="9"/>
        <v>109430</v>
      </c>
      <c r="X10" s="1895">
        <f t="shared" si="9"/>
        <v>110990</v>
      </c>
      <c r="Y10" s="1895"/>
      <c r="Z10" s="1895">
        <f>Z147</f>
        <v>138000</v>
      </c>
      <c r="AA10" s="1895"/>
      <c r="AB10" s="1895">
        <f>AB147</f>
        <v>101880</v>
      </c>
      <c r="AC10" s="1895"/>
      <c r="AD10" s="1895">
        <f>AD147</f>
        <v>114320</v>
      </c>
      <c r="AE10" s="1895"/>
      <c r="AF10" s="1895">
        <f t="shared" ref="AF10:AP10" si="10">AF147</f>
        <v>110706</v>
      </c>
      <c r="AG10" s="1895">
        <f t="shared" si="10"/>
        <v>119400</v>
      </c>
      <c r="AH10" s="1895">
        <f t="shared" si="10"/>
        <v>118690</v>
      </c>
      <c r="AI10" s="1895">
        <f t="shared" si="10"/>
        <v>149360</v>
      </c>
      <c r="AJ10" s="1895">
        <f t="shared" si="10"/>
        <v>128430</v>
      </c>
      <c r="AK10" s="1895">
        <f t="shared" si="10"/>
        <v>146360</v>
      </c>
      <c r="AL10" s="1895">
        <f t="shared" si="10"/>
        <v>171860</v>
      </c>
      <c r="AM10" s="1895">
        <f t="shared" si="10"/>
        <v>177900</v>
      </c>
      <c r="AN10" s="1895">
        <f t="shared" si="10"/>
        <v>192751</v>
      </c>
      <c r="AO10" s="1895">
        <f t="shared" si="10"/>
        <v>187970</v>
      </c>
      <c r="AP10" s="1895">
        <f t="shared" si="10"/>
        <v>193183</v>
      </c>
      <c r="AQ10" s="1895">
        <f t="shared" ref="AQ10:AR10" si="11">AQ147</f>
        <v>190020</v>
      </c>
      <c r="AR10" s="1895">
        <f t="shared" si="11"/>
        <v>224610</v>
      </c>
    </row>
    <row r="11" spans="2:44" ht="30" hidden="1" customHeight="1" outlineLevel="1">
      <c r="J11" s="1894"/>
      <c r="K11" s="1894"/>
      <c r="L11" s="1894"/>
      <c r="M11" s="1894"/>
      <c r="N11" s="1894"/>
      <c r="O11" s="1894"/>
      <c r="P11" s="1894"/>
      <c r="Q11" s="1894"/>
      <c r="R11" s="1894"/>
      <c r="S11" s="1894"/>
      <c r="T11" s="1894"/>
      <c r="U11" s="1894"/>
      <c r="V11" s="1894"/>
      <c r="W11" s="1894"/>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AR11" s="1895"/>
    </row>
    <row r="12" spans="2:44" ht="30" hidden="1" customHeight="1" outlineLevel="1">
      <c r="B12" s="158" t="s">
        <v>8</v>
      </c>
      <c r="J12" s="1894"/>
      <c r="K12" s="1894"/>
      <c r="L12" s="1894"/>
      <c r="M12" s="1894"/>
      <c r="N12" s="1894"/>
      <c r="O12" s="1894"/>
      <c r="P12" s="1894"/>
      <c r="Q12" s="1894"/>
      <c r="R12" s="1894"/>
      <c r="S12" s="1894"/>
      <c r="T12" s="1894"/>
      <c r="U12" s="1894"/>
      <c r="V12" s="1894"/>
      <c r="W12" s="1894"/>
      <c r="X12" s="1895">
        <f>SUM(X97:X106)</f>
        <v>68667</v>
      </c>
      <c r="Y12" s="1895"/>
      <c r="Z12" s="1895">
        <f>SUM(Z97:Z106)</f>
        <v>72965</v>
      </c>
      <c r="AA12" s="1895"/>
      <c r="AB12" s="1895">
        <f>SUM(AB97:AB106)</f>
        <v>79791</v>
      </c>
      <c r="AC12" s="1895"/>
      <c r="AD12" s="1895">
        <f>SUM(AD97:AD106)</f>
        <v>73580</v>
      </c>
      <c r="AE12" s="1895"/>
      <c r="AF12" s="1895">
        <f>SUM(AF97:AF106)</f>
        <v>72873</v>
      </c>
      <c r="AG12" s="1895">
        <f t="shared" ref="AG12:AL12" si="12">AG97+SUM(AG101:AG106)</f>
        <v>69573</v>
      </c>
      <c r="AH12" s="1895">
        <f t="shared" si="12"/>
        <v>71480</v>
      </c>
      <c r="AI12" s="1895">
        <f t="shared" si="12"/>
        <v>73162</v>
      </c>
      <c r="AJ12" s="1895">
        <f t="shared" si="12"/>
        <v>73180</v>
      </c>
      <c r="AK12" s="1895">
        <f t="shared" si="12"/>
        <v>84628</v>
      </c>
      <c r="AL12" s="1895">
        <f t="shared" si="12"/>
        <v>85645</v>
      </c>
      <c r="AM12" s="1895">
        <f>AM97+SUM(AM101:AM106)</f>
        <v>87258</v>
      </c>
      <c r="AN12" s="1895">
        <f>AN97+SUM(AN101:AN104,AN106)</f>
        <v>85046</v>
      </c>
      <c r="AO12" s="1895">
        <f t="shared" ref="AO12:AR12" si="13">AO97+SUM(AO101:AO104,AO106)</f>
        <v>44903</v>
      </c>
      <c r="AP12" s="1895">
        <f>AP97+SUM(AP101:AP104,AP106)</f>
        <v>88688</v>
      </c>
      <c r="AQ12" s="1895">
        <f t="shared" si="13"/>
        <v>81260</v>
      </c>
      <c r="AR12" s="1895">
        <f t="shared" si="13"/>
        <v>84880</v>
      </c>
    </row>
    <row r="13" spans="2:44" ht="30" hidden="1" customHeight="1" outlineLevel="1">
      <c r="B13" s="158"/>
      <c r="D13" s="1164" t="s">
        <v>256</v>
      </c>
      <c r="J13" s="1894"/>
      <c r="K13" s="1894"/>
      <c r="L13" s="1894"/>
      <c r="M13" s="1894"/>
      <c r="N13" s="1894"/>
      <c r="O13" s="1894"/>
      <c r="P13" s="1894"/>
      <c r="Q13" s="1894"/>
      <c r="R13" s="1894"/>
      <c r="S13" s="1894"/>
      <c r="T13" s="1894"/>
      <c r="U13" s="1894"/>
      <c r="V13" s="1894"/>
      <c r="W13" s="1894"/>
      <c r="X13" s="1895">
        <f>X97</f>
        <v>3182</v>
      </c>
      <c r="Y13" s="1895"/>
      <c r="Z13" s="1895">
        <f>Z97</f>
        <v>3310</v>
      </c>
      <c r="AA13" s="1895"/>
      <c r="AB13" s="1895">
        <f>AB97</f>
        <v>3680</v>
      </c>
      <c r="AC13" s="1895"/>
      <c r="AD13" s="1895">
        <f>AD97</f>
        <v>3950</v>
      </c>
      <c r="AE13" s="1895"/>
      <c r="AF13" s="1895">
        <f t="shared" ref="AF13:AP13" si="14">AF97</f>
        <v>5110</v>
      </c>
      <c r="AG13" s="1895">
        <f t="shared" si="14"/>
        <v>4700</v>
      </c>
      <c r="AH13" s="1895">
        <f t="shared" si="14"/>
        <v>5050</v>
      </c>
      <c r="AI13" s="1895">
        <f t="shared" si="14"/>
        <v>4780</v>
      </c>
      <c r="AJ13" s="1895">
        <f t="shared" si="14"/>
        <v>5050</v>
      </c>
      <c r="AK13" s="1895">
        <f t="shared" si="14"/>
        <v>5320</v>
      </c>
      <c r="AL13" s="1895">
        <f t="shared" si="14"/>
        <v>5410</v>
      </c>
      <c r="AM13" s="1895">
        <f t="shared" si="14"/>
        <v>5530</v>
      </c>
      <c r="AN13" s="1895">
        <f t="shared" si="14"/>
        <v>5510</v>
      </c>
      <c r="AO13" s="1895">
        <f t="shared" si="14"/>
        <v>5290</v>
      </c>
      <c r="AP13" s="1895">
        <f t="shared" si="14"/>
        <v>4850</v>
      </c>
      <c r="AQ13" s="1895">
        <f t="shared" ref="AQ13:AR13" si="15">AQ97</f>
        <v>3790</v>
      </c>
      <c r="AR13" s="1895">
        <f t="shared" si="15"/>
        <v>4300</v>
      </c>
    </row>
    <row r="14" spans="2:44" ht="30" hidden="1" customHeight="1" outlineLevel="1">
      <c r="B14" s="158"/>
      <c r="D14" s="1164" t="s">
        <v>257</v>
      </c>
      <c r="J14" s="1894"/>
      <c r="K14" s="1894"/>
      <c r="L14" s="1894"/>
      <c r="M14" s="1894"/>
      <c r="N14" s="1894"/>
      <c r="O14" s="1894"/>
      <c r="P14" s="1894"/>
      <c r="Q14" s="1894"/>
      <c r="R14" s="1894"/>
      <c r="S14" s="1894"/>
      <c r="T14" s="1894"/>
      <c r="U14" s="1894"/>
      <c r="V14" s="1894"/>
      <c r="W14" s="1894"/>
      <c r="X14" s="1895">
        <f>X116</f>
        <v>4940</v>
      </c>
      <c r="Y14" s="1895"/>
      <c r="Z14" s="1895">
        <f>Z116</f>
        <v>5089</v>
      </c>
      <c r="AA14" s="1895"/>
      <c r="AB14" s="1895">
        <f>AB116</f>
        <v>4925</v>
      </c>
      <c r="AC14" s="1895"/>
      <c r="AD14" s="1895">
        <f>AD116</f>
        <v>4990</v>
      </c>
      <c r="AE14" s="1895"/>
      <c r="AF14" s="1895">
        <f t="shared" ref="AF14:AP14" si="16">AF116</f>
        <v>4420</v>
      </c>
      <c r="AG14" s="1895">
        <f t="shared" si="16"/>
        <v>4910</v>
      </c>
      <c r="AH14" s="1895">
        <f t="shared" si="16"/>
        <v>1172</v>
      </c>
      <c r="AI14" s="1895">
        <f t="shared" si="16"/>
        <v>1610</v>
      </c>
      <c r="AJ14" s="1895">
        <f t="shared" si="16"/>
        <v>4070</v>
      </c>
      <c r="AK14" s="1895">
        <f t="shared" si="16"/>
        <v>3660</v>
      </c>
      <c r="AL14" s="1895">
        <f t="shared" si="16"/>
        <v>2120</v>
      </c>
      <c r="AM14" s="1895">
        <f t="shared" si="16"/>
        <v>1550</v>
      </c>
      <c r="AN14" s="1895">
        <f t="shared" si="16"/>
        <v>1760</v>
      </c>
      <c r="AO14" s="1895">
        <f t="shared" si="16"/>
        <v>8050</v>
      </c>
      <c r="AP14" s="1895">
        <f t="shared" si="16"/>
        <v>2700</v>
      </c>
      <c r="AQ14" s="1895">
        <f t="shared" ref="AQ14:AR14" si="17">AQ116</f>
        <v>2660</v>
      </c>
      <c r="AR14" s="1895">
        <f t="shared" si="17"/>
        <v>2080</v>
      </c>
    </row>
    <row r="15" spans="2:44" ht="30" customHeight="1" collapsed="1">
      <c r="B15" s="1917" t="s">
        <v>9</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c r="AR15" s="1917"/>
    </row>
    <row r="16" spans="2:44">
      <c r="B16" s="158"/>
      <c r="C16" s="158"/>
      <c r="D16" s="158"/>
      <c r="E16" s="158"/>
      <c r="F16" s="158"/>
      <c r="G16" s="158"/>
      <c r="H16" s="158"/>
      <c r="I16" s="158"/>
      <c r="J16" s="158"/>
      <c r="K16" s="158"/>
      <c r="L16" s="158"/>
      <c r="M16" s="158"/>
      <c r="N16" s="158"/>
      <c r="O16" s="283"/>
      <c r="P16" s="283"/>
      <c r="Q16" s="283"/>
      <c r="R16" s="283"/>
      <c r="S16" s="283"/>
      <c r="T16" s="283"/>
      <c r="U16" s="283"/>
      <c r="V16" s="283"/>
      <c r="W16" s="283"/>
      <c r="X16" s="284"/>
      <c r="Y16" s="285"/>
      <c r="Z16" s="285"/>
      <c r="AA16" s="285"/>
      <c r="AB16" s="285"/>
      <c r="AC16" s="285"/>
      <c r="AD16" s="285"/>
      <c r="AE16" s="285"/>
      <c r="AF16" s="285"/>
      <c r="AG16" s="1894"/>
      <c r="AH16" s="1894"/>
      <c r="AI16" s="1894"/>
      <c r="AJ16" s="1894"/>
      <c r="AK16" s="1894"/>
      <c r="AL16" s="1894"/>
      <c r="AM16" s="1894"/>
      <c r="AN16" s="1894"/>
      <c r="AO16" s="1894"/>
    </row>
    <row r="17" spans="2:45">
      <c r="B17" s="286" t="s">
        <v>927</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1894"/>
      <c r="AH17" s="1894"/>
      <c r="AI17" s="1894"/>
      <c r="AJ17" s="1894"/>
      <c r="AK17" s="1894"/>
      <c r="AL17" s="1894"/>
      <c r="AM17" s="1894"/>
      <c r="AN17" s="1894"/>
      <c r="AO17" s="1894"/>
    </row>
    <row r="18" spans="2:45">
      <c r="B18" s="158"/>
      <c r="C18" s="158"/>
      <c r="D18" s="158"/>
      <c r="E18" s="158"/>
      <c r="F18" s="158"/>
      <c r="G18" s="158"/>
      <c r="H18" s="158"/>
      <c r="I18" s="158"/>
      <c r="J18" s="158"/>
      <c r="K18" s="158"/>
      <c r="L18" s="158"/>
      <c r="M18" s="158"/>
      <c r="N18" s="158"/>
      <c r="O18" s="283"/>
      <c r="P18" s="283"/>
      <c r="Q18" s="283"/>
      <c r="R18" s="283"/>
      <c r="S18" s="283"/>
      <c r="T18" s="283"/>
      <c r="U18" s="283"/>
      <c r="V18" s="283"/>
      <c r="W18" s="283"/>
      <c r="X18" s="284"/>
      <c r="Y18" s="285"/>
      <c r="Z18" s="285"/>
      <c r="AA18" s="285"/>
      <c r="AB18" s="285"/>
      <c r="AC18" s="285"/>
      <c r="AD18" s="285"/>
      <c r="AE18" s="285"/>
      <c r="AF18" s="285"/>
      <c r="AG18" s="1894"/>
      <c r="AH18" s="1894"/>
      <c r="AI18" s="1894"/>
      <c r="AJ18" s="1894"/>
      <c r="AK18" s="1894"/>
      <c r="AL18" s="1894"/>
      <c r="AM18" s="1894"/>
      <c r="AN18" s="1894"/>
      <c r="AO18" s="1894"/>
    </row>
    <row r="19" spans="2:45">
      <c r="B19" s="286" t="s">
        <v>243</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1894"/>
      <c r="AH19" s="1894"/>
      <c r="AI19" s="1894"/>
      <c r="AJ19" s="1894"/>
      <c r="AK19" s="1894"/>
      <c r="AL19" s="1894"/>
      <c r="AM19" s="1894"/>
      <c r="AN19" s="1894"/>
      <c r="AO19" s="1894"/>
      <c r="AQ19" s="1896"/>
      <c r="AR19" s="1896"/>
      <c r="AS19" s="1896"/>
    </row>
    <row r="20" spans="2:45">
      <c r="B20" s="226"/>
      <c r="C20" s="226"/>
      <c r="D20" s="226"/>
      <c r="E20" s="226"/>
      <c r="F20" s="226"/>
      <c r="G20" s="226"/>
      <c r="H20" s="226"/>
      <c r="I20" s="226"/>
      <c r="J20" s="226"/>
      <c r="K20" s="226"/>
      <c r="L20" s="226"/>
      <c r="M20" s="226"/>
      <c r="N20" s="226"/>
      <c r="O20" s="859"/>
      <c r="P20" s="859"/>
      <c r="Q20" s="859"/>
      <c r="R20" s="859"/>
      <c r="S20" s="859"/>
      <c r="T20" s="859"/>
      <c r="U20" s="859"/>
      <c r="V20" s="859"/>
      <c r="W20" s="859"/>
      <c r="X20" s="860"/>
      <c r="Y20" s="860"/>
      <c r="Z20" s="860"/>
      <c r="AA20" s="860"/>
      <c r="AB20" s="860"/>
      <c r="AC20" s="860"/>
      <c r="AD20" s="860"/>
      <c r="AE20" s="860"/>
      <c r="AF20" s="860"/>
      <c r="AG20" s="1894"/>
      <c r="AH20" s="1894"/>
      <c r="AI20" s="1894"/>
      <c r="AJ20" s="1894"/>
      <c r="AK20" s="1894"/>
      <c r="AL20" s="1894"/>
      <c r="AM20" s="1894"/>
      <c r="AN20" s="1894"/>
      <c r="AO20" s="1894"/>
      <c r="AQ20" s="1896"/>
      <c r="AR20" s="1896"/>
      <c r="AS20" s="1896"/>
    </row>
    <row r="21" spans="2:45">
      <c r="B21" s="158"/>
      <c r="C21" s="158"/>
      <c r="D21" s="158"/>
      <c r="E21" s="158"/>
      <c r="F21" s="158"/>
      <c r="G21" s="158"/>
      <c r="H21" s="158"/>
      <c r="I21" s="158"/>
      <c r="J21" s="158"/>
      <c r="K21" s="158"/>
      <c r="L21" s="158"/>
      <c r="M21" s="158"/>
      <c r="N21" s="158"/>
      <c r="O21" s="283"/>
      <c r="P21" s="283"/>
      <c r="Q21" s="283"/>
      <c r="R21" s="283"/>
      <c r="S21" s="283"/>
      <c r="T21" s="283"/>
      <c r="U21" s="283"/>
      <c r="V21" s="283"/>
      <c r="W21" s="283"/>
      <c r="X21" s="1027">
        <v>2001</v>
      </c>
      <c r="Y21" s="1029"/>
      <c r="Z21" s="1027">
        <v>2003</v>
      </c>
      <c r="AA21" s="1029"/>
      <c r="AB21" s="1027">
        <v>2005</v>
      </c>
      <c r="AC21" s="1029"/>
      <c r="AD21" s="1027">
        <v>2007</v>
      </c>
      <c r="AE21" s="1029"/>
      <c r="AF21" s="1027">
        <v>2009</v>
      </c>
      <c r="AG21" s="1121">
        <v>2010</v>
      </c>
      <c r="AH21" s="1121">
        <v>2011</v>
      </c>
      <c r="AI21" s="1121">
        <v>2012</v>
      </c>
      <c r="AJ21" s="1121">
        <v>2013</v>
      </c>
      <c r="AK21" s="1121">
        <v>2014</v>
      </c>
      <c r="AL21" s="1121">
        <v>2015</v>
      </c>
      <c r="AM21" s="1121">
        <v>2016</v>
      </c>
      <c r="AN21" s="1121">
        <v>2017</v>
      </c>
      <c r="AO21" s="1121">
        <v>2018</v>
      </c>
      <c r="AP21" s="1121">
        <v>2019</v>
      </c>
      <c r="AQ21" s="1121">
        <v>2020</v>
      </c>
      <c r="AR21" s="1121">
        <v>2021</v>
      </c>
      <c r="AS21" s="1029"/>
    </row>
    <row r="22" spans="2:45">
      <c r="B22" s="276"/>
      <c r="C22" s="1385"/>
      <c r="D22" s="1385"/>
      <c r="E22" s="1385"/>
      <c r="F22" s="1385"/>
      <c r="G22" s="1385"/>
      <c r="H22" s="1385"/>
      <c r="I22" s="1385"/>
      <c r="J22" s="1385"/>
      <c r="K22" s="1385"/>
      <c r="L22" s="1385"/>
      <c r="M22" s="1385"/>
      <c r="N22" s="1385"/>
      <c r="O22" s="1385"/>
      <c r="P22" s="1388"/>
      <c r="Q22" s="1388"/>
      <c r="R22" s="1388"/>
      <c r="S22" s="1388"/>
      <c r="T22" s="1388"/>
      <c r="U22" s="1388"/>
      <c r="V22" s="1388"/>
      <c r="W22" s="1389"/>
      <c r="X22" s="1393"/>
      <c r="Y22" s="1393"/>
      <c r="Z22" s="1393"/>
      <c r="AA22" s="1393"/>
      <c r="AB22" s="1393"/>
      <c r="AC22" s="1393"/>
      <c r="AD22" s="1393"/>
      <c r="AE22" s="1393"/>
      <c r="AF22" s="1393"/>
      <c r="AG22" s="1894"/>
      <c r="AH22" s="1894"/>
      <c r="AI22" s="1894"/>
      <c r="AJ22" s="1894"/>
      <c r="AK22" s="1894"/>
      <c r="AL22" s="1894"/>
      <c r="AM22" s="1894"/>
      <c r="AN22" s="1894"/>
      <c r="AO22" s="1894"/>
      <c r="AQ22" s="1897"/>
      <c r="AR22" s="1897"/>
      <c r="AS22" s="1897"/>
    </row>
    <row r="23" spans="2:45">
      <c r="B23" s="158"/>
      <c r="C23" s="1164" t="s">
        <v>930</v>
      </c>
      <c r="J23" s="1894"/>
      <c r="K23" s="1894"/>
      <c r="L23" s="1894"/>
      <c r="M23" s="1894"/>
      <c r="N23" s="1894"/>
      <c r="O23" s="1894"/>
      <c r="P23" s="1894"/>
      <c r="Q23" s="1894"/>
      <c r="R23" s="1894"/>
      <c r="S23" s="1894"/>
      <c r="T23" s="1894"/>
      <c r="U23" s="1894"/>
      <c r="V23" s="1894"/>
      <c r="W23" s="1894"/>
      <c r="X23" s="1898">
        <v>4</v>
      </c>
      <c r="Y23" s="1898"/>
      <c r="Z23" s="1898">
        <v>3.6</v>
      </c>
      <c r="AA23" s="1898"/>
      <c r="AB23" s="1898">
        <v>3.8</v>
      </c>
      <c r="AC23" s="1898"/>
      <c r="AD23" s="1898">
        <v>4.5999999999999996</v>
      </c>
      <c r="AE23" s="1898"/>
      <c r="AF23" s="1898">
        <v>3.5</v>
      </c>
      <c r="AG23" s="1898">
        <v>4</v>
      </c>
      <c r="AH23" s="1898">
        <v>4.2</v>
      </c>
      <c r="AI23" s="1898">
        <v>4.5</v>
      </c>
      <c r="AJ23" s="1898">
        <v>4.8</v>
      </c>
      <c r="AK23" s="1898">
        <v>5.0999999999999996</v>
      </c>
      <c r="AL23" s="1898">
        <v>5.2</v>
      </c>
      <c r="AM23" s="1898">
        <v>5.2</v>
      </c>
      <c r="AN23" s="1898">
        <v>5.4</v>
      </c>
      <c r="AO23" s="1898">
        <v>5.2</v>
      </c>
      <c r="AP23" s="1898">
        <v>5.3</v>
      </c>
      <c r="AQ23" s="1898">
        <v>4.0999999999999996</v>
      </c>
      <c r="AR23" s="1898">
        <v>4.5</v>
      </c>
      <c r="AS23" s="1898"/>
    </row>
    <row r="24" spans="2:45">
      <c r="B24" s="158"/>
      <c r="C24" s="1164" t="s">
        <v>931</v>
      </c>
      <c r="J24" s="1894"/>
      <c r="K24" s="1894"/>
      <c r="L24" s="1894"/>
      <c r="M24" s="1894"/>
      <c r="N24" s="1894"/>
      <c r="O24" s="1894"/>
      <c r="P24" s="1894"/>
      <c r="Q24" s="1894"/>
      <c r="R24" s="1894"/>
      <c r="S24" s="1894"/>
      <c r="T24" s="1894"/>
      <c r="U24" s="1894"/>
      <c r="V24" s="1894"/>
      <c r="W24" s="1894"/>
      <c r="X24" s="1898">
        <v>7.7</v>
      </c>
      <c r="Y24" s="1898"/>
      <c r="Z24" s="1898">
        <v>5.7</v>
      </c>
      <c r="AA24" s="1898"/>
      <c r="AB24" s="1898">
        <v>5.6</v>
      </c>
      <c r="AC24" s="1898"/>
      <c r="AD24" s="1898">
        <v>6</v>
      </c>
      <c r="AE24" s="1898"/>
      <c r="AF24" s="1898">
        <v>4.7</v>
      </c>
      <c r="AG24" s="1898">
        <v>4.4000000000000004</v>
      </c>
      <c r="AH24" s="1898">
        <v>5.6</v>
      </c>
      <c r="AI24" s="1898">
        <v>5.9</v>
      </c>
      <c r="AJ24" s="1898">
        <v>5.9</v>
      </c>
      <c r="AK24" s="1898">
        <v>7</v>
      </c>
      <c r="AL24" s="1898">
        <v>6.5</v>
      </c>
      <c r="AM24" s="1898">
        <v>6.6</v>
      </c>
      <c r="AN24" s="1898">
        <v>7.8</v>
      </c>
      <c r="AO24" s="1898">
        <v>6.6</v>
      </c>
      <c r="AP24" s="1898">
        <v>6.8</v>
      </c>
      <c r="AQ24" s="1898">
        <v>10.199999999999999</v>
      </c>
      <c r="AR24" s="1898">
        <v>3.2</v>
      </c>
      <c r="AS24" s="1898"/>
    </row>
    <row r="25" spans="2:45">
      <c r="B25" s="158"/>
      <c r="C25" s="1164" t="s">
        <v>932</v>
      </c>
      <c r="J25" s="1894"/>
      <c r="K25" s="1894"/>
      <c r="L25" s="1894"/>
      <c r="M25" s="1894"/>
      <c r="N25" s="1894"/>
      <c r="O25" s="1894"/>
      <c r="P25" s="1894"/>
      <c r="Q25" s="1894"/>
      <c r="R25" s="1894"/>
      <c r="S25" s="1894"/>
      <c r="T25" s="1894"/>
      <c r="U25" s="1894"/>
      <c r="V25" s="1894"/>
      <c r="W25" s="1894"/>
      <c r="X25" s="1898">
        <v>14.5</v>
      </c>
      <c r="Y25" s="1898"/>
      <c r="Z25" s="1898">
        <v>11.7</v>
      </c>
      <c r="AA25" s="1898"/>
      <c r="AB25" s="1898">
        <v>12.4</v>
      </c>
      <c r="AC25" s="1898"/>
      <c r="AD25" s="1898">
        <v>12.9</v>
      </c>
      <c r="AE25" s="1898"/>
      <c r="AF25" s="1898">
        <v>11.1</v>
      </c>
      <c r="AG25" s="1898">
        <v>11.8</v>
      </c>
      <c r="AH25" s="1898">
        <v>12.7</v>
      </c>
      <c r="AI25" s="1898">
        <v>13.1</v>
      </c>
      <c r="AJ25" s="1898">
        <v>13.7</v>
      </c>
      <c r="AK25" s="1898">
        <v>14</v>
      </c>
      <c r="AL25" s="1898">
        <v>14.2</v>
      </c>
      <c r="AM25" s="1898">
        <v>14.1</v>
      </c>
      <c r="AN25" s="1898">
        <v>14.3</v>
      </c>
      <c r="AO25" s="1898">
        <v>12.8</v>
      </c>
      <c r="AP25" s="1898">
        <v>12.9</v>
      </c>
      <c r="AQ25" s="1898">
        <v>10.4</v>
      </c>
      <c r="AR25" s="1898">
        <v>11.3</v>
      </c>
      <c r="AS25" s="1898"/>
    </row>
    <row r="26" spans="2:45">
      <c r="B26" s="226"/>
      <c r="C26" s="1899"/>
      <c r="D26" s="1899"/>
      <c r="E26" s="1899"/>
      <c r="F26" s="1899"/>
      <c r="G26" s="1899"/>
      <c r="H26" s="1899"/>
      <c r="I26" s="1899"/>
      <c r="J26" s="1900"/>
      <c r="K26" s="1900"/>
      <c r="L26" s="1900"/>
      <c r="M26" s="1900"/>
      <c r="N26" s="1900"/>
      <c r="O26" s="1900"/>
      <c r="P26" s="1900"/>
      <c r="Q26" s="1900"/>
      <c r="R26" s="1900"/>
      <c r="S26" s="1900"/>
      <c r="T26" s="1900"/>
      <c r="U26" s="1900"/>
      <c r="V26" s="1900"/>
      <c r="W26" s="1900"/>
      <c r="X26" s="1901"/>
      <c r="Y26" s="1901"/>
      <c r="Z26" s="1901"/>
      <c r="AA26" s="1901"/>
      <c r="AB26" s="1901"/>
      <c r="AC26" s="1901"/>
      <c r="AD26" s="1901"/>
      <c r="AE26" s="1901"/>
      <c r="AF26" s="1901"/>
      <c r="AG26" s="1901"/>
      <c r="AH26" s="1901"/>
      <c r="AI26" s="1901"/>
      <c r="AJ26" s="1901"/>
      <c r="AK26" s="1901"/>
      <c r="AL26" s="1901"/>
      <c r="AM26" s="1901"/>
      <c r="AN26" s="1901"/>
      <c r="AO26" s="1901"/>
      <c r="AP26" s="1901"/>
      <c r="AQ26" s="1901"/>
      <c r="AR26" s="1901"/>
    </row>
    <row r="27" spans="2:45">
      <c r="B27" s="158"/>
      <c r="J27" s="1894"/>
      <c r="K27" s="1894"/>
      <c r="L27" s="1894"/>
      <c r="M27" s="1894"/>
      <c r="N27" s="1894"/>
      <c r="O27" s="1894"/>
      <c r="P27" s="1894"/>
      <c r="Q27" s="1894"/>
      <c r="R27" s="1894"/>
      <c r="S27" s="1894"/>
      <c r="T27" s="1894"/>
      <c r="U27" s="1894"/>
      <c r="V27" s="1894"/>
      <c r="W27" s="1894"/>
      <c r="X27" s="1895"/>
      <c r="Y27" s="1895"/>
      <c r="Z27" s="1895"/>
      <c r="AA27" s="1895"/>
      <c r="AB27" s="1895"/>
      <c r="AC27" s="1895"/>
      <c r="AD27" s="1895"/>
      <c r="AE27" s="1895"/>
      <c r="AF27" s="1895"/>
      <c r="AG27" s="1894"/>
      <c r="AH27" s="1894"/>
      <c r="AI27" s="1894"/>
      <c r="AJ27" s="1894"/>
      <c r="AK27" s="1894"/>
      <c r="AL27" s="1894"/>
      <c r="AM27" s="1894"/>
      <c r="AN27" s="1894"/>
      <c r="AO27" s="1894"/>
      <c r="AP27" s="1894"/>
      <c r="AQ27" s="1894"/>
      <c r="AR27" s="1894"/>
    </row>
    <row r="28" spans="2:45">
      <c r="B28" s="158" t="s">
        <v>1887</v>
      </c>
      <c r="J28" s="1894"/>
      <c r="K28" s="1894"/>
      <c r="L28" s="1894"/>
      <c r="M28" s="1894"/>
      <c r="N28" s="1894"/>
      <c r="O28" s="1894"/>
      <c r="P28" s="1894"/>
      <c r="Q28" s="1894"/>
      <c r="R28" s="1894"/>
      <c r="S28" s="1894"/>
      <c r="T28" s="1894"/>
      <c r="U28" s="1894"/>
      <c r="V28" s="1894"/>
      <c r="W28" s="1894"/>
      <c r="X28" s="1895"/>
      <c r="Y28" s="1895"/>
      <c r="Z28" s="1895"/>
      <c r="AA28" s="1895"/>
      <c r="AB28" s="1895"/>
      <c r="AC28" s="1895"/>
      <c r="AD28" s="1895"/>
      <c r="AE28" s="1895"/>
      <c r="AF28" s="1895"/>
      <c r="AG28" s="1894"/>
      <c r="AH28" s="1894"/>
      <c r="AI28" s="1894"/>
      <c r="AJ28" s="1894"/>
      <c r="AK28" s="1894"/>
      <c r="AL28" s="1894"/>
      <c r="AM28" s="1894"/>
      <c r="AN28" s="1894"/>
      <c r="AO28" s="1894"/>
    </row>
    <row r="29" spans="2:45" ht="12.95" hidden="1" customHeight="1">
      <c r="B29" s="158"/>
      <c r="J29" s="1894"/>
      <c r="K29" s="1894"/>
      <c r="L29" s="1894"/>
      <c r="M29" s="1894"/>
      <c r="N29" s="1894"/>
      <c r="O29" s="1894"/>
      <c r="P29" s="1894"/>
      <c r="Q29" s="1894"/>
      <c r="R29" s="1894"/>
      <c r="S29" s="1894"/>
      <c r="T29" s="1894"/>
      <c r="U29" s="1894"/>
      <c r="V29" s="1894"/>
      <c r="W29" s="1894"/>
      <c r="X29" s="1895"/>
      <c r="Y29" s="1895"/>
      <c r="Z29" s="1895"/>
      <c r="AA29" s="1895"/>
      <c r="AB29" s="1895"/>
      <c r="AC29" s="1895"/>
      <c r="AD29" s="1895"/>
      <c r="AE29" s="1895"/>
      <c r="AF29" s="1895"/>
      <c r="AG29" s="1894"/>
      <c r="AH29" s="1894"/>
      <c r="AI29" s="1894"/>
      <c r="AJ29" s="1894"/>
      <c r="AK29" s="1894"/>
      <c r="AL29" s="1894"/>
      <c r="AM29" s="1894"/>
      <c r="AN29" s="1894"/>
      <c r="AO29" s="1894"/>
    </row>
    <row r="30" spans="2:45" ht="12.95" hidden="1" customHeight="1">
      <c r="B30" s="158"/>
      <c r="J30" s="1894"/>
      <c r="K30" s="1894"/>
      <c r="L30" s="1894"/>
      <c r="M30" s="1894"/>
      <c r="N30" s="1894"/>
      <c r="O30" s="1894"/>
      <c r="P30" s="1894"/>
      <c r="Q30" s="1894"/>
      <c r="R30" s="1894"/>
      <c r="S30" s="1894"/>
      <c r="T30" s="1894"/>
      <c r="U30" s="1894"/>
      <c r="V30" s="1894"/>
      <c r="W30" s="1894"/>
      <c r="X30" s="1895"/>
      <c r="Y30" s="1895"/>
      <c r="Z30" s="1895"/>
      <c r="AA30" s="1895"/>
      <c r="AB30" s="1895"/>
      <c r="AC30" s="1895"/>
      <c r="AD30" s="1895"/>
      <c r="AE30" s="1895"/>
      <c r="AF30" s="1895"/>
      <c r="AG30" s="1894"/>
      <c r="AH30" s="1894"/>
      <c r="AI30" s="1894"/>
      <c r="AJ30" s="1894"/>
      <c r="AK30" s="1894"/>
      <c r="AL30" s="1894"/>
      <c r="AM30" s="1894"/>
      <c r="AN30" s="1894"/>
      <c r="AO30" s="1894"/>
    </row>
    <row r="31" spans="2:45" ht="12.95" hidden="1" customHeight="1">
      <c r="B31" s="158"/>
      <c r="J31" s="1894"/>
      <c r="K31" s="1894"/>
      <c r="L31" s="1894"/>
      <c r="M31" s="1894"/>
      <c r="N31" s="1894"/>
      <c r="O31" s="1894"/>
      <c r="P31" s="1894"/>
      <c r="Q31" s="1894"/>
      <c r="R31" s="1894"/>
      <c r="S31" s="1894"/>
      <c r="T31" s="1894"/>
      <c r="U31" s="1894"/>
      <c r="V31" s="1894"/>
      <c r="W31" s="1894"/>
      <c r="X31" s="1895"/>
      <c r="Y31" s="1895"/>
      <c r="Z31" s="1895"/>
      <c r="AA31" s="1895"/>
      <c r="AB31" s="1895"/>
      <c r="AC31" s="1895"/>
      <c r="AD31" s="1895"/>
      <c r="AE31" s="1895"/>
      <c r="AF31" s="1895"/>
      <c r="AG31" s="1894"/>
      <c r="AH31" s="1894"/>
      <c r="AI31" s="1894"/>
      <c r="AJ31" s="1894"/>
      <c r="AK31" s="1894"/>
      <c r="AL31" s="1894"/>
      <c r="AM31" s="1894"/>
      <c r="AN31" s="1894"/>
      <c r="AO31" s="1894"/>
    </row>
    <row r="32" spans="2:45" ht="12.95" hidden="1" customHeight="1">
      <c r="B32" s="158"/>
      <c r="J32" s="1894"/>
      <c r="K32" s="1894"/>
      <c r="L32" s="1894"/>
      <c r="M32" s="1894"/>
      <c r="N32" s="1894"/>
      <c r="O32" s="1894"/>
      <c r="P32" s="1894"/>
      <c r="Q32" s="1894"/>
      <c r="R32" s="1894"/>
      <c r="S32" s="1894"/>
      <c r="T32" s="1894"/>
      <c r="U32" s="1894"/>
      <c r="V32" s="1894"/>
      <c r="W32" s="1894"/>
      <c r="X32" s="1895"/>
      <c r="Y32" s="1895"/>
      <c r="Z32" s="1895"/>
      <c r="AA32" s="1895"/>
      <c r="AB32" s="1895"/>
      <c r="AC32" s="1895"/>
      <c r="AD32" s="1895"/>
      <c r="AE32" s="1895"/>
      <c r="AF32" s="1895"/>
      <c r="AG32" s="1894"/>
      <c r="AH32" s="1894"/>
      <c r="AI32" s="1894"/>
      <c r="AJ32" s="1894"/>
      <c r="AK32" s="1894"/>
      <c r="AL32" s="1894"/>
      <c r="AM32" s="1894"/>
      <c r="AN32" s="1894"/>
      <c r="AO32" s="1894"/>
    </row>
    <row r="33" spans="2:41" ht="12.95" hidden="1" customHeight="1">
      <c r="B33" s="158"/>
      <c r="J33" s="1894"/>
      <c r="K33" s="1894"/>
      <c r="L33" s="1894"/>
      <c r="M33" s="1894"/>
      <c r="N33" s="1894"/>
      <c r="O33" s="1894"/>
      <c r="P33" s="1894"/>
      <c r="Q33" s="1894"/>
      <c r="R33" s="1894"/>
      <c r="S33" s="1894"/>
      <c r="T33" s="1894"/>
      <c r="U33" s="1894"/>
      <c r="V33" s="1894"/>
      <c r="W33" s="1894"/>
      <c r="X33" s="1895"/>
      <c r="Y33" s="1895"/>
      <c r="Z33" s="1895"/>
      <c r="AA33" s="1895"/>
      <c r="AB33" s="1895"/>
      <c r="AC33" s="1895"/>
      <c r="AD33" s="1895"/>
      <c r="AE33" s="1895"/>
      <c r="AF33" s="1895"/>
      <c r="AG33" s="1894"/>
      <c r="AH33" s="1894"/>
      <c r="AI33" s="1894"/>
      <c r="AJ33" s="1894"/>
      <c r="AK33" s="1894"/>
      <c r="AL33" s="1894"/>
      <c r="AM33" s="1894"/>
      <c r="AN33" s="1894"/>
      <c r="AO33" s="1894"/>
    </row>
    <row r="34" spans="2:41" ht="12.95" hidden="1" customHeight="1">
      <c r="B34" s="158"/>
      <c r="J34" s="1894"/>
      <c r="K34" s="1894"/>
      <c r="L34" s="1894"/>
      <c r="M34" s="1894"/>
      <c r="N34" s="1894"/>
      <c r="O34" s="1894"/>
      <c r="P34" s="1894"/>
      <c r="Q34" s="1894"/>
      <c r="R34" s="1894"/>
      <c r="S34" s="1894"/>
      <c r="T34" s="1894"/>
      <c r="U34" s="1894"/>
      <c r="V34" s="1894"/>
      <c r="W34" s="1894"/>
      <c r="X34" s="1895"/>
      <c r="Y34" s="1895"/>
      <c r="Z34" s="1895"/>
      <c r="AA34" s="1895"/>
      <c r="AB34" s="1895"/>
      <c r="AC34" s="1895"/>
      <c r="AD34" s="1895"/>
      <c r="AE34" s="1895"/>
      <c r="AF34" s="1895"/>
      <c r="AG34" s="1894"/>
      <c r="AH34" s="1894"/>
      <c r="AI34" s="1894"/>
      <c r="AJ34" s="1894"/>
      <c r="AK34" s="1894"/>
      <c r="AL34" s="1894"/>
      <c r="AM34" s="1894"/>
      <c r="AN34" s="1894"/>
      <c r="AO34" s="1894"/>
    </row>
    <row r="35" spans="2:41" ht="12.95" hidden="1" customHeight="1">
      <c r="B35" s="158"/>
      <c r="J35" s="1894"/>
      <c r="K35" s="1894"/>
      <c r="L35" s="1894"/>
      <c r="M35" s="1894"/>
      <c r="N35" s="1894"/>
      <c r="O35" s="1894"/>
      <c r="P35" s="1894"/>
      <c r="Q35" s="1894"/>
      <c r="R35" s="1894"/>
      <c r="S35" s="1894"/>
      <c r="T35" s="1894"/>
      <c r="U35" s="1894"/>
      <c r="V35" s="1894"/>
      <c r="W35" s="1894"/>
      <c r="X35" s="1895"/>
      <c r="Y35" s="1895"/>
      <c r="Z35" s="1895"/>
      <c r="AA35" s="1895"/>
      <c r="AB35" s="1895"/>
      <c r="AC35" s="1895"/>
      <c r="AD35" s="1895"/>
      <c r="AE35" s="1895"/>
      <c r="AF35" s="1895"/>
      <c r="AG35" s="1894"/>
      <c r="AH35" s="1894"/>
      <c r="AI35" s="1894"/>
      <c r="AJ35" s="1894"/>
      <c r="AK35" s="1894"/>
      <c r="AL35" s="1894"/>
      <c r="AM35" s="1894"/>
      <c r="AN35" s="1894"/>
      <c r="AO35" s="1894"/>
    </row>
    <row r="36" spans="2:41" ht="12.95" hidden="1" customHeight="1">
      <c r="B36" s="158"/>
      <c r="J36" s="1894"/>
      <c r="K36" s="1894"/>
      <c r="L36" s="1894"/>
      <c r="M36" s="1894"/>
      <c r="N36" s="1894"/>
      <c r="O36" s="1894"/>
      <c r="P36" s="1894"/>
      <c r="Q36" s="1894"/>
      <c r="R36" s="1894"/>
      <c r="S36" s="1894"/>
      <c r="T36" s="1894"/>
      <c r="U36" s="1894"/>
      <c r="V36" s="1894"/>
      <c r="W36" s="1894"/>
      <c r="X36" s="1895"/>
      <c r="Y36" s="1895"/>
      <c r="Z36" s="1895"/>
      <c r="AA36" s="1895"/>
      <c r="AB36" s="1895"/>
      <c r="AC36" s="1895"/>
      <c r="AD36" s="1895"/>
      <c r="AE36" s="1895"/>
      <c r="AF36" s="1895"/>
      <c r="AG36" s="1894"/>
      <c r="AH36" s="1894"/>
      <c r="AI36" s="1894"/>
      <c r="AJ36" s="1894"/>
      <c r="AK36" s="1894"/>
      <c r="AL36" s="1894"/>
      <c r="AM36" s="1894"/>
      <c r="AN36" s="1894"/>
      <c r="AO36" s="1894"/>
    </row>
    <row r="37" spans="2:41" ht="12.95" hidden="1" customHeight="1">
      <c r="B37" s="158"/>
      <c r="J37" s="1894"/>
      <c r="K37" s="1894"/>
      <c r="L37" s="1894"/>
      <c r="M37" s="1894"/>
      <c r="N37" s="1894"/>
      <c r="O37" s="1894"/>
      <c r="P37" s="1894"/>
      <c r="Q37" s="1894"/>
      <c r="R37" s="1894"/>
      <c r="S37" s="1894"/>
      <c r="T37" s="1894"/>
      <c r="U37" s="1894"/>
      <c r="V37" s="1894"/>
      <c r="W37" s="1894"/>
      <c r="X37" s="1895"/>
      <c r="Y37" s="1895"/>
      <c r="Z37" s="1895"/>
      <c r="AA37" s="1895"/>
      <c r="AB37" s="1895"/>
      <c r="AC37" s="1895"/>
      <c r="AD37" s="1895"/>
      <c r="AE37" s="1895"/>
      <c r="AF37" s="1895"/>
      <c r="AG37" s="1894"/>
      <c r="AH37" s="1894"/>
      <c r="AI37" s="1894"/>
      <c r="AJ37" s="1894"/>
      <c r="AK37" s="1894"/>
      <c r="AL37" s="1894"/>
      <c r="AM37" s="1894"/>
      <c r="AN37" s="1894"/>
      <c r="AO37" s="1894"/>
    </row>
    <row r="38" spans="2:41" ht="12.95" hidden="1" customHeight="1">
      <c r="B38" s="158"/>
      <c r="J38" s="1894"/>
      <c r="K38" s="1894"/>
      <c r="L38" s="1894"/>
      <c r="M38" s="1894"/>
      <c r="N38" s="1894"/>
      <c r="O38" s="1894"/>
      <c r="P38" s="1894"/>
      <c r="Q38" s="1894"/>
      <c r="R38" s="1894"/>
      <c r="S38" s="1894"/>
      <c r="T38" s="1894"/>
      <c r="U38" s="1894"/>
      <c r="V38" s="1894"/>
      <c r="W38" s="1894"/>
      <c r="X38" s="1895"/>
      <c r="Y38" s="1895"/>
      <c r="Z38" s="1895"/>
      <c r="AA38" s="1895"/>
      <c r="AB38" s="1895"/>
      <c r="AC38" s="1895"/>
      <c r="AD38" s="1895"/>
      <c r="AE38" s="1895"/>
      <c r="AF38" s="1895"/>
      <c r="AG38" s="1894"/>
      <c r="AH38" s="1894"/>
      <c r="AI38" s="1894"/>
      <c r="AJ38" s="1894"/>
      <c r="AK38" s="1894"/>
      <c r="AL38" s="1894"/>
      <c r="AM38" s="1894"/>
      <c r="AN38" s="1894"/>
      <c r="AO38" s="1894"/>
    </row>
    <row r="39" spans="2:41" ht="12.95" hidden="1" customHeight="1">
      <c r="B39" s="158"/>
      <c r="J39" s="1894"/>
      <c r="K39" s="1894"/>
      <c r="L39" s="1894"/>
      <c r="M39" s="1894"/>
      <c r="N39" s="1894"/>
      <c r="O39" s="1894"/>
      <c r="P39" s="1894"/>
      <c r="Q39" s="1894"/>
      <c r="R39" s="1894"/>
      <c r="S39" s="1894"/>
      <c r="T39" s="1894"/>
      <c r="U39" s="1894"/>
      <c r="V39" s="1894"/>
      <c r="W39" s="1894"/>
      <c r="X39" s="1895"/>
      <c r="Y39" s="1895"/>
      <c r="Z39" s="1895"/>
      <c r="AA39" s="1895"/>
      <c r="AB39" s="1895"/>
      <c r="AC39" s="1895"/>
      <c r="AD39" s="1895"/>
      <c r="AE39" s="1895"/>
      <c r="AF39" s="1895"/>
      <c r="AG39" s="1894"/>
      <c r="AH39" s="1894"/>
      <c r="AI39" s="1894"/>
      <c r="AJ39" s="1894"/>
      <c r="AK39" s="1894"/>
      <c r="AL39" s="1894"/>
      <c r="AM39" s="1894"/>
      <c r="AN39" s="1894"/>
      <c r="AO39" s="1894"/>
    </row>
    <row r="40" spans="2:41" ht="12.95" hidden="1" customHeight="1">
      <c r="B40" s="158"/>
      <c r="J40" s="1894"/>
      <c r="K40" s="1894"/>
      <c r="L40" s="1894"/>
      <c r="M40" s="1894"/>
      <c r="N40" s="1894"/>
      <c r="O40" s="1894"/>
      <c r="P40" s="1894"/>
      <c r="Q40" s="1894"/>
      <c r="R40" s="1894"/>
      <c r="S40" s="1894"/>
      <c r="T40" s="1894"/>
      <c r="U40" s="1894"/>
      <c r="V40" s="1894"/>
      <c r="W40" s="1894"/>
      <c r="X40" s="1895"/>
      <c r="Y40" s="1895"/>
      <c r="Z40" s="1895"/>
      <c r="AA40" s="1895"/>
      <c r="AB40" s="1895"/>
      <c r="AC40" s="1895"/>
      <c r="AD40" s="1895"/>
      <c r="AE40" s="1895"/>
      <c r="AF40" s="1895"/>
      <c r="AG40" s="1894"/>
      <c r="AH40" s="1894"/>
      <c r="AI40" s="1894"/>
      <c r="AJ40" s="1894"/>
      <c r="AK40" s="1894"/>
      <c r="AL40" s="1894"/>
      <c r="AM40" s="1894"/>
      <c r="AN40" s="1894"/>
      <c r="AO40" s="1894"/>
    </row>
    <row r="41" spans="2:41" ht="12.95" hidden="1" customHeight="1">
      <c r="B41" s="158"/>
      <c r="J41" s="1894"/>
      <c r="K41" s="1894"/>
      <c r="L41" s="1894"/>
      <c r="M41" s="1894"/>
      <c r="N41" s="1894"/>
      <c r="O41" s="1894"/>
      <c r="P41" s="1894"/>
      <c r="Q41" s="1894"/>
      <c r="R41" s="1894"/>
      <c r="S41" s="1894"/>
      <c r="T41" s="1894"/>
      <c r="U41" s="1894"/>
      <c r="V41" s="1894"/>
      <c r="W41" s="1894"/>
      <c r="X41" s="1895"/>
      <c r="Y41" s="1895"/>
      <c r="Z41" s="1895"/>
      <c r="AA41" s="1895"/>
      <c r="AB41" s="1895"/>
      <c r="AC41" s="1895"/>
      <c r="AD41" s="1895"/>
      <c r="AE41" s="1895"/>
      <c r="AF41" s="1895"/>
      <c r="AG41" s="1894"/>
      <c r="AH41" s="1894"/>
      <c r="AI41" s="1894"/>
      <c r="AJ41" s="1894"/>
      <c r="AK41" s="1894"/>
      <c r="AL41" s="1894"/>
      <c r="AM41" s="1894"/>
      <c r="AN41" s="1894"/>
      <c r="AO41" s="1894"/>
    </row>
    <row r="42" spans="2:41" ht="12.95" hidden="1" customHeight="1">
      <c r="B42" s="158"/>
      <c r="J42" s="1894"/>
      <c r="K42" s="1894"/>
      <c r="L42" s="1894"/>
      <c r="M42" s="1894"/>
      <c r="N42" s="1894"/>
      <c r="O42" s="1894"/>
      <c r="P42" s="1894"/>
      <c r="Q42" s="1894"/>
      <c r="R42" s="1894"/>
      <c r="S42" s="1894"/>
      <c r="T42" s="1894"/>
      <c r="U42" s="1894"/>
      <c r="V42" s="1894"/>
      <c r="W42" s="1894"/>
      <c r="X42" s="1895"/>
      <c r="Y42" s="1895"/>
      <c r="Z42" s="1895"/>
      <c r="AA42" s="1895"/>
      <c r="AB42" s="1895"/>
      <c r="AC42" s="1895"/>
      <c r="AD42" s="1895"/>
      <c r="AE42" s="1895"/>
      <c r="AF42" s="1895"/>
      <c r="AG42" s="1894"/>
      <c r="AH42" s="1894"/>
      <c r="AI42" s="1894"/>
      <c r="AJ42" s="1894"/>
      <c r="AK42" s="1894"/>
      <c r="AL42" s="1894"/>
      <c r="AM42" s="1894"/>
      <c r="AN42" s="1894"/>
      <c r="AO42" s="1894"/>
    </row>
    <row r="43" spans="2:41" ht="12.95" hidden="1" customHeight="1">
      <c r="B43" s="158"/>
      <c r="J43" s="1894"/>
      <c r="K43" s="1894"/>
      <c r="L43" s="1894"/>
      <c r="M43" s="1894"/>
      <c r="N43" s="1894"/>
      <c r="O43" s="1894"/>
      <c r="P43" s="1894"/>
      <c r="Q43" s="1894"/>
      <c r="R43" s="1894"/>
      <c r="S43" s="1894"/>
      <c r="T43" s="1894"/>
      <c r="U43" s="1894"/>
      <c r="V43" s="1894"/>
      <c r="W43" s="1894"/>
      <c r="X43" s="1895"/>
      <c r="Y43" s="1895"/>
      <c r="Z43" s="1895"/>
      <c r="AA43" s="1895"/>
      <c r="AB43" s="1895"/>
      <c r="AC43" s="1895"/>
      <c r="AD43" s="1895"/>
      <c r="AE43" s="1895"/>
      <c r="AF43" s="1895"/>
      <c r="AG43" s="1894"/>
      <c r="AH43" s="1894"/>
      <c r="AI43" s="1894"/>
      <c r="AJ43" s="1894"/>
      <c r="AK43" s="1894"/>
      <c r="AL43" s="1894"/>
      <c r="AM43" s="1894"/>
      <c r="AN43" s="1894"/>
      <c r="AO43" s="1894"/>
    </row>
    <row r="44" spans="2:41" ht="12.95" hidden="1" customHeight="1">
      <c r="B44" s="158"/>
      <c r="J44" s="1894"/>
      <c r="K44" s="1894"/>
      <c r="L44" s="1894"/>
      <c r="M44" s="1894"/>
      <c r="N44" s="1894"/>
      <c r="O44" s="1894"/>
      <c r="P44" s="1894"/>
      <c r="Q44" s="1894"/>
      <c r="R44" s="1894"/>
      <c r="S44" s="1894"/>
      <c r="T44" s="1894"/>
      <c r="U44" s="1894"/>
      <c r="V44" s="1894"/>
      <c r="W44" s="1894"/>
      <c r="X44" s="1895"/>
      <c r="Y44" s="1895"/>
      <c r="Z44" s="1895"/>
      <c r="AA44" s="1895"/>
      <c r="AB44" s="1895"/>
      <c r="AC44" s="1895"/>
      <c r="AD44" s="1895"/>
      <c r="AE44" s="1895"/>
      <c r="AF44" s="1895"/>
      <c r="AG44" s="1894"/>
      <c r="AH44" s="1894"/>
      <c r="AI44" s="1894"/>
      <c r="AJ44" s="1894"/>
      <c r="AK44" s="1894"/>
      <c r="AL44" s="1894"/>
      <c r="AM44" s="1894"/>
      <c r="AN44" s="1894"/>
      <c r="AO44" s="1894"/>
    </row>
    <row r="45" spans="2:41" ht="12.95" hidden="1" customHeight="1">
      <c r="B45" s="158"/>
      <c r="J45" s="1894"/>
      <c r="K45" s="1894"/>
      <c r="L45" s="1894"/>
      <c r="M45" s="1894"/>
      <c r="N45" s="1894"/>
      <c r="O45" s="1894"/>
      <c r="P45" s="1894"/>
      <c r="Q45" s="1894"/>
      <c r="R45" s="1894"/>
      <c r="S45" s="1894"/>
      <c r="T45" s="1894"/>
      <c r="U45" s="1894"/>
      <c r="V45" s="1894"/>
      <c r="W45" s="1894"/>
      <c r="X45" s="1895"/>
      <c r="Y45" s="1895"/>
      <c r="Z45" s="1895"/>
      <c r="AA45" s="1895"/>
      <c r="AB45" s="1895"/>
      <c r="AC45" s="1895"/>
      <c r="AD45" s="1895"/>
      <c r="AE45" s="1895"/>
      <c r="AF45" s="1895"/>
      <c r="AG45" s="1894"/>
      <c r="AH45" s="1894"/>
      <c r="AI45" s="1894"/>
      <c r="AJ45" s="1894"/>
      <c r="AK45" s="1894"/>
      <c r="AL45" s="1894"/>
      <c r="AM45" s="1894"/>
      <c r="AN45" s="1894"/>
      <c r="AO45" s="1894"/>
    </row>
    <row r="46" spans="2:41" ht="12.95" hidden="1" customHeight="1">
      <c r="B46" s="158"/>
      <c r="J46" s="1894"/>
      <c r="K46" s="1894"/>
      <c r="L46" s="1894"/>
      <c r="M46" s="1894"/>
      <c r="N46" s="1894"/>
      <c r="O46" s="1894"/>
      <c r="P46" s="1894"/>
      <c r="Q46" s="1894"/>
      <c r="R46" s="1894"/>
      <c r="S46" s="1894"/>
      <c r="T46" s="1894"/>
      <c r="U46" s="1894"/>
      <c r="V46" s="1894"/>
      <c r="W46" s="1894"/>
      <c r="X46" s="1895"/>
      <c r="Y46" s="1895"/>
      <c r="Z46" s="1895"/>
      <c r="AA46" s="1895"/>
      <c r="AB46" s="1895"/>
      <c r="AC46" s="1895"/>
      <c r="AD46" s="1895"/>
      <c r="AE46" s="1895"/>
      <c r="AF46" s="1895"/>
      <c r="AG46" s="1894"/>
      <c r="AH46" s="1894"/>
      <c r="AI46" s="1894"/>
      <c r="AJ46" s="1894"/>
      <c r="AK46" s="1894"/>
      <c r="AL46" s="1894"/>
      <c r="AM46" s="1894"/>
      <c r="AN46" s="1894"/>
      <c r="AO46" s="1894"/>
    </row>
    <row r="47" spans="2:41" ht="12.95" hidden="1" customHeight="1">
      <c r="B47" s="158"/>
      <c r="J47" s="1894"/>
      <c r="K47" s="1894"/>
      <c r="L47" s="1894"/>
      <c r="M47" s="1894"/>
      <c r="N47" s="1894"/>
      <c r="O47" s="1894"/>
      <c r="P47" s="1894"/>
      <c r="Q47" s="1894"/>
      <c r="R47" s="1894"/>
      <c r="S47" s="1894"/>
      <c r="T47" s="1894"/>
      <c r="U47" s="1894"/>
      <c r="V47" s="1894"/>
      <c r="W47" s="1894"/>
      <c r="X47" s="1895"/>
      <c r="Y47" s="1895"/>
      <c r="Z47" s="1895"/>
      <c r="AA47" s="1895"/>
      <c r="AB47" s="1895"/>
      <c r="AC47" s="1895"/>
      <c r="AD47" s="1895"/>
      <c r="AE47" s="1895"/>
      <c r="AF47" s="1895"/>
      <c r="AG47" s="1894"/>
      <c r="AH47" s="1894"/>
      <c r="AI47" s="1894"/>
      <c r="AJ47" s="1894"/>
      <c r="AK47" s="1894"/>
      <c r="AL47" s="1894"/>
      <c r="AM47" s="1894"/>
      <c r="AN47" s="1894"/>
      <c r="AO47" s="1894"/>
    </row>
    <row r="48" spans="2:41" ht="34.5" hidden="1" customHeight="1">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39"/>
      <c r="AB48" s="1939"/>
      <c r="AC48" s="1939"/>
      <c r="AD48" s="1939"/>
      <c r="AE48" s="1939"/>
      <c r="AF48" s="1939"/>
      <c r="AG48" s="1894"/>
      <c r="AH48" s="1894"/>
      <c r="AI48" s="1894"/>
      <c r="AJ48" s="1894"/>
      <c r="AK48" s="1894"/>
      <c r="AL48" s="1894"/>
      <c r="AM48" s="1894"/>
      <c r="AN48" s="1894"/>
      <c r="AO48" s="1894"/>
    </row>
    <row r="49" spans="2:44" ht="36" hidden="1" customHeight="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939"/>
      <c r="AB49" s="1939"/>
      <c r="AC49" s="1939"/>
      <c r="AD49" s="1939"/>
      <c r="AE49" s="1939"/>
      <c r="AF49" s="1939"/>
      <c r="AG49" s="1894"/>
      <c r="AH49" s="1894"/>
      <c r="AI49" s="1894"/>
      <c r="AJ49" s="1894"/>
      <c r="AK49" s="1894"/>
      <c r="AL49" s="1894"/>
      <c r="AM49" s="1894"/>
      <c r="AN49" s="1894"/>
      <c r="AO49" s="1894"/>
    </row>
    <row r="50" spans="2:44" ht="12.95" hidden="1" customHeight="1">
      <c r="B50" s="1920"/>
      <c r="C50" s="1921"/>
      <c r="D50" s="1921"/>
      <c r="E50" s="1921"/>
      <c r="F50" s="1921"/>
      <c r="G50" s="1921"/>
      <c r="H50" s="1921"/>
      <c r="I50" s="1921"/>
      <c r="J50" s="1921"/>
      <c r="K50" s="1921"/>
      <c r="L50" s="1921"/>
      <c r="M50" s="1921"/>
      <c r="N50" s="1921"/>
      <c r="O50" s="1921"/>
      <c r="P50" s="1921"/>
      <c r="Q50" s="1921"/>
      <c r="R50" s="1921"/>
      <c r="S50" s="1921"/>
      <c r="T50" s="1921"/>
      <c r="U50" s="1921"/>
      <c r="V50" s="1921"/>
      <c r="W50" s="1921"/>
      <c r="X50" s="1921"/>
      <c r="Y50" s="1921"/>
      <c r="Z50" s="1921"/>
      <c r="AA50" s="1895"/>
      <c r="AB50" s="1895"/>
      <c r="AC50" s="1895"/>
      <c r="AD50" s="1895"/>
      <c r="AE50" s="1895"/>
      <c r="AF50" s="1895"/>
      <c r="AG50" s="1894"/>
      <c r="AH50" s="1894"/>
      <c r="AI50" s="1894"/>
      <c r="AJ50" s="1894"/>
      <c r="AK50" s="1894"/>
      <c r="AL50" s="1894"/>
      <c r="AM50" s="1894"/>
      <c r="AN50" s="1894"/>
      <c r="AO50" s="1894"/>
    </row>
    <row r="51" spans="2:44" ht="12.95" hidden="1" customHeight="1">
      <c r="B51" s="158"/>
      <c r="J51" s="1894"/>
      <c r="K51" s="1894"/>
      <c r="L51" s="1894"/>
      <c r="M51" s="1894"/>
      <c r="N51" s="1894"/>
      <c r="O51" s="1894"/>
      <c r="P51" s="1894"/>
      <c r="Q51" s="1894"/>
      <c r="R51" s="1894"/>
      <c r="S51" s="1894"/>
      <c r="T51" s="1894"/>
      <c r="U51" s="1894"/>
      <c r="V51" s="1894"/>
      <c r="W51" s="1894"/>
      <c r="X51" s="1895"/>
      <c r="Y51" s="1895"/>
      <c r="Z51" s="1895"/>
      <c r="AA51" s="1895"/>
      <c r="AB51" s="1895"/>
      <c r="AC51" s="1895"/>
      <c r="AD51" s="1895"/>
      <c r="AE51" s="1895"/>
      <c r="AF51" s="1895"/>
      <c r="AG51" s="1894"/>
      <c r="AH51" s="1894"/>
      <c r="AI51" s="1894"/>
      <c r="AJ51" s="1894"/>
      <c r="AK51" s="1894"/>
      <c r="AL51" s="1894"/>
      <c r="AM51" s="1894"/>
      <c r="AN51" s="1894"/>
      <c r="AO51" s="1894"/>
    </row>
    <row r="52" spans="2:44" ht="12.95" hidden="1" customHeight="1">
      <c r="B52" s="158"/>
      <c r="J52" s="1894"/>
      <c r="K52" s="1894"/>
      <c r="L52" s="1894"/>
      <c r="M52" s="1894"/>
      <c r="N52" s="1894"/>
      <c r="O52" s="1894"/>
      <c r="P52" s="1894"/>
      <c r="Q52" s="1894"/>
      <c r="R52" s="1894"/>
      <c r="S52" s="1894"/>
      <c r="T52" s="1894"/>
      <c r="U52" s="1894"/>
      <c r="V52" s="1894"/>
      <c r="W52" s="1894"/>
      <c r="X52" s="1895"/>
      <c r="Y52" s="1895"/>
      <c r="Z52" s="1895"/>
      <c r="AA52" s="1895"/>
      <c r="AB52" s="1895"/>
      <c r="AC52" s="1895"/>
      <c r="AD52" s="1895"/>
      <c r="AE52" s="1895"/>
      <c r="AF52" s="1895"/>
      <c r="AG52" s="1894"/>
      <c r="AH52" s="1894"/>
      <c r="AI52" s="1894"/>
      <c r="AJ52" s="1894"/>
      <c r="AK52" s="1894"/>
      <c r="AL52" s="1894"/>
      <c r="AM52" s="1894"/>
      <c r="AN52" s="1894"/>
      <c r="AO52" s="1894"/>
    </row>
    <row r="53" spans="2:44" ht="12.95" hidden="1" customHeight="1">
      <c r="B53" s="158"/>
      <c r="J53" s="1894"/>
      <c r="K53" s="1894"/>
      <c r="L53" s="1894"/>
      <c r="M53" s="1894"/>
      <c r="N53" s="1894"/>
      <c r="O53" s="1894"/>
      <c r="P53" s="1894"/>
      <c r="Q53" s="1894"/>
      <c r="R53" s="1894"/>
      <c r="S53" s="1894"/>
      <c r="T53" s="1894"/>
      <c r="U53" s="1894"/>
      <c r="V53" s="1894"/>
      <c r="W53" s="1894"/>
      <c r="X53" s="1895"/>
      <c r="Y53" s="1895"/>
      <c r="Z53" s="1895"/>
      <c r="AA53" s="1895"/>
      <c r="AB53" s="1895"/>
      <c r="AC53" s="1895"/>
      <c r="AD53" s="1895"/>
      <c r="AE53" s="1895"/>
      <c r="AF53" s="1895"/>
      <c r="AG53" s="1894"/>
      <c r="AH53" s="1894"/>
      <c r="AI53" s="1894"/>
      <c r="AJ53" s="1894"/>
      <c r="AK53" s="1894"/>
      <c r="AL53" s="1894"/>
      <c r="AM53" s="1894"/>
      <c r="AN53" s="1894"/>
      <c r="AO53" s="1894"/>
    </row>
    <row r="54" spans="2:44" ht="12.95" hidden="1" customHeight="1">
      <c r="B54" s="158"/>
      <c r="J54" s="1894"/>
      <c r="K54" s="1894"/>
      <c r="L54" s="1894"/>
      <c r="M54" s="1894"/>
      <c r="N54" s="1894"/>
      <c r="O54" s="1894"/>
      <c r="P54" s="1894"/>
      <c r="Q54" s="1894"/>
      <c r="R54" s="1894"/>
      <c r="S54" s="1894"/>
      <c r="T54" s="1894"/>
      <c r="U54" s="1894"/>
      <c r="V54" s="1894"/>
      <c r="W54" s="1894"/>
      <c r="X54" s="1895"/>
      <c r="Y54" s="1895"/>
      <c r="Z54" s="1895"/>
      <c r="AA54" s="1895"/>
      <c r="AB54" s="1895"/>
      <c r="AC54" s="1895"/>
      <c r="AD54" s="1895"/>
      <c r="AE54" s="1895"/>
      <c r="AF54" s="1895"/>
      <c r="AG54" s="1894"/>
      <c r="AH54" s="1894"/>
      <c r="AI54" s="1894"/>
      <c r="AJ54" s="1894"/>
      <c r="AK54" s="1894"/>
      <c r="AL54" s="1894"/>
      <c r="AM54" s="1894"/>
      <c r="AN54" s="1894"/>
      <c r="AO54" s="1894"/>
    </row>
    <row r="55" spans="2:44" ht="12.95" hidden="1" customHeight="1"/>
    <row r="56" spans="2:44" ht="12.95" hidden="1" customHeight="1"/>
    <row r="57" spans="2:44" ht="12.95" hidden="1" customHeight="1"/>
    <row r="58" spans="2:44" ht="12.95" hidden="1" customHeight="1"/>
    <row r="60" spans="2:44" outlineLevel="1">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1894"/>
      <c r="AH60" s="1894"/>
      <c r="AI60" s="1894"/>
      <c r="AJ60" s="1894"/>
      <c r="AK60" s="1894"/>
      <c r="AL60" s="1894"/>
      <c r="AM60" s="1894"/>
      <c r="AN60" s="1894"/>
      <c r="AO60" s="1894"/>
    </row>
    <row r="61" spans="2:44" outlineLevel="1">
      <c r="B61" s="190" t="s">
        <v>933</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894"/>
      <c r="AH61" s="1894"/>
      <c r="AI61" s="1894"/>
      <c r="AJ61" s="1894"/>
      <c r="AK61" s="1894"/>
      <c r="AL61" s="1894"/>
      <c r="AM61" s="1894"/>
      <c r="AN61" s="1894"/>
      <c r="AO61" s="1894"/>
    </row>
    <row r="62" spans="2:44"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1894"/>
      <c r="AH62" s="1894"/>
      <c r="AI62" s="1894"/>
      <c r="AJ62" s="1894"/>
      <c r="AK62" s="1894"/>
      <c r="AL62" s="1894"/>
      <c r="AM62" s="1894"/>
      <c r="AN62" s="1894"/>
      <c r="AO62" s="1894"/>
    </row>
    <row r="63" spans="2:44" outlineLevel="1">
      <c r="B63" s="158" t="s">
        <v>1888</v>
      </c>
      <c r="C63" s="158"/>
      <c r="D63" s="158"/>
      <c r="E63" s="167"/>
      <c r="F63" s="167"/>
      <c r="G63" s="167"/>
      <c r="H63" s="167"/>
      <c r="I63" s="167"/>
      <c r="J63" s="167"/>
      <c r="K63" s="167"/>
      <c r="L63" s="167"/>
      <c r="M63" s="167"/>
      <c r="N63" s="167"/>
      <c r="O63" s="197"/>
      <c r="P63" s="198"/>
      <c r="Q63" s="199"/>
      <c r="R63" s="198"/>
      <c r="S63" s="198"/>
      <c r="T63" s="198"/>
      <c r="U63" s="198"/>
      <c r="V63" s="198"/>
      <c r="W63" s="198"/>
      <c r="X63" s="563">
        <v>2001</v>
      </c>
      <c r="Y63" s="289"/>
      <c r="Z63" s="290">
        <v>2003</v>
      </c>
      <c r="AA63" s="289"/>
      <c r="AB63" s="290">
        <v>2005</v>
      </c>
      <c r="AC63" s="289"/>
      <c r="AD63" s="290">
        <v>2007</v>
      </c>
      <c r="AE63" s="289"/>
      <c r="AF63" s="290">
        <v>2009</v>
      </c>
      <c r="AG63" s="290">
        <v>2010</v>
      </c>
      <c r="AH63" s="290">
        <v>2011</v>
      </c>
      <c r="AI63" s="290">
        <v>2012</v>
      </c>
      <c r="AJ63" s="290">
        <v>2013</v>
      </c>
      <c r="AK63" s="290">
        <v>2014</v>
      </c>
      <c r="AL63" s="290">
        <v>2015</v>
      </c>
      <c r="AM63" s="290">
        <v>2016</v>
      </c>
      <c r="AN63" s="290">
        <v>2017</v>
      </c>
      <c r="AO63" s="290">
        <v>2018</v>
      </c>
      <c r="AP63" s="290">
        <v>2019</v>
      </c>
      <c r="AQ63" s="290">
        <v>2020</v>
      </c>
      <c r="AR63" s="290">
        <v>2021</v>
      </c>
    </row>
    <row r="64" spans="2:44" outlineLevel="1">
      <c r="B64" s="158" t="s">
        <v>1889</v>
      </c>
      <c r="C64" s="158"/>
      <c r="D64" s="158"/>
      <c r="E64" s="167"/>
      <c r="F64" s="167"/>
      <c r="G64" s="167"/>
      <c r="H64" s="167"/>
      <c r="I64" s="167"/>
      <c r="J64" s="167"/>
      <c r="K64" s="167"/>
      <c r="L64" s="167"/>
      <c r="M64" s="167"/>
      <c r="N64" s="167"/>
      <c r="O64" s="197"/>
      <c r="P64" s="198"/>
      <c r="Q64" s="199"/>
      <c r="R64" s="198"/>
      <c r="S64" s="198"/>
      <c r="T64" s="198"/>
      <c r="U64" s="198"/>
      <c r="V64" s="198"/>
      <c r="W64" s="198"/>
      <c r="X64" s="276"/>
      <c r="Y64" s="291"/>
      <c r="Z64" s="276"/>
      <c r="AA64" s="291"/>
      <c r="AB64" s="276"/>
      <c r="AC64" s="291"/>
      <c r="AD64" s="276"/>
      <c r="AE64" s="291"/>
      <c r="AF64" s="276"/>
      <c r="AG64" s="276"/>
      <c r="AH64" s="276"/>
      <c r="AI64" s="1894"/>
      <c r="AJ64" s="1894"/>
      <c r="AK64" s="1894"/>
      <c r="AL64" s="1894"/>
      <c r="AM64" s="1894"/>
      <c r="AN64" s="1894"/>
      <c r="AO64" s="1894"/>
    </row>
    <row r="65" spans="2:43" outlineLevel="1">
      <c r="B65" s="292" t="s">
        <v>28</v>
      </c>
      <c r="C65" s="158" t="s">
        <v>29</v>
      </c>
      <c r="D65" s="158"/>
      <c r="E65" s="167"/>
      <c r="F65" s="167"/>
      <c r="G65" s="167"/>
      <c r="H65" s="167"/>
      <c r="I65" s="167"/>
      <c r="J65" s="167"/>
      <c r="K65" s="167"/>
      <c r="L65" s="167"/>
      <c r="M65" s="167"/>
      <c r="N65" s="167"/>
      <c r="O65" s="197"/>
      <c r="P65" s="198"/>
      <c r="Q65" s="199"/>
      <c r="R65" s="198"/>
      <c r="S65" s="198"/>
      <c r="T65" s="198"/>
      <c r="U65" s="198"/>
      <c r="V65" s="285"/>
      <c r="W65" s="198"/>
      <c r="X65" s="1902">
        <v>7103104</v>
      </c>
      <c r="Y65" s="1903"/>
      <c r="Z65" s="1902">
        <v>7765529</v>
      </c>
      <c r="AA65" s="1903"/>
      <c r="AB65" s="1902">
        <v>8794112</v>
      </c>
      <c r="AC65" s="1903"/>
      <c r="AD65" s="1902">
        <v>9750505</v>
      </c>
      <c r="AE65" s="1903"/>
      <c r="AF65" s="1902">
        <v>9846968</v>
      </c>
      <c r="AG65" s="1902">
        <v>10260256</v>
      </c>
      <c r="AH65" s="1902">
        <v>10698857</v>
      </c>
      <c r="AI65" s="1902">
        <v>11047363</v>
      </c>
      <c r="AJ65" s="1902">
        <v>11363528</v>
      </c>
      <c r="AK65" s="1902">
        <v>11847725</v>
      </c>
      <c r="AL65" s="1902">
        <v>12263476</v>
      </c>
      <c r="AM65" s="1902">
        <v>12693266</v>
      </c>
      <c r="AN65" s="1902">
        <v>13239111</v>
      </c>
      <c r="AO65" s="1902">
        <v>13913531</v>
      </c>
      <c r="AP65" s="1902">
        <v>14428676</v>
      </c>
      <c r="AQ65" s="1902">
        <v>14047565</v>
      </c>
    </row>
    <row r="66" spans="2:43" ht="5.0999999999999996" customHeight="1" outlineLevel="1">
      <c r="B66" s="276"/>
      <c r="C66" s="158"/>
      <c r="D66" s="158"/>
      <c r="E66" s="167"/>
      <c r="F66" s="167"/>
      <c r="G66" s="167"/>
      <c r="H66" s="167"/>
      <c r="I66" s="167"/>
      <c r="J66" s="167"/>
      <c r="K66" s="167"/>
      <c r="L66" s="167"/>
      <c r="M66" s="167"/>
      <c r="N66" s="167"/>
      <c r="O66" s="197"/>
      <c r="P66" s="198"/>
      <c r="Q66" s="199"/>
      <c r="R66" s="198"/>
      <c r="S66" s="198"/>
      <c r="T66" s="198"/>
      <c r="U66" s="198"/>
      <c r="V66" s="198"/>
      <c r="W66" s="198"/>
      <c r="X66" s="1902"/>
      <c r="Y66" s="1903"/>
      <c r="Z66" s="1902"/>
      <c r="AA66" s="1903"/>
      <c r="AB66" s="1902"/>
      <c r="AC66" s="1903"/>
      <c r="AD66" s="1902"/>
      <c r="AE66" s="1903"/>
      <c r="AF66" s="1902"/>
      <c r="AG66" s="1902"/>
      <c r="AH66" s="1902"/>
      <c r="AI66" s="1902"/>
      <c r="AJ66" s="1902"/>
      <c r="AK66" s="1902"/>
      <c r="AL66" s="1902"/>
      <c r="AM66" s="1902"/>
      <c r="AN66" s="1902"/>
      <c r="AO66" s="1902"/>
      <c r="AP66" s="1902"/>
      <c r="AQ66" s="1902"/>
    </row>
    <row r="67" spans="2:43" outlineLevel="1">
      <c r="B67" s="292" t="s">
        <v>30</v>
      </c>
      <c r="C67" s="158" t="s">
        <v>31</v>
      </c>
      <c r="D67" s="158"/>
      <c r="E67" s="167"/>
      <c r="F67" s="167"/>
      <c r="G67" s="167"/>
      <c r="H67" s="167"/>
      <c r="I67" s="167"/>
      <c r="J67" s="167"/>
      <c r="K67" s="167"/>
      <c r="L67" s="167"/>
      <c r="M67" s="167"/>
      <c r="N67" s="167"/>
      <c r="O67" s="197"/>
      <c r="P67" s="198"/>
      <c r="Q67" s="199"/>
      <c r="R67" s="198"/>
      <c r="S67" s="198"/>
      <c r="T67" s="198"/>
      <c r="U67" s="198"/>
      <c r="V67" s="198"/>
      <c r="W67" s="198"/>
      <c r="X67" s="1902">
        <v>7600041</v>
      </c>
      <c r="Y67" s="1903"/>
      <c r="Z67" s="1902">
        <v>8328658</v>
      </c>
      <c r="AA67" s="1903"/>
      <c r="AB67" s="1902">
        <v>9451175</v>
      </c>
      <c r="AC67" s="1903"/>
      <c r="AD67" s="1902">
        <v>10504565</v>
      </c>
      <c r="AE67" s="1903"/>
      <c r="AF67" s="1902">
        <v>10706966</v>
      </c>
      <c r="AG67" s="1902">
        <v>11162398.810000001</v>
      </c>
      <c r="AH67" s="1902">
        <v>11591260.120000001</v>
      </c>
      <c r="AI67" s="1902">
        <v>11941600.939999999</v>
      </c>
      <c r="AJ67" s="1902">
        <v>12230650.26</v>
      </c>
      <c r="AK67" s="1902">
        <v>12707090.379999999</v>
      </c>
      <c r="AL67" s="1902">
        <v>13114394.629999999</v>
      </c>
      <c r="AM67" s="1902">
        <v>13557419.210000001</v>
      </c>
      <c r="AN67" s="1902">
        <v>14122861.99</v>
      </c>
      <c r="AO67" s="1902">
        <v>14860118.68</v>
      </c>
      <c r="AP67" s="1902">
        <v>15421683.470000001</v>
      </c>
      <c r="AQ67" s="1902">
        <v>15095617.77</v>
      </c>
    </row>
    <row r="68" spans="2:43" ht="5.0999999999999996" customHeight="1" outlineLevel="1">
      <c r="B68" s="276"/>
      <c r="C68" s="158"/>
      <c r="D68" s="158"/>
      <c r="E68" s="167"/>
      <c r="F68" s="167"/>
      <c r="G68" s="167"/>
      <c r="H68" s="167"/>
      <c r="I68" s="167"/>
      <c r="J68" s="167"/>
      <c r="K68" s="167"/>
      <c r="L68" s="167"/>
      <c r="M68" s="167"/>
      <c r="N68" s="167"/>
      <c r="O68" s="197"/>
      <c r="P68" s="198"/>
      <c r="Q68" s="199"/>
      <c r="R68" s="198"/>
      <c r="S68" s="198"/>
      <c r="T68" s="198"/>
      <c r="U68" s="198"/>
      <c r="V68" s="198"/>
      <c r="W68" s="198"/>
      <c r="X68" s="1902"/>
      <c r="Y68" s="1903"/>
      <c r="Z68" s="1903"/>
      <c r="AA68" s="1903"/>
      <c r="AB68" s="1903"/>
      <c r="AC68" s="1903"/>
      <c r="AD68" s="1903"/>
      <c r="AE68" s="1903"/>
      <c r="AF68" s="1903"/>
      <c r="AG68" s="1903"/>
      <c r="AH68" s="1903"/>
      <c r="AI68" s="1903"/>
      <c r="AJ68" s="1903"/>
      <c r="AK68" s="1903"/>
      <c r="AL68" s="1903"/>
      <c r="AM68" s="1903"/>
      <c r="AN68" s="1903"/>
      <c r="AO68" s="1903"/>
      <c r="AP68" s="1903"/>
      <c r="AQ68" s="1903"/>
    </row>
    <row r="69" spans="2:43" outlineLevel="1">
      <c r="B69" s="292" t="s">
        <v>32</v>
      </c>
      <c r="C69" s="158" t="s">
        <v>33</v>
      </c>
      <c r="D69" s="158"/>
      <c r="E69" s="167"/>
      <c r="F69" s="167"/>
      <c r="G69" s="167"/>
      <c r="H69" s="167"/>
      <c r="I69" s="167"/>
      <c r="J69" s="167"/>
      <c r="K69" s="167"/>
      <c r="L69" s="167"/>
      <c r="M69" s="167"/>
      <c r="N69" s="167"/>
      <c r="O69" s="197"/>
      <c r="P69" s="198"/>
      <c r="Q69" s="199"/>
      <c r="R69" s="198"/>
      <c r="S69" s="198"/>
      <c r="T69" s="198"/>
      <c r="U69" s="198"/>
      <c r="V69" s="198"/>
      <c r="W69" s="198"/>
      <c r="X69" s="1902">
        <v>335237.2</v>
      </c>
      <c r="Y69" s="1903"/>
      <c r="Z69" s="1902">
        <v>357663.2</v>
      </c>
      <c r="AA69" s="1903"/>
      <c r="AB69" s="1902">
        <v>407426.4</v>
      </c>
      <c r="AC69" s="1903"/>
      <c r="AD69" s="1902">
        <v>442870.1</v>
      </c>
      <c r="AE69" s="1903"/>
      <c r="AF69" s="1902">
        <v>423701.8</v>
      </c>
      <c r="AG69" s="1902">
        <f t="shared" ref="AG69:AN69" si="18">SUM(AG71:AG72)</f>
        <v>441705.4</v>
      </c>
      <c r="AH69" s="1902">
        <f t="shared" si="18"/>
        <v>458535</v>
      </c>
      <c r="AI69" s="1902">
        <f t="shared" si="18"/>
        <v>479513.4</v>
      </c>
      <c r="AJ69" s="1902">
        <f t="shared" si="18"/>
        <v>498243.29</v>
      </c>
      <c r="AK69" s="1902">
        <f t="shared" si="18"/>
        <v>517660.78</v>
      </c>
      <c r="AL69" s="1902">
        <f t="shared" si="18"/>
        <v>531075.44999999995</v>
      </c>
      <c r="AM69" s="1902">
        <f t="shared" si="18"/>
        <v>543588.37</v>
      </c>
      <c r="AN69" s="1902">
        <f t="shared" si="18"/>
        <v>563703.66999999993</v>
      </c>
      <c r="AO69" s="1902">
        <f t="shared" ref="AO69:AQ69" si="19">SUM(AO71:AO72)</f>
        <v>585393.09</v>
      </c>
      <c r="AP69" s="1902">
        <f t="shared" si="19"/>
        <v>598420.75</v>
      </c>
      <c r="AQ69" s="1902">
        <f t="shared" si="19"/>
        <v>576458.93999999994</v>
      </c>
    </row>
    <row r="70" spans="2:43" ht="5.0999999999999996" customHeight="1" outlineLevel="1">
      <c r="B70" s="276"/>
      <c r="C70" s="158"/>
      <c r="D70" s="158"/>
      <c r="E70" s="167"/>
      <c r="F70" s="167"/>
      <c r="G70" s="167"/>
      <c r="H70" s="167"/>
      <c r="I70" s="167"/>
      <c r="J70" s="167"/>
      <c r="K70" s="167"/>
      <c r="L70" s="167"/>
      <c r="M70" s="167"/>
      <c r="N70" s="167"/>
      <c r="O70" s="197"/>
      <c r="P70" s="198"/>
      <c r="Q70" s="199"/>
      <c r="R70" s="198"/>
      <c r="S70" s="198"/>
      <c r="T70" s="198"/>
      <c r="U70" s="198"/>
      <c r="V70" s="198"/>
      <c r="W70" s="198"/>
      <c r="X70" s="1902"/>
      <c r="Y70" s="1903"/>
      <c r="Z70" s="1903"/>
      <c r="AA70" s="1903"/>
      <c r="AB70" s="1903"/>
      <c r="AC70" s="1903"/>
      <c r="AD70" s="1903"/>
      <c r="AE70" s="1903"/>
      <c r="AF70" s="1903"/>
      <c r="AG70" s="1903"/>
      <c r="AH70" s="1903"/>
      <c r="AI70" s="1903"/>
      <c r="AJ70" s="1903"/>
      <c r="AK70" s="1903"/>
      <c r="AL70" s="1903"/>
      <c r="AM70" s="1903"/>
      <c r="AN70" s="1903"/>
      <c r="AO70" s="1903"/>
      <c r="AP70" s="1903"/>
      <c r="AQ70" s="1903"/>
    </row>
    <row r="71" spans="2:43" outlineLevel="1">
      <c r="B71" s="276"/>
      <c r="C71" s="158" t="s">
        <v>34</v>
      </c>
      <c r="D71" s="158"/>
      <c r="E71" s="167"/>
      <c r="F71" s="167"/>
      <c r="G71" s="167"/>
      <c r="H71" s="167"/>
      <c r="I71" s="167"/>
      <c r="J71" s="167"/>
      <c r="K71" s="167"/>
      <c r="L71" s="167"/>
      <c r="M71" s="167"/>
      <c r="N71" s="167"/>
      <c r="O71" s="197"/>
      <c r="P71" s="198"/>
      <c r="Q71" s="199"/>
      <c r="R71" s="198"/>
      <c r="S71" s="198"/>
      <c r="T71" s="198"/>
      <c r="U71" s="198"/>
      <c r="V71" s="198"/>
      <c r="W71" s="198"/>
      <c r="X71" s="1902">
        <v>223109</v>
      </c>
      <c r="Y71" s="1903"/>
      <c r="Z71" s="1902">
        <v>236744</v>
      </c>
      <c r="AA71" s="1903"/>
      <c r="AB71" s="1902">
        <v>275299</v>
      </c>
      <c r="AC71" s="1903"/>
      <c r="AD71" s="1902">
        <v>305524</v>
      </c>
      <c r="AE71" s="1903"/>
      <c r="AF71" s="1902">
        <v>281577</v>
      </c>
      <c r="AG71" s="1902">
        <v>295123</v>
      </c>
      <c r="AH71" s="1902">
        <v>311294</v>
      </c>
      <c r="AI71" s="1902">
        <v>324367</v>
      </c>
      <c r="AJ71" s="1902">
        <v>343853</v>
      </c>
      <c r="AK71" s="1902">
        <v>361684.84</v>
      </c>
      <c r="AL71" s="1902">
        <v>374173.26</v>
      </c>
      <c r="AM71" s="1902">
        <v>384744.13</v>
      </c>
      <c r="AN71" s="1902">
        <v>402317.63999999996</v>
      </c>
      <c r="AO71" s="1902">
        <v>421150.42</v>
      </c>
      <c r="AP71" s="1902">
        <v>434795.83</v>
      </c>
      <c r="AQ71" s="1902">
        <v>425529.08999999997</v>
      </c>
    </row>
    <row r="72" spans="2:43" outlineLevel="1">
      <c r="B72" s="276"/>
      <c r="C72" s="158" t="s">
        <v>35</v>
      </c>
      <c r="D72" s="158"/>
      <c r="E72" s="167"/>
      <c r="F72" s="167"/>
      <c r="G72" s="167"/>
      <c r="H72" s="167"/>
      <c r="I72" s="167"/>
      <c r="J72" s="167"/>
      <c r="K72" s="167"/>
      <c r="L72" s="167"/>
      <c r="M72" s="167"/>
      <c r="N72" s="167"/>
      <c r="O72" s="197"/>
      <c r="P72" s="198"/>
      <c r="Q72" s="199"/>
      <c r="R72" s="198"/>
      <c r="S72" s="198"/>
      <c r="T72" s="198"/>
      <c r="U72" s="198"/>
      <c r="V72" s="198"/>
      <c r="W72" s="198"/>
      <c r="X72" s="1902">
        <v>112128.20000000001</v>
      </c>
      <c r="Y72" s="1903"/>
      <c r="Z72" s="1902">
        <v>120919.2</v>
      </c>
      <c r="AA72" s="1903"/>
      <c r="AB72" s="1902">
        <v>132127.4</v>
      </c>
      <c r="AC72" s="1903"/>
      <c r="AD72" s="1902">
        <v>137346.1</v>
      </c>
      <c r="AE72" s="1903"/>
      <c r="AF72" s="1902">
        <v>142124.79999999999</v>
      </c>
      <c r="AG72" s="1902">
        <v>146582.39999999999</v>
      </c>
      <c r="AH72" s="1902">
        <v>147241</v>
      </c>
      <c r="AI72" s="1902">
        <v>155146.4</v>
      </c>
      <c r="AJ72" s="1902">
        <v>154390.28999999998</v>
      </c>
      <c r="AK72" s="1902">
        <v>155975.94</v>
      </c>
      <c r="AL72" s="1902">
        <v>156902.19</v>
      </c>
      <c r="AM72" s="1902">
        <v>158844.24000000002</v>
      </c>
      <c r="AN72" s="1902">
        <v>161386.03</v>
      </c>
      <c r="AO72" s="1902">
        <v>164242.67000000001</v>
      </c>
      <c r="AP72" s="1902">
        <v>163624.92000000001</v>
      </c>
      <c r="AQ72" s="1902">
        <v>150929.84999999998</v>
      </c>
    </row>
    <row r="73" spans="2:43" ht="5.0999999999999996" customHeight="1" outlineLevel="1">
      <c r="B73" s="276"/>
      <c r="C73" s="158"/>
      <c r="D73" s="158"/>
      <c r="E73" s="167"/>
      <c r="F73" s="167"/>
      <c r="G73" s="167"/>
      <c r="H73" s="167"/>
      <c r="I73" s="167"/>
      <c r="J73" s="167"/>
      <c r="K73" s="167"/>
      <c r="L73" s="167"/>
      <c r="M73" s="167"/>
      <c r="N73" s="167"/>
      <c r="O73" s="197"/>
      <c r="P73" s="198"/>
      <c r="Q73" s="199"/>
      <c r="R73" s="198"/>
      <c r="S73" s="198"/>
      <c r="T73" s="198"/>
      <c r="U73" s="198"/>
      <c r="V73" s="198"/>
      <c r="W73" s="198"/>
      <c r="X73" s="1902"/>
      <c r="Y73" s="1903"/>
      <c r="Z73" s="1902"/>
      <c r="AA73" s="1903"/>
      <c r="AB73" s="1902"/>
      <c r="AC73" s="1903"/>
      <c r="AD73" s="1902"/>
      <c r="AE73" s="1903"/>
      <c r="AF73" s="1902"/>
      <c r="AG73" s="1902"/>
      <c r="AH73" s="1902"/>
      <c r="AI73" s="1902"/>
      <c r="AJ73" s="1902"/>
      <c r="AK73" s="1902"/>
      <c r="AL73" s="1902"/>
      <c r="AM73" s="1902"/>
      <c r="AN73" s="1902"/>
      <c r="AO73" s="1902"/>
      <c r="AP73" s="1902"/>
      <c r="AQ73" s="1902"/>
    </row>
    <row r="74" spans="2:43" outlineLevel="1">
      <c r="B74" s="292" t="s">
        <v>36</v>
      </c>
      <c r="C74" s="158" t="s">
        <v>37</v>
      </c>
      <c r="D74" s="158"/>
      <c r="E74" s="167"/>
      <c r="F74" s="167"/>
      <c r="G74" s="167"/>
      <c r="H74" s="167"/>
      <c r="I74" s="167"/>
      <c r="J74" s="167"/>
      <c r="K74" s="167"/>
      <c r="L74" s="167"/>
      <c r="M74" s="167"/>
      <c r="N74" s="167"/>
      <c r="O74" s="197"/>
      <c r="P74" s="198"/>
      <c r="Q74" s="199"/>
      <c r="R74" s="198"/>
      <c r="S74" s="198"/>
      <c r="T74" s="198"/>
      <c r="U74" s="198"/>
      <c r="V74" s="198"/>
      <c r="W74" s="198"/>
      <c r="X74" s="1902">
        <v>407086.2</v>
      </c>
      <c r="Y74" s="1903"/>
      <c r="Z74" s="1902">
        <v>439034.3</v>
      </c>
      <c r="AA74" s="1903"/>
      <c r="AB74" s="1902">
        <v>501411.4</v>
      </c>
      <c r="AC74" s="1903"/>
      <c r="AD74" s="1902">
        <v>542829.10000000009</v>
      </c>
      <c r="AE74" s="1903"/>
      <c r="AF74" s="1902">
        <v>514618.8</v>
      </c>
      <c r="AG74" s="1902">
        <v>546709.89999999991</v>
      </c>
      <c r="AH74" s="1902">
        <v>580632.10000000009</v>
      </c>
      <c r="AI74" s="1902">
        <v>605137.39999999991</v>
      </c>
      <c r="AJ74" s="1902">
        <v>640249.28999999992</v>
      </c>
      <c r="AK74" s="1902">
        <v>672828.79</v>
      </c>
      <c r="AL74" s="1902">
        <v>695784.37</v>
      </c>
      <c r="AM74" s="1902">
        <v>708386.01</v>
      </c>
      <c r="AN74" s="1902">
        <v>729873.5</v>
      </c>
      <c r="AO74" s="1902">
        <v>789032.06</v>
      </c>
      <c r="AP74" s="1902">
        <v>816923.28999999992</v>
      </c>
      <c r="AQ74" s="1902">
        <v>786766.7699999999</v>
      </c>
    </row>
    <row r="75" spans="2:43" ht="5.0999999999999996" customHeight="1" outlineLevel="1">
      <c r="B75" s="276"/>
      <c r="C75" s="158"/>
      <c r="D75" s="158"/>
      <c r="E75" s="167"/>
      <c r="F75" s="167"/>
      <c r="G75" s="167"/>
      <c r="H75" s="167"/>
      <c r="I75" s="167"/>
      <c r="J75" s="167"/>
      <c r="K75" s="167"/>
      <c r="L75" s="167"/>
      <c r="M75" s="167"/>
      <c r="N75" s="167"/>
      <c r="O75" s="197"/>
      <c r="P75" s="198"/>
      <c r="Q75" s="199"/>
      <c r="R75" s="198"/>
      <c r="S75" s="198"/>
      <c r="T75" s="198"/>
      <c r="U75" s="198"/>
      <c r="V75" s="198"/>
      <c r="W75" s="198"/>
      <c r="X75" s="1902"/>
      <c r="Y75" s="1903"/>
      <c r="Z75" s="1902"/>
      <c r="AA75" s="1903"/>
      <c r="AB75" s="1902"/>
      <c r="AC75" s="1903"/>
      <c r="AD75" s="1902"/>
      <c r="AE75" s="1903"/>
      <c r="AF75" s="1902"/>
      <c r="AG75" s="1902"/>
      <c r="AH75" s="1902"/>
      <c r="AI75" s="1902"/>
      <c r="AJ75" s="1902"/>
      <c r="AK75" s="1902"/>
      <c r="AL75" s="1902"/>
      <c r="AM75" s="1902"/>
      <c r="AN75" s="1902"/>
      <c r="AO75" s="1902"/>
      <c r="AP75" s="1902"/>
      <c r="AQ75" s="1902"/>
    </row>
    <row r="76" spans="2:43" outlineLevel="1">
      <c r="B76" s="292" t="s">
        <v>38</v>
      </c>
      <c r="C76" s="158" t="s">
        <v>39</v>
      </c>
      <c r="D76" s="158"/>
      <c r="E76" s="167"/>
      <c r="F76" s="167"/>
      <c r="G76" s="167"/>
      <c r="H76" s="167"/>
      <c r="I76" s="167"/>
      <c r="J76" s="167"/>
      <c r="K76" s="167"/>
      <c r="L76" s="167"/>
      <c r="M76" s="167"/>
      <c r="N76" s="167"/>
      <c r="O76" s="197"/>
      <c r="P76" s="198"/>
      <c r="Q76" s="199"/>
      <c r="R76" s="198"/>
      <c r="S76" s="198"/>
      <c r="T76" s="198"/>
      <c r="U76" s="198"/>
      <c r="V76" s="198"/>
      <c r="W76" s="198"/>
      <c r="X76" s="1902">
        <v>474289.2</v>
      </c>
      <c r="Y76" s="1903"/>
      <c r="Z76" s="1902">
        <v>517374.29999999993</v>
      </c>
      <c r="AA76" s="1903"/>
      <c r="AB76" s="1902">
        <v>601486.4</v>
      </c>
      <c r="AC76" s="1903"/>
      <c r="AD76" s="1902">
        <v>650209.2300000001</v>
      </c>
      <c r="AE76" s="1903"/>
      <c r="AF76" s="1902">
        <v>611223.06000000006</v>
      </c>
      <c r="AG76" s="1902">
        <v>635328.65</v>
      </c>
      <c r="AH76" s="1902">
        <v>675727.32</v>
      </c>
      <c r="AI76" s="1902">
        <v>702974.79</v>
      </c>
      <c r="AJ76" s="1902">
        <v>740452.07000000007</v>
      </c>
      <c r="AK76" s="1902">
        <v>774023.81</v>
      </c>
      <c r="AL76" s="1902">
        <v>792161.80999999994</v>
      </c>
      <c r="AM76" s="1902">
        <v>807418.8</v>
      </c>
      <c r="AN76" s="1902">
        <v>836329.83</v>
      </c>
      <c r="AO76" s="1902">
        <v>904961.44000000006</v>
      </c>
      <c r="AP76" s="1902">
        <v>936365.8</v>
      </c>
      <c r="AQ76" s="1902">
        <v>902664.70000000007</v>
      </c>
    </row>
    <row r="77" spans="2:43" outlineLevel="1">
      <c r="B77" s="292"/>
      <c r="C77" s="158"/>
      <c r="D77" s="158"/>
      <c r="E77" s="167"/>
      <c r="F77" s="167"/>
      <c r="G77" s="167"/>
      <c r="H77" s="167"/>
      <c r="I77" s="167"/>
      <c r="J77" s="167"/>
      <c r="K77" s="167"/>
      <c r="L77" s="167"/>
      <c r="M77" s="167"/>
      <c r="N77" s="167"/>
      <c r="O77" s="197"/>
      <c r="P77" s="198"/>
      <c r="Q77" s="199"/>
      <c r="R77" s="198"/>
      <c r="S77" s="198"/>
      <c r="T77" s="198"/>
      <c r="U77" s="198"/>
      <c r="V77" s="198"/>
      <c r="W77" s="198"/>
      <c r="X77" s="285"/>
      <c r="Y77" s="276"/>
      <c r="Z77" s="285"/>
      <c r="AA77" s="276"/>
      <c r="AB77" s="285"/>
      <c r="AC77" s="276"/>
      <c r="AD77" s="285"/>
      <c r="AE77" s="276"/>
      <c r="AF77" s="285"/>
      <c r="AG77" s="285"/>
      <c r="AH77" s="285"/>
      <c r="AI77" s="285"/>
      <c r="AJ77" s="285"/>
      <c r="AK77" s="285"/>
      <c r="AL77" s="285"/>
      <c r="AM77" s="285"/>
      <c r="AN77" s="285"/>
      <c r="AO77" s="1894"/>
    </row>
    <row r="78" spans="2:43" outlineLevel="1">
      <c r="B78" s="158" t="s">
        <v>40</v>
      </c>
      <c r="D78" s="158"/>
      <c r="E78" s="167"/>
      <c r="F78" s="167"/>
      <c r="G78" s="167"/>
      <c r="H78" s="167"/>
      <c r="I78" s="167"/>
      <c r="J78" s="167"/>
      <c r="K78" s="167"/>
      <c r="L78" s="167"/>
      <c r="M78" s="167"/>
      <c r="N78" s="167"/>
      <c r="O78" s="197"/>
      <c r="P78" s="198"/>
      <c r="Q78" s="199"/>
      <c r="R78" s="198"/>
      <c r="S78" s="198"/>
      <c r="T78" s="198"/>
      <c r="U78" s="198"/>
      <c r="V78" s="198"/>
      <c r="W78" s="198"/>
      <c r="X78" s="285"/>
      <c r="Y78" s="276"/>
      <c r="Z78" s="285"/>
      <c r="AA78" s="276"/>
      <c r="AB78" s="285"/>
      <c r="AC78" s="276"/>
      <c r="AD78" s="285"/>
      <c r="AE78" s="276"/>
      <c r="AF78" s="285"/>
      <c r="AG78" s="285"/>
      <c r="AH78" s="285"/>
      <c r="AI78" s="285"/>
      <c r="AJ78" s="285"/>
      <c r="AK78" s="285"/>
      <c r="AL78" s="285"/>
      <c r="AM78" s="285"/>
      <c r="AN78" s="285"/>
      <c r="AO78" s="1894"/>
    </row>
    <row r="79" spans="2:43" ht="6" customHeight="1" outlineLevel="1">
      <c r="B79" s="276"/>
      <c r="C79" s="158"/>
      <c r="D79" s="158"/>
      <c r="E79" s="167"/>
      <c r="F79" s="167"/>
      <c r="G79" s="167"/>
      <c r="H79" s="167"/>
      <c r="I79" s="167"/>
      <c r="J79" s="167"/>
      <c r="K79" s="167"/>
      <c r="L79" s="167"/>
      <c r="M79" s="167"/>
      <c r="N79" s="167"/>
      <c r="O79" s="197"/>
      <c r="P79" s="198"/>
      <c r="Q79" s="199"/>
      <c r="R79" s="198"/>
      <c r="S79" s="198"/>
      <c r="T79" s="198"/>
      <c r="U79" s="198"/>
      <c r="V79" s="198"/>
      <c r="W79" s="198"/>
      <c r="X79" s="285"/>
      <c r="Y79" s="276"/>
      <c r="Z79" s="285"/>
      <c r="AA79" s="276"/>
      <c r="AB79" s="285"/>
      <c r="AC79" s="276"/>
      <c r="AD79" s="285"/>
      <c r="AE79" s="276"/>
      <c r="AF79" s="285"/>
      <c r="AG79" s="285"/>
      <c r="AH79" s="285"/>
      <c r="AI79" s="285"/>
      <c r="AJ79" s="285"/>
      <c r="AK79" s="285"/>
      <c r="AL79" s="285"/>
      <c r="AM79" s="285"/>
      <c r="AN79" s="285"/>
      <c r="AO79" s="1894"/>
    </row>
    <row r="80" spans="2:43" outlineLevel="1">
      <c r="B80" s="293" t="s">
        <v>41</v>
      </c>
      <c r="C80" s="294" t="s">
        <v>42</v>
      </c>
      <c r="D80" s="294"/>
      <c r="E80" s="167"/>
      <c r="F80" s="167"/>
      <c r="G80" s="167"/>
      <c r="H80" s="167"/>
      <c r="I80" s="167"/>
      <c r="J80" s="167"/>
      <c r="K80" s="167"/>
      <c r="L80" s="167"/>
      <c r="M80" s="167"/>
      <c r="N80" s="167"/>
      <c r="O80" s="197"/>
      <c r="P80" s="198"/>
      <c r="Q80" s="199"/>
      <c r="R80" s="198"/>
      <c r="S80" s="198"/>
      <c r="T80" s="198"/>
      <c r="U80" s="198"/>
      <c r="V80" s="198"/>
      <c r="W80" s="198"/>
      <c r="X80" s="295">
        <v>4.4109919933326677E-2</v>
      </c>
      <c r="Y80" s="287"/>
      <c r="Z80" s="295">
        <v>4.2943677120611749E-2</v>
      </c>
      <c r="AA80" s="287"/>
      <c r="AB80" s="295">
        <v>4.3108544704758937E-2</v>
      </c>
      <c r="AC80" s="287"/>
      <c r="AD80" s="295">
        <v>4.2159775297692E-2</v>
      </c>
      <c r="AE80" s="287"/>
      <c r="AF80" s="295">
        <v>3.9572536234821327E-2</v>
      </c>
      <c r="AG80" s="295">
        <f t="shared" ref="AG80:AQ80" si="20">AG69/AG67</f>
        <v>3.9570831280843655E-2</v>
      </c>
      <c r="AH80" s="295">
        <f t="shared" si="20"/>
        <v>3.9558684323616054E-2</v>
      </c>
      <c r="AI80" s="295">
        <f t="shared" si="20"/>
        <v>4.0154867208282381E-2</v>
      </c>
      <c r="AJ80" s="295">
        <f t="shared" si="20"/>
        <v>4.0737269025629061E-2</v>
      </c>
      <c r="AK80" s="295">
        <f t="shared" si="20"/>
        <v>4.0737947438758998E-2</v>
      </c>
      <c r="AL80" s="295">
        <f t="shared" si="20"/>
        <v>4.0495613025486633E-2</v>
      </c>
      <c r="AM80" s="295">
        <f t="shared" si="20"/>
        <v>4.0095268987407812E-2</v>
      </c>
      <c r="AN80" s="295">
        <f t="shared" si="20"/>
        <v>3.9914265989368342E-2</v>
      </c>
      <c r="AO80" s="295">
        <f t="shared" si="20"/>
        <v>3.9393567615840869E-2</v>
      </c>
      <c r="AP80" s="295">
        <f t="shared" si="20"/>
        <v>3.8803853753328267E-2</v>
      </c>
      <c r="AQ80" s="295">
        <f t="shared" si="20"/>
        <v>3.818717118988102E-2</v>
      </c>
    </row>
    <row r="81" spans="2:44" ht="5.0999999999999996" customHeight="1" outlineLevel="1">
      <c r="B81" s="276"/>
      <c r="C81" s="158"/>
      <c r="D81" s="158"/>
      <c r="E81" s="167"/>
      <c r="F81" s="167"/>
      <c r="G81" s="167"/>
      <c r="H81" s="167"/>
      <c r="I81" s="167"/>
      <c r="J81" s="167"/>
      <c r="K81" s="167"/>
      <c r="L81" s="167"/>
      <c r="M81" s="167"/>
      <c r="N81" s="167"/>
      <c r="O81" s="197"/>
      <c r="P81" s="198"/>
      <c r="Q81" s="199"/>
      <c r="R81" s="198"/>
      <c r="S81" s="198"/>
      <c r="T81" s="198"/>
      <c r="U81" s="198"/>
      <c r="V81" s="198"/>
      <c r="W81" s="198"/>
      <c r="X81" s="285"/>
      <c r="Y81" s="276"/>
      <c r="Z81" s="285"/>
      <c r="AA81" s="276"/>
      <c r="AB81" s="285"/>
      <c r="AC81" s="276"/>
      <c r="AD81" s="285"/>
      <c r="AE81" s="276"/>
      <c r="AF81" s="285"/>
      <c r="AG81" s="285"/>
      <c r="AH81" s="285"/>
      <c r="AI81" s="285"/>
      <c r="AJ81" s="285"/>
      <c r="AK81" s="285"/>
      <c r="AL81" s="285"/>
      <c r="AM81" s="285"/>
      <c r="AN81" s="285"/>
      <c r="AO81" s="285"/>
      <c r="AP81" s="285"/>
      <c r="AQ81" s="285"/>
    </row>
    <row r="82" spans="2:44" outlineLevel="1">
      <c r="B82" s="292" t="s">
        <v>43</v>
      </c>
      <c r="C82" s="158" t="s">
        <v>44</v>
      </c>
      <c r="D82" s="158"/>
      <c r="E82" s="167"/>
      <c r="F82" s="167"/>
      <c r="G82" s="167"/>
      <c r="H82" s="167"/>
      <c r="I82" s="167"/>
      <c r="J82" s="167"/>
      <c r="K82" s="167"/>
      <c r="L82" s="167"/>
      <c r="M82" s="167"/>
      <c r="N82" s="167"/>
      <c r="O82" s="197"/>
      <c r="P82" s="198"/>
      <c r="Q82" s="199"/>
      <c r="R82" s="198"/>
      <c r="S82" s="198"/>
      <c r="T82" s="198"/>
      <c r="U82" s="198"/>
      <c r="V82" s="198"/>
      <c r="W82" s="198"/>
      <c r="X82" s="296">
        <v>6.2406137019523973E-2</v>
      </c>
      <c r="Y82" s="276"/>
      <c r="Z82" s="296">
        <v>6.2119767674456067E-2</v>
      </c>
      <c r="AA82" s="276"/>
      <c r="AB82" s="296">
        <v>6.3641441408078897E-2</v>
      </c>
      <c r="AC82" s="276"/>
      <c r="AD82" s="296">
        <v>6.1897777775662306E-2</v>
      </c>
      <c r="AE82" s="276"/>
      <c r="AF82" s="296">
        <v>5.708648556463148E-2</v>
      </c>
      <c r="AG82" s="296">
        <f t="shared" ref="AG82:AQ82" si="21">AG76/AG67</f>
        <v>5.6916856386714246E-2</v>
      </c>
      <c r="AH82" s="296">
        <f t="shared" si="21"/>
        <v>5.8296277799345937E-2</v>
      </c>
      <c r="AI82" s="296">
        <f t="shared" si="21"/>
        <v>5.886771744693723E-2</v>
      </c>
      <c r="AJ82" s="296">
        <f t="shared" si="21"/>
        <v>6.0540695241824379E-2</v>
      </c>
      <c r="AK82" s="296">
        <f t="shared" si="21"/>
        <v>6.0912749248896121E-2</v>
      </c>
      <c r="AL82" s="296">
        <f t="shared" si="21"/>
        <v>6.0403993653498897E-2</v>
      </c>
      <c r="AM82" s="296">
        <f t="shared" si="21"/>
        <v>5.9555494116789211E-2</v>
      </c>
      <c r="AN82" s="296">
        <f t="shared" si="21"/>
        <v>5.9218154973983424E-2</v>
      </c>
      <c r="AO82" s="296">
        <f t="shared" si="21"/>
        <v>6.089866840821221E-2</v>
      </c>
      <c r="AP82" s="296">
        <f t="shared" si="21"/>
        <v>6.0717482745740729E-2</v>
      </c>
      <c r="AQ82" s="296">
        <f t="shared" si="21"/>
        <v>5.9796472973361464E-2</v>
      </c>
    </row>
    <row r="83" spans="2:44" ht="5.0999999999999996" customHeight="1" outlineLevel="1">
      <c r="B83" s="276"/>
      <c r="C83" s="158"/>
      <c r="D83" s="158"/>
      <c r="E83" s="167"/>
      <c r="F83" s="167"/>
      <c r="G83" s="167"/>
      <c r="H83" s="167"/>
      <c r="I83" s="167"/>
      <c r="J83" s="167"/>
      <c r="K83" s="167"/>
      <c r="L83" s="167"/>
      <c r="M83" s="167"/>
      <c r="N83" s="167"/>
      <c r="O83" s="197"/>
      <c r="P83" s="198"/>
      <c r="Q83" s="199"/>
      <c r="R83" s="198"/>
      <c r="S83" s="198"/>
      <c r="T83" s="198"/>
      <c r="U83" s="198"/>
      <c r="V83" s="198"/>
      <c r="W83" s="198"/>
      <c r="X83" s="285"/>
      <c r="Y83" s="276"/>
      <c r="Z83" s="285"/>
      <c r="AA83" s="276"/>
      <c r="AB83" s="285"/>
      <c r="AC83" s="276"/>
      <c r="AD83" s="285"/>
      <c r="AE83" s="276"/>
      <c r="AF83" s="285"/>
      <c r="AG83" s="285"/>
      <c r="AH83" s="285"/>
      <c r="AI83" s="285"/>
      <c r="AJ83" s="285"/>
      <c r="AK83" s="285"/>
      <c r="AL83" s="285"/>
      <c r="AM83" s="285"/>
      <c r="AN83" s="285"/>
      <c r="AO83" s="285"/>
      <c r="AP83" s="285"/>
      <c r="AQ83" s="285"/>
    </row>
    <row r="84" spans="2:44" outlineLevel="1">
      <c r="B84" s="292" t="s">
        <v>45</v>
      </c>
      <c r="C84" s="158" t="s">
        <v>46</v>
      </c>
      <c r="D84" s="158"/>
      <c r="E84" s="167"/>
      <c r="F84" s="167"/>
      <c r="G84" s="167"/>
      <c r="H84" s="167"/>
      <c r="I84" s="167"/>
      <c r="J84" s="167"/>
      <c r="K84" s="167"/>
      <c r="L84" s="167"/>
      <c r="M84" s="167"/>
      <c r="N84" s="167"/>
      <c r="O84" s="197"/>
      <c r="P84" s="198"/>
      <c r="Q84" s="199"/>
      <c r="R84" s="198"/>
      <c r="S84" s="198"/>
      <c r="T84" s="198"/>
      <c r="U84" s="198"/>
      <c r="V84" s="198"/>
      <c r="W84" s="198"/>
      <c r="X84" s="296">
        <v>6.677210413926081E-2</v>
      </c>
      <c r="Y84" s="276"/>
      <c r="Z84" s="296">
        <v>6.6624475937183403E-2</v>
      </c>
      <c r="AA84" s="276"/>
      <c r="AB84" s="296">
        <v>6.8396490742897068E-2</v>
      </c>
      <c r="AC84" s="276"/>
      <c r="AD84" s="296">
        <v>6.6684672229797334E-2</v>
      </c>
      <c r="AE84" s="276"/>
      <c r="AF84" s="296">
        <v>6.2072209435432311E-2</v>
      </c>
      <c r="AG84" s="296">
        <f t="shared" ref="AG84:AQ84" si="22">AG76/AG65</f>
        <v>6.1921325354844951E-2</v>
      </c>
      <c r="AH84" s="296">
        <f t="shared" si="22"/>
        <v>6.3158832761294026E-2</v>
      </c>
      <c r="AI84" s="296">
        <f t="shared" si="22"/>
        <v>6.363281355016577E-2</v>
      </c>
      <c r="AJ84" s="296">
        <f t="shared" si="22"/>
        <v>6.5160403529608057E-2</v>
      </c>
      <c r="AK84" s="296">
        <f t="shared" si="22"/>
        <v>6.5331007429696428E-2</v>
      </c>
      <c r="AL84" s="296">
        <f t="shared" si="22"/>
        <v>6.4595210199783482E-2</v>
      </c>
      <c r="AM84" s="296">
        <f t="shared" si="22"/>
        <v>6.3610011796806282E-2</v>
      </c>
      <c r="AN84" s="296">
        <f t="shared" si="22"/>
        <v>6.3171147216757984E-2</v>
      </c>
      <c r="AO84" s="296">
        <f t="shared" si="22"/>
        <v>6.5041824393822098E-2</v>
      </c>
      <c r="AP84" s="296">
        <f t="shared" si="22"/>
        <v>6.4896169267367299E-2</v>
      </c>
      <c r="AQ84" s="296">
        <f t="shared" si="22"/>
        <v>6.4257734347554191E-2</v>
      </c>
    </row>
    <row r="85" spans="2:44" ht="5.0999999999999996" customHeight="1" outlineLevel="1">
      <c r="B85" s="226"/>
      <c r="C85" s="226"/>
      <c r="D85" s="226"/>
      <c r="E85" s="562"/>
      <c r="F85" s="562"/>
      <c r="G85" s="562"/>
      <c r="H85" s="562"/>
      <c r="I85" s="562"/>
      <c r="J85" s="562"/>
      <c r="K85" s="562"/>
      <c r="L85" s="562"/>
      <c r="M85" s="562"/>
      <c r="N85" s="562"/>
      <c r="O85" s="561"/>
      <c r="P85" s="194"/>
      <c r="Q85" s="194"/>
      <c r="R85" s="194"/>
      <c r="S85" s="194"/>
      <c r="T85" s="194"/>
      <c r="U85" s="194"/>
      <c r="V85" s="194"/>
      <c r="W85" s="194"/>
      <c r="X85" s="563"/>
      <c r="Y85" s="563"/>
      <c r="Z85" s="563"/>
      <c r="AA85" s="563"/>
      <c r="AB85" s="563"/>
      <c r="AC85" s="563"/>
      <c r="AD85" s="563"/>
      <c r="AE85" s="563"/>
      <c r="AF85" s="563"/>
      <c r="AG85" s="563"/>
      <c r="AH85" s="563"/>
      <c r="AI85" s="563"/>
      <c r="AJ85" s="563"/>
      <c r="AK85" s="563"/>
      <c r="AL85" s="563"/>
      <c r="AM85" s="563"/>
      <c r="AN85" s="563"/>
      <c r="AO85" s="563"/>
      <c r="AP85" s="563"/>
      <c r="AQ85" s="563"/>
      <c r="AR85" s="563"/>
    </row>
    <row r="86" spans="2:44" ht="6" customHeight="1" outlineLevel="1">
      <c r="B86" s="158"/>
      <c r="C86" s="158"/>
      <c r="D86" s="158"/>
      <c r="E86" s="167"/>
      <c r="F86" s="167"/>
      <c r="G86" s="167"/>
      <c r="H86" s="167"/>
      <c r="I86" s="167"/>
      <c r="J86" s="167"/>
      <c r="K86" s="167"/>
      <c r="L86" s="167"/>
      <c r="M86" s="167"/>
      <c r="N86" s="167"/>
      <c r="O86" s="197"/>
      <c r="P86" s="198"/>
      <c r="Q86" s="199"/>
      <c r="R86" s="198"/>
      <c r="S86" s="198"/>
      <c r="T86" s="198"/>
      <c r="U86" s="198"/>
      <c r="V86" s="198"/>
      <c r="W86" s="198"/>
      <c r="X86" s="276"/>
      <c r="Y86" s="276"/>
      <c r="Z86" s="276"/>
      <c r="AA86" s="276"/>
      <c r="AB86" s="276"/>
      <c r="AC86" s="276"/>
      <c r="AD86" s="276"/>
      <c r="AE86" s="276"/>
      <c r="AF86" s="276"/>
      <c r="AG86" s="1894"/>
      <c r="AH86" s="1894"/>
      <c r="AI86" s="1894"/>
      <c r="AJ86" s="1894"/>
      <c r="AK86" s="1894"/>
      <c r="AL86" s="1894"/>
      <c r="AM86" s="1894"/>
      <c r="AN86" s="1894"/>
      <c r="AO86" s="1894"/>
      <c r="AP86" s="1894"/>
      <c r="AQ86" s="1894"/>
      <c r="AR86" s="1894"/>
    </row>
    <row r="87" spans="2:44" ht="30" customHeight="1" outlineLevel="1">
      <c r="B87" s="840" t="s">
        <v>47</v>
      </c>
      <c r="C87" s="841"/>
      <c r="D87" s="841"/>
      <c r="E87" s="841"/>
      <c r="F87" s="841"/>
      <c r="G87" s="841"/>
      <c r="H87" s="841"/>
      <c r="I87" s="841"/>
      <c r="J87" s="841"/>
      <c r="K87" s="841"/>
      <c r="L87" s="841"/>
      <c r="M87" s="841"/>
      <c r="N87" s="841"/>
      <c r="O87" s="841"/>
      <c r="P87" s="841"/>
      <c r="Q87" s="841"/>
      <c r="R87" s="841"/>
      <c r="S87" s="841"/>
      <c r="T87" s="841"/>
      <c r="U87" s="841"/>
      <c r="V87" s="841"/>
      <c r="W87" s="841"/>
      <c r="X87" s="841"/>
      <c r="Y87" s="841"/>
      <c r="Z87" s="841"/>
      <c r="AA87" s="841"/>
      <c r="AB87" s="841"/>
      <c r="AC87" s="841"/>
      <c r="AD87" s="841"/>
      <c r="AE87" s="841"/>
      <c r="AF87" s="841"/>
      <c r="AG87" s="1894"/>
      <c r="AH87" s="1894"/>
      <c r="AI87" s="1894"/>
      <c r="AJ87" s="1894"/>
      <c r="AK87" s="1894"/>
      <c r="AL87" s="1894"/>
      <c r="AM87" s="1894"/>
      <c r="AN87" s="1894"/>
      <c r="AO87" s="1894"/>
    </row>
    <row r="88" spans="2:44">
      <c r="B88" s="158"/>
      <c r="J88" s="1894"/>
      <c r="K88" s="1894"/>
      <c r="L88" s="1894"/>
      <c r="M88" s="1894"/>
      <c r="N88" s="1894"/>
      <c r="O88" s="1894"/>
      <c r="P88" s="1894"/>
      <c r="Q88" s="1894"/>
      <c r="R88" s="1894"/>
      <c r="S88" s="1894"/>
      <c r="T88" s="1894"/>
      <c r="U88" s="1894"/>
      <c r="V88" s="1894"/>
      <c r="W88" s="1894"/>
      <c r="X88" s="1895"/>
      <c r="Y88" s="1895"/>
      <c r="Z88" s="1895"/>
      <c r="AA88" s="1895"/>
      <c r="AB88" s="1895"/>
      <c r="AC88" s="1895"/>
      <c r="AD88" s="1895"/>
      <c r="AE88" s="1895"/>
      <c r="AF88" s="1895"/>
      <c r="AG88" s="1894"/>
      <c r="AH88" s="1894"/>
      <c r="AI88" s="1894"/>
      <c r="AJ88" s="1894"/>
      <c r="AK88" s="1894"/>
      <c r="AL88" s="1894"/>
      <c r="AM88" s="1894"/>
      <c r="AN88" s="1894"/>
      <c r="AO88" s="1894"/>
    </row>
    <row r="89" spans="2:44">
      <c r="B89" s="158"/>
      <c r="J89" s="1894"/>
      <c r="K89" s="1894"/>
      <c r="L89" s="1894"/>
      <c r="M89" s="1894"/>
      <c r="N89" s="1894"/>
      <c r="O89" s="1894"/>
      <c r="P89" s="1894"/>
      <c r="Q89" s="1894"/>
      <c r="R89" s="1894"/>
      <c r="S89" s="1894"/>
      <c r="T89" s="1894"/>
      <c r="U89" s="1894"/>
      <c r="V89" s="1894"/>
      <c r="W89" s="1894"/>
      <c r="X89" s="1895"/>
      <c r="Y89" s="1895"/>
      <c r="Z89" s="1895"/>
      <c r="AA89" s="1895"/>
      <c r="AB89" s="1895"/>
      <c r="AC89" s="1895"/>
      <c r="AD89" s="1895"/>
      <c r="AE89" s="1895"/>
      <c r="AF89" s="1895"/>
      <c r="AG89" s="1894"/>
      <c r="AH89" s="1894"/>
      <c r="AI89" s="1894"/>
      <c r="AJ89" s="1894"/>
      <c r="AK89" s="1894"/>
      <c r="AL89" s="1894"/>
      <c r="AM89" s="1894"/>
      <c r="AN89" s="1894"/>
      <c r="AO89" s="1894"/>
    </row>
    <row r="90" spans="2:44">
      <c r="B90" s="286" t="s">
        <v>934</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1894"/>
      <c r="AH90" s="1894"/>
      <c r="AI90" s="1894"/>
      <c r="AJ90" s="1894"/>
      <c r="AK90" s="1894"/>
      <c r="AL90" s="1894"/>
      <c r="AM90" s="1894"/>
      <c r="AN90" s="1894"/>
      <c r="AO90" s="1894"/>
    </row>
    <row r="91" spans="2:44" ht="5.25" customHeight="1">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1894"/>
      <c r="AH91" s="1894"/>
      <c r="AI91" s="1894"/>
      <c r="AJ91" s="1894"/>
      <c r="AK91" s="1894"/>
      <c r="AL91" s="1894"/>
      <c r="AM91" s="1894"/>
      <c r="AN91" s="1894"/>
      <c r="AO91" s="1894"/>
    </row>
    <row r="92" spans="2:44">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211">
        <v>2007</v>
      </c>
      <c r="AE92" s="196"/>
      <c r="AF92" s="211">
        <v>2009</v>
      </c>
      <c r="AG92" s="290">
        <v>2010</v>
      </c>
      <c r="AH92" s="290">
        <v>2011</v>
      </c>
      <c r="AI92" s="290">
        <v>2012</v>
      </c>
      <c r="AJ92" s="290">
        <v>2013</v>
      </c>
      <c r="AK92" s="290">
        <v>2014</v>
      </c>
      <c r="AL92" s="290">
        <v>2015</v>
      </c>
      <c r="AM92" s="290">
        <v>2016</v>
      </c>
      <c r="AN92" s="290">
        <v>2017</v>
      </c>
      <c r="AO92" s="290">
        <v>2018</v>
      </c>
      <c r="AP92" s="290">
        <v>2019</v>
      </c>
      <c r="AQ92" s="290">
        <v>2020</v>
      </c>
      <c r="AR92" s="290">
        <v>2021</v>
      </c>
    </row>
    <row r="93" spans="2:44" ht="6.75" customHeight="1">
      <c r="B93" s="158"/>
      <c r="C93" s="158"/>
      <c r="D93" s="158"/>
      <c r="E93" s="158"/>
      <c r="F93" s="158"/>
      <c r="G93" s="158"/>
      <c r="H93" s="158"/>
      <c r="I93" s="158"/>
      <c r="J93" s="158"/>
      <c r="K93" s="158"/>
      <c r="L93" s="158"/>
      <c r="M93" s="158"/>
      <c r="N93" s="158"/>
      <c r="O93" s="158"/>
      <c r="P93" s="158"/>
      <c r="Q93" s="158"/>
      <c r="R93" s="282"/>
      <c r="S93" s="282"/>
      <c r="T93" s="282"/>
      <c r="U93" s="282"/>
      <c r="V93" s="282"/>
      <c r="W93" s="282"/>
      <c r="X93" s="278"/>
      <c r="Y93" s="278"/>
      <c r="Z93" s="278"/>
      <c r="AA93" s="278"/>
      <c r="AB93" s="278"/>
      <c r="AC93" s="278"/>
      <c r="AD93" s="278"/>
      <c r="AE93" s="278"/>
      <c r="AF93" s="278"/>
      <c r="AG93" s="1894"/>
      <c r="AH93" s="1894"/>
      <c r="AI93" s="1894"/>
      <c r="AJ93" s="1894"/>
      <c r="AK93" s="1894"/>
      <c r="AL93" s="1894"/>
      <c r="AM93" s="1894"/>
      <c r="AN93" s="1894"/>
      <c r="AO93" s="1894"/>
    </row>
    <row r="94" spans="2:44">
      <c r="B94" s="217" t="s">
        <v>49</v>
      </c>
      <c r="L94" s="1904">
        <f t="shared" ref="L94:V94" si="23">SUM(L113:L116)</f>
        <v>4480</v>
      </c>
      <c r="M94" s="1904">
        <f t="shared" si="23"/>
        <v>4915</v>
      </c>
      <c r="N94" s="1904">
        <f t="shared" si="23"/>
        <v>5315</v>
      </c>
      <c r="O94" s="1904">
        <f t="shared" si="23"/>
        <v>5800</v>
      </c>
      <c r="P94" s="1904">
        <f t="shared" si="23"/>
        <v>6660</v>
      </c>
      <c r="Q94" s="1904">
        <f t="shared" si="23"/>
        <v>7255</v>
      </c>
      <c r="R94" s="1904">
        <f t="shared" si="23"/>
        <v>8440</v>
      </c>
      <c r="S94" s="1904">
        <f t="shared" si="23"/>
        <v>9480</v>
      </c>
      <c r="T94" s="1904">
        <f t="shared" si="23"/>
        <v>10265</v>
      </c>
      <c r="U94" s="1904">
        <f t="shared" si="23"/>
        <v>10026</v>
      </c>
      <c r="V94" s="1904">
        <f t="shared" si="23"/>
        <v>8570</v>
      </c>
      <c r="X94" s="1905">
        <f>SUM(X97:X117)</f>
        <v>78658</v>
      </c>
      <c r="Y94" s="1905"/>
      <c r="Z94" s="1905">
        <f>SUM(Z97:Z117)</f>
        <v>84304</v>
      </c>
      <c r="AA94" s="1905"/>
      <c r="AB94" s="1905">
        <f>SUM(AB97:AB117)</f>
        <v>91916</v>
      </c>
      <c r="AC94" s="1905"/>
      <c r="AD94" s="1905">
        <f>SUM(AD97:AD117)</f>
        <v>83830</v>
      </c>
      <c r="AE94" s="1905"/>
      <c r="AF94" s="1905">
        <f>SUM(AF97:AF117)</f>
        <v>97363</v>
      </c>
      <c r="AG94" s="1905">
        <f>SUM(AG97,AG101:AG117)</f>
        <v>149653</v>
      </c>
      <c r="AH94" s="1905">
        <f>SUM(AH97,AH101:AH117)</f>
        <v>130420</v>
      </c>
      <c r="AI94" s="1905">
        <f t="shared" ref="AI94:AL94" si="24">SUM(AI97,AI101:AI117)</f>
        <v>106872</v>
      </c>
      <c r="AJ94" s="1905">
        <f t="shared" si="24"/>
        <v>110060</v>
      </c>
      <c r="AK94" s="1905">
        <f t="shared" si="24"/>
        <v>121768</v>
      </c>
      <c r="AL94" s="1905">
        <f t="shared" si="24"/>
        <v>127295</v>
      </c>
      <c r="AM94" s="1905">
        <f>SUM(AM97,AM101:AM117)</f>
        <v>132538</v>
      </c>
      <c r="AN94" s="1905">
        <f>SUM(AN97,AN101:AN117)</f>
        <v>134776</v>
      </c>
      <c r="AO94" s="1905">
        <f>SUM(AO97,AO101:AO104,AO106:AO118)</f>
        <v>104233</v>
      </c>
      <c r="AP94" s="1905">
        <f t="shared" ref="AP94:AR94" si="25">SUM(AP97,AP101:AP104,AP106:AP118)</f>
        <v>145918</v>
      </c>
      <c r="AQ94" s="1905">
        <f t="shared" si="25"/>
        <v>150580</v>
      </c>
      <c r="AR94" s="1905">
        <f t="shared" si="25"/>
        <v>153210</v>
      </c>
    </row>
    <row r="95" spans="2:44" ht="6.75" customHeight="1">
      <c r="P95" s="1893"/>
      <c r="Q95" s="1893"/>
      <c r="R95" s="1893"/>
      <c r="S95" s="1893"/>
      <c r="T95" s="1893"/>
      <c r="U95" s="1893"/>
      <c r="V95" s="1893"/>
      <c r="W95" s="1893"/>
      <c r="AG95" s="1180"/>
      <c r="AH95" s="1180"/>
      <c r="AI95" s="1180"/>
      <c r="AJ95" s="1180"/>
      <c r="AK95" s="1180"/>
      <c r="AL95" s="1180"/>
      <c r="AM95" s="1180"/>
      <c r="AN95" s="1180"/>
      <c r="AO95" s="1180"/>
      <c r="AP95" s="1180"/>
      <c r="AQ95" s="1180"/>
      <c r="AR95" s="1180"/>
    </row>
    <row r="96" spans="2:44">
      <c r="D96" s="1906" t="s">
        <v>54</v>
      </c>
      <c r="P96" s="1893"/>
      <c r="Q96" s="1893"/>
      <c r="R96" s="1893"/>
      <c r="S96" s="1893"/>
      <c r="T96" s="1893"/>
      <c r="U96" s="1893"/>
      <c r="V96" s="1893"/>
      <c r="W96" s="1893"/>
      <c r="AG96" s="1180"/>
      <c r="AH96" s="1180"/>
      <c r="AI96" s="1180"/>
      <c r="AJ96" s="1180"/>
      <c r="AK96" s="1180"/>
      <c r="AL96" s="1180"/>
      <c r="AM96" s="1180"/>
      <c r="AN96" s="1180"/>
      <c r="AO96" s="1180"/>
      <c r="AP96" s="1180"/>
      <c r="AQ96" s="1180"/>
      <c r="AR96" s="1180"/>
    </row>
    <row r="97" spans="4:46">
      <c r="D97" s="1164" t="s">
        <v>935</v>
      </c>
      <c r="L97" s="1164">
        <v>3710</v>
      </c>
      <c r="M97" s="1907">
        <v>3895</v>
      </c>
      <c r="N97" s="1907">
        <v>2545</v>
      </c>
      <c r="O97" s="1907">
        <v>2795</v>
      </c>
      <c r="P97" s="1894">
        <v>2540</v>
      </c>
      <c r="Q97" s="1894">
        <v>2675</v>
      </c>
      <c r="R97" s="1894">
        <v>2730</v>
      </c>
      <c r="S97" s="1894">
        <v>2865</v>
      </c>
      <c r="T97" s="1894">
        <v>2515</v>
      </c>
      <c r="U97" s="1894">
        <v>2485</v>
      </c>
      <c r="V97" s="1894">
        <v>2420</v>
      </c>
      <c r="W97" s="1894"/>
      <c r="X97" s="1895">
        <v>3182</v>
      </c>
      <c r="Y97" s="1895"/>
      <c r="Z97" s="1895">
        <v>3310</v>
      </c>
      <c r="AA97" s="1895"/>
      <c r="AB97" s="1895">
        <v>3680</v>
      </c>
      <c r="AC97" s="1895"/>
      <c r="AD97" s="1895">
        <v>3950</v>
      </c>
      <c r="AE97" s="1895"/>
      <c r="AF97" s="1895">
        <f>770+10+4330</f>
        <v>5110</v>
      </c>
      <c r="AG97" s="1895">
        <f>SUM(AG98:AG100)</f>
        <v>4700</v>
      </c>
      <c r="AH97" s="1895">
        <f>SUM(AH98:AH100)</f>
        <v>5050</v>
      </c>
      <c r="AI97" s="1895">
        <f t="shared" ref="AI97:AM97" si="26">SUM(AI98:AI100)</f>
        <v>4780</v>
      </c>
      <c r="AJ97" s="1895">
        <f>SUM(AJ98:AJ100)</f>
        <v>5050</v>
      </c>
      <c r="AK97" s="1895">
        <f>SUM(AK98:AK100)</f>
        <v>5320</v>
      </c>
      <c r="AL97" s="1895">
        <f t="shared" si="26"/>
        <v>5410</v>
      </c>
      <c r="AM97" s="1895">
        <f t="shared" si="26"/>
        <v>5530</v>
      </c>
      <c r="AN97" s="1895">
        <v>5510</v>
      </c>
      <c r="AO97" s="1895">
        <v>5290</v>
      </c>
      <c r="AP97" s="1895">
        <v>4850</v>
      </c>
      <c r="AQ97" s="1895">
        <f>SUM(AQ98:AQ100)</f>
        <v>3790</v>
      </c>
      <c r="AR97" s="1895">
        <f>SUM(AR98:AR100)</f>
        <v>4300</v>
      </c>
    </row>
    <row r="98" spans="4:46" outlineLevel="1">
      <c r="D98" s="1164" t="s">
        <v>936</v>
      </c>
      <c r="M98" s="1907"/>
      <c r="N98" s="1907"/>
      <c r="O98" s="1907"/>
      <c r="P98" s="1894"/>
      <c r="Q98" s="1894"/>
      <c r="R98" s="1894"/>
      <c r="S98" s="1894"/>
      <c r="T98" s="1894"/>
      <c r="U98" s="1894"/>
      <c r="V98" s="1894"/>
      <c r="W98" s="1894"/>
      <c r="X98" s="1895"/>
      <c r="Y98" s="1895"/>
      <c r="Z98" s="1895"/>
      <c r="AA98" s="1895"/>
      <c r="AB98" s="1895"/>
      <c r="AC98" s="1895"/>
      <c r="AD98" s="1895"/>
      <c r="AE98" s="1895"/>
      <c r="AF98" s="1895"/>
      <c r="AG98" s="1895">
        <v>1220</v>
      </c>
      <c r="AH98" s="1895">
        <v>840</v>
      </c>
      <c r="AI98" s="1895">
        <v>1360</v>
      </c>
      <c r="AJ98" s="1895">
        <v>880</v>
      </c>
      <c r="AK98" s="1895">
        <v>890</v>
      </c>
      <c r="AL98" s="1895">
        <v>900</v>
      </c>
      <c r="AM98" s="1895">
        <v>950</v>
      </c>
      <c r="AN98" s="1895">
        <v>900</v>
      </c>
      <c r="AO98" s="1895">
        <v>720</v>
      </c>
      <c r="AP98" s="1895">
        <v>570</v>
      </c>
      <c r="AQ98" s="1895">
        <v>580</v>
      </c>
      <c r="AR98" s="1895">
        <v>420</v>
      </c>
    </row>
    <row r="99" spans="4:46" outlineLevel="1">
      <c r="D99" s="1164" t="s">
        <v>937</v>
      </c>
      <c r="M99" s="1907"/>
      <c r="N99" s="1907"/>
      <c r="O99" s="1907"/>
      <c r="P99" s="1894"/>
      <c r="Q99" s="1894"/>
      <c r="R99" s="1894"/>
      <c r="S99" s="1894"/>
      <c r="T99" s="1894"/>
      <c r="U99" s="1894"/>
      <c r="V99" s="1894"/>
      <c r="W99" s="1894"/>
      <c r="X99" s="1895"/>
      <c r="Y99" s="1895"/>
      <c r="Z99" s="1895"/>
      <c r="AA99" s="1895"/>
      <c r="AB99" s="1895"/>
      <c r="AC99" s="1895"/>
      <c r="AD99" s="1895"/>
      <c r="AE99" s="1895"/>
      <c r="AF99" s="1895"/>
      <c r="AG99" s="1895">
        <v>10</v>
      </c>
      <c r="AH99" s="1895">
        <v>10</v>
      </c>
      <c r="AI99" s="1895">
        <v>10</v>
      </c>
      <c r="AJ99" s="1895">
        <v>10</v>
      </c>
      <c r="AK99" s="1895">
        <v>10</v>
      </c>
      <c r="AL99" s="1895">
        <v>10</v>
      </c>
      <c r="AM99" s="1895">
        <v>10</v>
      </c>
      <c r="AN99" s="1895">
        <v>10</v>
      </c>
      <c r="AO99" s="1895">
        <v>10</v>
      </c>
      <c r="AP99" s="1895">
        <v>20</v>
      </c>
      <c r="AQ99" s="1895">
        <v>20</v>
      </c>
      <c r="AR99" s="1895">
        <v>20</v>
      </c>
    </row>
    <row r="100" spans="4:46" outlineLevel="1">
      <c r="D100" s="1164" t="s">
        <v>938</v>
      </c>
      <c r="M100" s="1907"/>
      <c r="N100" s="1907"/>
      <c r="O100" s="1907"/>
      <c r="P100" s="1894"/>
      <c r="Q100" s="1894"/>
      <c r="R100" s="1894"/>
      <c r="S100" s="1894"/>
      <c r="T100" s="1894"/>
      <c r="U100" s="1894"/>
      <c r="V100" s="1894"/>
      <c r="W100" s="1894"/>
      <c r="X100" s="1895"/>
      <c r="Y100" s="1895"/>
      <c r="Z100" s="1895"/>
      <c r="AA100" s="1895"/>
      <c r="AB100" s="1895"/>
      <c r="AC100" s="1895"/>
      <c r="AD100" s="1895"/>
      <c r="AE100" s="1895"/>
      <c r="AF100" s="1895"/>
      <c r="AG100" s="1895">
        <v>3470</v>
      </c>
      <c r="AH100" s="1895">
        <v>4200</v>
      </c>
      <c r="AI100" s="1895">
        <v>3410</v>
      </c>
      <c r="AJ100" s="1895">
        <v>4160</v>
      </c>
      <c r="AK100" s="1895">
        <v>4420</v>
      </c>
      <c r="AL100" s="1895">
        <v>4500</v>
      </c>
      <c r="AM100" s="1895">
        <v>4570</v>
      </c>
      <c r="AN100" s="1895">
        <v>4600</v>
      </c>
      <c r="AO100" s="1895">
        <v>4560</v>
      </c>
      <c r="AP100" s="1895">
        <v>4260</v>
      </c>
      <c r="AQ100" s="1895">
        <v>3190</v>
      </c>
      <c r="AR100" s="1895">
        <v>3860</v>
      </c>
    </row>
    <row r="101" spans="4:46">
      <c r="D101" s="1164" t="s">
        <v>939</v>
      </c>
      <c r="L101" s="1164">
        <v>20</v>
      </c>
      <c r="M101" s="1907">
        <v>20</v>
      </c>
      <c r="N101" s="1907">
        <v>20</v>
      </c>
      <c r="O101" s="1907">
        <v>20</v>
      </c>
      <c r="P101" s="1894">
        <v>25</v>
      </c>
      <c r="Q101" s="1894">
        <v>30</v>
      </c>
      <c r="R101" s="1894">
        <v>30</v>
      </c>
      <c r="S101" s="1894">
        <v>30</v>
      </c>
      <c r="T101" s="1894">
        <v>35</v>
      </c>
      <c r="U101" s="1894">
        <v>35</v>
      </c>
      <c r="V101" s="1894">
        <v>35</v>
      </c>
      <c r="W101" s="1894"/>
      <c r="X101" s="1895">
        <v>500</v>
      </c>
      <c r="Y101" s="1895"/>
      <c r="Z101" s="1895">
        <v>430</v>
      </c>
      <c r="AA101" s="1895"/>
      <c r="AB101" s="1895">
        <v>440</v>
      </c>
      <c r="AC101" s="1895"/>
      <c r="AD101" s="1895">
        <v>420</v>
      </c>
      <c r="AE101" s="1895"/>
      <c r="AF101" s="1895">
        <v>440</v>
      </c>
      <c r="AG101" s="1895">
        <v>420</v>
      </c>
      <c r="AH101" s="1895">
        <v>410</v>
      </c>
      <c r="AI101" s="1895">
        <v>420</v>
      </c>
      <c r="AJ101" s="1895">
        <v>380</v>
      </c>
      <c r="AK101" s="1895">
        <v>380</v>
      </c>
      <c r="AL101" s="1895">
        <v>430</v>
      </c>
      <c r="AM101" s="1895">
        <v>450</v>
      </c>
      <c r="AN101" s="1895">
        <v>490</v>
      </c>
      <c r="AO101" s="1895">
        <v>480</v>
      </c>
      <c r="AP101" s="1895">
        <v>480</v>
      </c>
      <c r="AQ101" s="1895">
        <v>490</v>
      </c>
      <c r="AR101" s="1895">
        <v>510</v>
      </c>
    </row>
    <row r="102" spans="4:46">
      <c r="D102" s="1164" t="s">
        <v>940</v>
      </c>
      <c r="L102" s="1894" t="s">
        <v>269</v>
      </c>
      <c r="M102" s="1894" t="s">
        <v>269</v>
      </c>
      <c r="N102" s="1894" t="s">
        <v>269</v>
      </c>
      <c r="O102" s="1894" t="s">
        <v>269</v>
      </c>
      <c r="P102" s="1894" t="s">
        <v>269</v>
      </c>
      <c r="Q102" s="1894" t="s">
        <v>269</v>
      </c>
      <c r="R102" s="1894" t="s">
        <v>269</v>
      </c>
      <c r="S102" s="1894" t="s">
        <v>269</v>
      </c>
      <c r="T102" s="1894" t="s">
        <v>269</v>
      </c>
      <c r="U102" s="1894" t="s">
        <v>269</v>
      </c>
      <c r="V102" s="1894">
        <v>125</v>
      </c>
      <c r="W102" s="1894"/>
      <c r="X102" s="1895">
        <v>130</v>
      </c>
      <c r="Y102" s="1895"/>
      <c r="Z102" s="1895">
        <v>220</v>
      </c>
      <c r="AA102" s="1895"/>
      <c r="AB102" s="1895">
        <v>360</v>
      </c>
      <c r="AC102" s="1895"/>
      <c r="AD102" s="1895">
        <v>370</v>
      </c>
      <c r="AE102" s="1895"/>
      <c r="AF102" s="1895">
        <v>530</v>
      </c>
      <c r="AG102" s="1895">
        <v>660</v>
      </c>
      <c r="AH102" s="1895">
        <v>1200</v>
      </c>
      <c r="AI102" s="1895">
        <f>62</f>
        <v>62</v>
      </c>
      <c r="AJ102" s="1895">
        <v>450</v>
      </c>
      <c r="AK102" s="1895">
        <v>260</v>
      </c>
      <c r="AL102" s="1895">
        <v>270</v>
      </c>
      <c r="AM102" s="1895">
        <v>300</v>
      </c>
      <c r="AN102" s="1895">
        <v>620</v>
      </c>
      <c r="AO102" s="1895">
        <v>630</v>
      </c>
      <c r="AP102" s="1895">
        <v>700</v>
      </c>
      <c r="AQ102" s="1895">
        <v>770</v>
      </c>
      <c r="AR102" s="1895">
        <v>790</v>
      </c>
    </row>
    <row r="103" spans="4:46">
      <c r="D103" s="1164" t="s">
        <v>941</v>
      </c>
      <c r="M103" s="1907"/>
      <c r="N103" s="1907"/>
      <c r="O103" s="1907"/>
      <c r="P103" s="1894"/>
      <c r="Q103" s="1894"/>
      <c r="R103" s="1894"/>
      <c r="S103" s="1894"/>
      <c r="T103" s="1894"/>
      <c r="U103" s="1894"/>
      <c r="V103" s="1894"/>
      <c r="W103" s="1894"/>
      <c r="X103" s="1895">
        <v>190</v>
      </c>
      <c r="Y103" s="1895"/>
      <c r="Z103" s="1895">
        <v>250</v>
      </c>
      <c r="AA103" s="1895"/>
      <c r="AB103" s="1895">
        <v>310</v>
      </c>
      <c r="AC103" s="1895"/>
      <c r="AD103" s="1895">
        <v>350</v>
      </c>
      <c r="AE103" s="1895"/>
      <c r="AF103" s="1895">
        <v>450</v>
      </c>
      <c r="AG103" s="1895">
        <v>460</v>
      </c>
      <c r="AH103" s="1895">
        <v>500</v>
      </c>
      <c r="AI103" s="1895">
        <v>530</v>
      </c>
      <c r="AJ103" s="1895">
        <v>530</v>
      </c>
      <c r="AK103" s="1895">
        <v>530</v>
      </c>
      <c r="AL103" s="1895">
        <v>560</v>
      </c>
      <c r="AM103" s="1895">
        <v>560</v>
      </c>
      <c r="AN103" s="1895">
        <v>590</v>
      </c>
      <c r="AO103" s="1895">
        <v>550</v>
      </c>
      <c r="AP103" s="1895">
        <v>590</v>
      </c>
      <c r="AQ103" s="1895">
        <v>620</v>
      </c>
      <c r="AR103" s="1895">
        <v>660</v>
      </c>
    </row>
    <row r="104" spans="4:46">
      <c r="D104" s="1164" t="s">
        <v>942</v>
      </c>
      <c r="L104" s="1894" t="s">
        <v>269</v>
      </c>
      <c r="M104" s="1894" t="s">
        <v>269</v>
      </c>
      <c r="N104" s="1894" t="s">
        <v>269</v>
      </c>
      <c r="O104" s="1894" t="s">
        <v>269</v>
      </c>
      <c r="P104" s="1894" t="s">
        <v>269</v>
      </c>
      <c r="Q104" s="1894" t="s">
        <v>269</v>
      </c>
      <c r="R104" s="1894" t="s">
        <v>269</v>
      </c>
      <c r="S104" s="1894" t="s">
        <v>269</v>
      </c>
      <c r="T104" s="1894" t="s">
        <v>269</v>
      </c>
      <c r="U104" s="1894">
        <v>3525</v>
      </c>
      <c r="V104" s="1894">
        <v>19435</v>
      </c>
      <c r="W104" s="1894"/>
      <c r="X104" s="1895">
        <v>29312</v>
      </c>
      <c r="Y104" s="1895"/>
      <c r="Z104" s="1895">
        <v>37970</v>
      </c>
      <c r="AA104" s="1895"/>
      <c r="AB104" s="1895">
        <v>41790</v>
      </c>
      <c r="AC104" s="1895"/>
      <c r="AD104" s="1895">
        <v>30910</v>
      </c>
      <c r="AE104" s="1895"/>
      <c r="AF104" s="1895">
        <v>25640</v>
      </c>
      <c r="AG104" s="1895">
        <v>23030</v>
      </c>
      <c r="AH104" s="1895">
        <v>23410</v>
      </c>
      <c r="AI104" s="1895">
        <f>24790</f>
        <v>24790</v>
      </c>
      <c r="AJ104" s="1895">
        <v>23480</v>
      </c>
      <c r="AK104" s="1895">
        <v>23800</v>
      </c>
      <c r="AL104" s="1895">
        <v>23980</v>
      </c>
      <c r="AM104" s="1895">
        <v>24180</v>
      </c>
      <c r="AN104" s="1895">
        <v>24340</v>
      </c>
      <c r="AO104" s="1895">
        <v>30450</v>
      </c>
      <c r="AP104" s="1895">
        <v>74880</v>
      </c>
      <c r="AQ104" s="1895">
        <v>70170</v>
      </c>
      <c r="AR104" s="1895">
        <v>72570</v>
      </c>
    </row>
    <row r="105" spans="4:46">
      <c r="D105" s="1164" t="s">
        <v>1649</v>
      </c>
      <c r="L105" s="1894"/>
      <c r="M105" s="1894"/>
      <c r="N105" s="1894"/>
      <c r="O105" s="1894"/>
      <c r="P105" s="1894"/>
      <c r="Q105" s="1894"/>
      <c r="R105" s="1894"/>
      <c r="S105" s="1894"/>
      <c r="T105" s="1894"/>
      <c r="U105" s="1894"/>
      <c r="V105" s="1894"/>
      <c r="W105" s="1894"/>
      <c r="X105" s="1895"/>
      <c r="Y105" s="1895"/>
      <c r="Z105" s="1895"/>
      <c r="AA105" s="1895"/>
      <c r="AB105" s="1895"/>
      <c r="AC105" s="1895"/>
      <c r="AD105" s="1895"/>
      <c r="AE105" s="1895"/>
      <c r="AF105" s="1895"/>
      <c r="AG105" s="1895"/>
      <c r="AH105" s="1895"/>
      <c r="AI105" s="1895"/>
      <c r="AJ105" s="1895"/>
      <c r="AK105" s="1895"/>
      <c r="AL105" s="1895"/>
      <c r="AM105" s="1895"/>
      <c r="AN105" s="1895">
        <v>0</v>
      </c>
      <c r="AO105" s="1895">
        <v>3980</v>
      </c>
      <c r="AP105" s="1895">
        <v>9520</v>
      </c>
      <c r="AQ105" s="1895">
        <v>9690</v>
      </c>
      <c r="AR105" s="1895">
        <v>9071</v>
      </c>
      <c r="AT105" s="1164" t="s">
        <v>1650</v>
      </c>
    </row>
    <row r="106" spans="4:46">
      <c r="D106" s="1164" t="s">
        <v>943</v>
      </c>
      <c r="M106" s="1907"/>
      <c r="N106" s="1907"/>
      <c r="O106" s="1907"/>
      <c r="P106" s="1894"/>
      <c r="Q106" s="1894"/>
      <c r="R106" s="1894"/>
      <c r="S106" s="1894"/>
      <c r="T106" s="1894"/>
      <c r="U106" s="1894"/>
      <c r="V106" s="1894"/>
      <c r="W106" s="1894"/>
      <c r="X106" s="1895">
        <v>35353</v>
      </c>
      <c r="Y106" s="1895"/>
      <c r="Z106" s="1895">
        <v>30785</v>
      </c>
      <c r="AA106" s="1895"/>
      <c r="AB106" s="1895">
        <v>33211</v>
      </c>
      <c r="AC106" s="1895"/>
      <c r="AD106" s="1895">
        <v>37580</v>
      </c>
      <c r="AE106" s="1895"/>
      <c r="AF106" s="1895">
        <v>40703</v>
      </c>
      <c r="AG106" s="1895">
        <v>40303</v>
      </c>
      <c r="AH106" s="1895">
        <v>40910</v>
      </c>
      <c r="AI106" s="1895">
        <v>42580</v>
      </c>
      <c r="AJ106" s="1895">
        <v>43290</v>
      </c>
      <c r="AK106" s="1895">
        <v>54338</v>
      </c>
      <c r="AL106" s="1895">
        <v>54995</v>
      </c>
      <c r="AM106" s="1895">
        <v>56238</v>
      </c>
      <c r="AN106" s="1895">
        <v>53496</v>
      </c>
      <c r="AO106" s="1895">
        <v>7503</v>
      </c>
      <c r="AP106" s="1895">
        <v>7188</v>
      </c>
      <c r="AQ106" s="1895">
        <v>5420</v>
      </c>
      <c r="AR106" s="1895">
        <v>6050</v>
      </c>
    </row>
    <row r="107" spans="4:46">
      <c r="M107" s="1907"/>
      <c r="N107" s="1907"/>
      <c r="O107" s="1907"/>
      <c r="P107" s="1894"/>
      <c r="Q107" s="1894"/>
      <c r="R107" s="1894"/>
      <c r="S107" s="1894"/>
      <c r="T107" s="1894"/>
      <c r="U107" s="1894"/>
      <c r="V107" s="1894"/>
      <c r="W107" s="1894"/>
      <c r="X107" s="1895"/>
      <c r="Y107" s="1895"/>
      <c r="Z107" s="1895"/>
      <c r="AA107" s="1895"/>
      <c r="AB107" s="1895"/>
      <c r="AC107" s="1895"/>
      <c r="AD107" s="1895"/>
      <c r="AE107" s="1895"/>
      <c r="AF107" s="1895"/>
      <c r="AG107" s="1895"/>
      <c r="AH107" s="1895"/>
      <c r="AI107" s="1895"/>
      <c r="AJ107" s="1895"/>
      <c r="AK107" s="1895"/>
      <c r="AL107" s="1895"/>
      <c r="AM107" s="1895"/>
      <c r="AN107" s="1895"/>
      <c r="AO107" s="1180"/>
      <c r="AP107" s="1180"/>
      <c r="AQ107" s="1180"/>
      <c r="AR107" s="1180"/>
    </row>
    <row r="108" spans="4:46">
      <c r="D108" s="1906" t="s">
        <v>944</v>
      </c>
      <c r="M108" s="1907"/>
      <c r="N108" s="1907"/>
      <c r="O108" s="1907"/>
      <c r="P108" s="1894"/>
      <c r="Q108" s="1894"/>
      <c r="R108" s="1894"/>
      <c r="S108" s="1894"/>
      <c r="T108" s="1894"/>
      <c r="U108" s="1894"/>
      <c r="V108" s="1894"/>
      <c r="W108" s="1894"/>
      <c r="X108" s="1895"/>
      <c r="Y108" s="1895"/>
      <c r="Z108" s="1895"/>
      <c r="AA108" s="1895"/>
      <c r="AB108" s="1895"/>
      <c r="AC108" s="1895"/>
      <c r="AD108" s="1895"/>
      <c r="AE108" s="1895"/>
      <c r="AF108" s="1895"/>
      <c r="AG108" s="1895"/>
      <c r="AH108" s="1895"/>
      <c r="AI108" s="1895"/>
      <c r="AJ108" s="1895"/>
      <c r="AK108" s="1895"/>
      <c r="AL108" s="1895"/>
      <c r="AM108" s="1895"/>
      <c r="AN108" s="1895"/>
      <c r="AO108" s="1180"/>
      <c r="AP108" s="1180"/>
      <c r="AQ108" s="1180"/>
      <c r="AR108" s="1180"/>
    </row>
    <row r="109" spans="4:46">
      <c r="D109" s="1164" t="s">
        <v>940</v>
      </c>
      <c r="M109" s="1907"/>
      <c r="N109" s="1907"/>
      <c r="O109" s="1907"/>
      <c r="P109" s="1894"/>
      <c r="Q109" s="1894"/>
      <c r="R109" s="1894"/>
      <c r="S109" s="1894"/>
      <c r="T109" s="1894"/>
      <c r="U109" s="1894"/>
      <c r="V109" s="1894"/>
      <c r="W109" s="1894"/>
      <c r="X109" s="1895"/>
      <c r="Y109" s="1895"/>
      <c r="Z109" s="1895"/>
      <c r="AA109" s="1895"/>
      <c r="AB109" s="1895"/>
      <c r="AC109" s="1895"/>
      <c r="AD109" s="1895"/>
      <c r="AE109" s="1895"/>
      <c r="AF109" s="1895"/>
      <c r="AG109" s="1895">
        <v>940</v>
      </c>
      <c r="AH109" s="1895">
        <v>1150</v>
      </c>
      <c r="AI109" s="1895">
        <v>700</v>
      </c>
      <c r="AJ109" s="1895">
        <v>0</v>
      </c>
      <c r="AK109" s="1895">
        <v>60</v>
      </c>
      <c r="AL109" s="1895">
        <v>30</v>
      </c>
      <c r="AM109" s="1895">
        <v>0</v>
      </c>
      <c r="AN109" s="1895">
        <v>0</v>
      </c>
      <c r="AO109" s="1895">
        <v>0</v>
      </c>
      <c r="AP109" s="1895">
        <v>0</v>
      </c>
      <c r="AQ109" s="1180">
        <v>0</v>
      </c>
      <c r="AR109" s="1180">
        <v>0</v>
      </c>
      <c r="AT109" s="1164" t="s">
        <v>945</v>
      </c>
    </row>
    <row r="110" spans="4:46">
      <c r="D110" s="1164" t="s">
        <v>942</v>
      </c>
      <c r="M110" s="1907"/>
      <c r="N110" s="1907"/>
      <c r="O110" s="1907"/>
      <c r="P110" s="1894"/>
      <c r="Q110" s="1894"/>
      <c r="R110" s="1894"/>
      <c r="S110" s="1894"/>
      <c r="T110" s="1894"/>
      <c r="U110" s="1894"/>
      <c r="V110" s="1894"/>
      <c r="W110" s="1894"/>
      <c r="X110" s="1895"/>
      <c r="Y110" s="1895"/>
      <c r="Z110" s="1895"/>
      <c r="AA110" s="1895"/>
      <c r="AB110" s="1895"/>
      <c r="AC110" s="1895"/>
      <c r="AD110" s="1895"/>
      <c r="AE110" s="1895"/>
      <c r="AF110" s="1895"/>
      <c r="AG110" s="1895">
        <v>24470</v>
      </c>
      <c r="AH110" s="1895">
        <v>22890</v>
      </c>
      <c r="AI110" s="1895">
        <v>22620</v>
      </c>
      <c r="AJ110" s="1895">
        <v>21660</v>
      </c>
      <c r="AK110" s="1895">
        <v>22570</v>
      </c>
      <c r="AL110" s="1895">
        <v>26990</v>
      </c>
      <c r="AM110" s="1895">
        <v>29990</v>
      </c>
      <c r="AN110" s="1895">
        <v>29980</v>
      </c>
      <c r="AO110" s="1895">
        <v>35000</v>
      </c>
      <c r="AP110" s="1895">
        <v>40110</v>
      </c>
      <c r="AQ110" s="1895">
        <v>45200</v>
      </c>
      <c r="AR110" s="1895">
        <v>43100</v>
      </c>
    </row>
    <row r="111" spans="4:46">
      <c r="P111" s="1893"/>
      <c r="Q111" s="1893"/>
      <c r="R111" s="1893"/>
      <c r="S111" s="1893"/>
      <c r="T111" s="1893"/>
      <c r="U111" s="1893"/>
      <c r="V111" s="1893"/>
      <c r="W111" s="1893"/>
      <c r="AG111" s="1180"/>
      <c r="AH111" s="1180"/>
      <c r="AI111" s="1180"/>
      <c r="AJ111" s="1180"/>
      <c r="AK111" s="1180"/>
      <c r="AL111" s="1180"/>
      <c r="AM111" s="1180"/>
      <c r="AN111" s="1180"/>
      <c r="AO111" s="1180"/>
      <c r="AP111" s="1180"/>
      <c r="AQ111" s="1895"/>
      <c r="AR111" s="1895"/>
    </row>
    <row r="112" spans="4:46">
      <c r="D112" s="1906" t="s">
        <v>56</v>
      </c>
      <c r="P112" s="1893"/>
      <c r="Q112" s="1893"/>
      <c r="R112" s="1893"/>
      <c r="S112" s="1893"/>
      <c r="T112" s="1893"/>
      <c r="U112" s="1893"/>
      <c r="V112" s="1893"/>
      <c r="W112" s="1893"/>
      <c r="AG112" s="1180"/>
      <c r="AH112" s="1180"/>
      <c r="AI112" s="1180"/>
      <c r="AJ112" s="1180"/>
      <c r="AK112" s="1180"/>
      <c r="AL112" s="1180"/>
      <c r="AM112" s="1180"/>
      <c r="AN112" s="1180"/>
      <c r="AO112" s="1180"/>
      <c r="AP112" s="1180"/>
      <c r="AQ112" s="1895"/>
      <c r="AR112" s="1895"/>
    </row>
    <row r="113" spans="1:46">
      <c r="D113" s="1164" t="s">
        <v>946</v>
      </c>
      <c r="L113" s="1164">
        <v>2690</v>
      </c>
      <c r="M113" s="1907">
        <v>2860</v>
      </c>
      <c r="N113" s="1907">
        <v>3025</v>
      </c>
      <c r="O113" s="1907">
        <v>3170</v>
      </c>
      <c r="P113" s="1894">
        <v>3010</v>
      </c>
      <c r="Q113" s="1894">
        <v>3270</v>
      </c>
      <c r="R113" s="1894">
        <v>3495</v>
      </c>
      <c r="S113" s="1894">
        <v>3785</v>
      </c>
      <c r="T113" s="1894">
        <v>4175</v>
      </c>
      <c r="U113" s="1894">
        <v>3615</v>
      </c>
      <c r="V113" s="1894">
        <v>3695</v>
      </c>
      <c r="W113" s="1894"/>
      <c r="X113" s="1895">
        <v>4990</v>
      </c>
      <c r="Y113" s="1895"/>
      <c r="Z113" s="1895">
        <v>6240</v>
      </c>
      <c r="AA113" s="1895"/>
      <c r="AB113" s="1895">
        <v>6110</v>
      </c>
      <c r="AC113" s="1895"/>
      <c r="AD113" s="1895">
        <v>4470</v>
      </c>
      <c r="AE113" s="1895"/>
      <c r="AF113" s="1895">
        <v>8760</v>
      </c>
      <c r="AG113" s="1895">
        <v>9090</v>
      </c>
      <c r="AH113" s="1895">
        <v>8280</v>
      </c>
      <c r="AI113" s="1895">
        <v>7230</v>
      </c>
      <c r="AJ113" s="1895">
        <v>8010</v>
      </c>
      <c r="AK113" s="1895">
        <v>6810</v>
      </c>
      <c r="AL113" s="1895">
        <v>7660</v>
      </c>
      <c r="AM113" s="1895">
        <v>7970</v>
      </c>
      <c r="AN113" s="1895">
        <v>9720</v>
      </c>
      <c r="AO113" s="1895">
        <v>8840</v>
      </c>
      <c r="AP113" s="1895">
        <v>6500</v>
      </c>
      <c r="AQ113" s="1895">
        <v>7100</v>
      </c>
      <c r="AR113" s="1895">
        <v>8350</v>
      </c>
    </row>
    <row r="114" spans="1:46">
      <c r="A114" s="1164" t="s">
        <v>476</v>
      </c>
      <c r="B114" s="1164" t="s">
        <v>234</v>
      </c>
      <c r="D114" s="1164" t="s">
        <v>947</v>
      </c>
      <c r="L114" s="1894" t="s">
        <v>269</v>
      </c>
      <c r="M114" s="1894" t="s">
        <v>269</v>
      </c>
      <c r="N114" s="1894" t="s">
        <v>269</v>
      </c>
      <c r="O114" s="1894" t="s">
        <v>269</v>
      </c>
      <c r="P114" s="1894" t="s">
        <v>269</v>
      </c>
      <c r="Q114" s="1894" t="s">
        <v>269</v>
      </c>
      <c r="R114" s="1894" t="s">
        <v>269</v>
      </c>
      <c r="S114" s="1894" t="s">
        <v>269</v>
      </c>
      <c r="T114" s="1894" t="s">
        <v>269</v>
      </c>
      <c r="U114" s="1894">
        <v>30</v>
      </c>
      <c r="V114" s="1894">
        <v>20</v>
      </c>
      <c r="W114" s="1894"/>
      <c r="X114" s="1895">
        <v>20</v>
      </c>
      <c r="Y114" s="1895"/>
      <c r="Z114" s="1895">
        <v>-30</v>
      </c>
      <c r="AA114" s="1895"/>
      <c r="AB114" s="1895">
        <v>1050</v>
      </c>
      <c r="AC114" s="1895"/>
      <c r="AD114" s="1895">
        <v>760</v>
      </c>
      <c r="AE114" s="1895"/>
      <c r="AF114" s="1895">
        <v>1930</v>
      </c>
      <c r="AG114" s="1895">
        <v>1790</v>
      </c>
      <c r="AH114" s="1895">
        <v>1880</v>
      </c>
      <c r="AI114" s="1895">
        <v>1520</v>
      </c>
      <c r="AJ114" s="1895">
        <v>3110</v>
      </c>
      <c r="AK114" s="1895">
        <v>4010</v>
      </c>
      <c r="AL114" s="1895">
        <v>4810</v>
      </c>
      <c r="AM114" s="1895">
        <v>5730</v>
      </c>
      <c r="AN114" s="1895">
        <v>8240</v>
      </c>
      <c r="AO114" s="1895">
        <v>7410</v>
      </c>
      <c r="AP114" s="1895">
        <v>7880</v>
      </c>
      <c r="AQ114" s="1895">
        <v>5330</v>
      </c>
      <c r="AR114" s="1895">
        <v>10760</v>
      </c>
    </row>
    <row r="115" spans="1:46">
      <c r="D115" s="1164" t="s">
        <v>948</v>
      </c>
      <c r="L115" s="1164">
        <v>10</v>
      </c>
      <c r="M115" s="1907">
        <v>10</v>
      </c>
      <c r="N115" s="1907">
        <v>30</v>
      </c>
      <c r="O115" s="1907">
        <v>30</v>
      </c>
      <c r="P115" s="1894">
        <v>45</v>
      </c>
      <c r="Q115" s="1894">
        <v>45</v>
      </c>
      <c r="R115" s="1894">
        <v>25</v>
      </c>
      <c r="S115" s="1894">
        <v>25</v>
      </c>
      <c r="T115" s="1894">
        <v>25</v>
      </c>
      <c r="U115" s="1894">
        <v>30</v>
      </c>
      <c r="V115" s="1894">
        <v>30</v>
      </c>
      <c r="W115" s="1894"/>
      <c r="X115" s="1895">
        <v>41</v>
      </c>
      <c r="Y115" s="1895"/>
      <c r="Z115" s="1895">
        <v>40</v>
      </c>
      <c r="AA115" s="1895"/>
      <c r="AB115" s="1895">
        <v>40</v>
      </c>
      <c r="AC115" s="1895"/>
      <c r="AD115" s="1895">
        <v>30</v>
      </c>
      <c r="AE115" s="1895"/>
      <c r="AF115" s="1895">
        <v>40</v>
      </c>
      <c r="AG115" s="1895">
        <v>30</v>
      </c>
      <c r="AH115" s="1895">
        <v>40</v>
      </c>
      <c r="AI115" s="1895">
        <v>30</v>
      </c>
      <c r="AJ115" s="1895">
        <v>30</v>
      </c>
      <c r="AK115" s="1895">
        <v>30</v>
      </c>
      <c r="AL115" s="1895">
        <v>40</v>
      </c>
      <c r="AM115" s="1895">
        <v>40</v>
      </c>
      <c r="AN115" s="1895">
        <v>30</v>
      </c>
      <c r="AO115" s="1895">
        <v>30</v>
      </c>
      <c r="AP115" s="1895">
        <v>40</v>
      </c>
      <c r="AQ115" s="1895">
        <v>30</v>
      </c>
      <c r="AR115" s="1895">
        <v>40</v>
      </c>
    </row>
    <row r="116" spans="1:46">
      <c r="A116" s="1164" t="s">
        <v>949</v>
      </c>
      <c r="B116" s="1164" t="s">
        <v>234</v>
      </c>
      <c r="D116" s="1164" t="s">
        <v>950</v>
      </c>
      <c r="L116" s="1164">
        <v>1780</v>
      </c>
      <c r="M116" s="1907">
        <v>2045</v>
      </c>
      <c r="N116" s="1907">
        <v>2260</v>
      </c>
      <c r="O116" s="1907">
        <v>2600</v>
      </c>
      <c r="P116" s="1894">
        <v>3605</v>
      </c>
      <c r="Q116" s="1894">
        <v>3940</v>
      </c>
      <c r="R116" s="1894">
        <v>4920</v>
      </c>
      <c r="S116" s="1894">
        <v>5670</v>
      </c>
      <c r="T116" s="1894">
        <v>6065</v>
      </c>
      <c r="U116" s="1894">
        <v>6351</v>
      </c>
      <c r="V116" s="1894">
        <v>4825</v>
      </c>
      <c r="X116" s="1895">
        <v>4940</v>
      </c>
      <c r="Y116" s="1895"/>
      <c r="Z116" s="1895">
        <v>5089</v>
      </c>
      <c r="AA116" s="1895"/>
      <c r="AB116" s="1895">
        <v>4925</v>
      </c>
      <c r="AC116" s="1895"/>
      <c r="AD116" s="1895">
        <v>4990</v>
      </c>
      <c r="AE116" s="1895"/>
      <c r="AF116" s="1895">
        <v>4420</v>
      </c>
      <c r="AG116" s="1895">
        <v>4910</v>
      </c>
      <c r="AH116" s="1895">
        <v>1172</v>
      </c>
      <c r="AI116" s="1895">
        <v>1610</v>
      </c>
      <c r="AJ116" s="1895">
        <v>4070</v>
      </c>
      <c r="AK116" s="1895">
        <v>3660</v>
      </c>
      <c r="AL116" s="1895">
        <v>2120</v>
      </c>
      <c r="AM116" s="1895">
        <v>1550</v>
      </c>
      <c r="AN116" s="1895">
        <v>1760</v>
      </c>
      <c r="AO116" s="1895">
        <v>8050</v>
      </c>
      <c r="AP116" s="1895">
        <v>2700</v>
      </c>
      <c r="AQ116" s="1895">
        <v>2660</v>
      </c>
      <c r="AR116" s="1895">
        <v>2080</v>
      </c>
      <c r="AT116" s="1908" t="s">
        <v>951</v>
      </c>
    </row>
    <row r="117" spans="1:46" s="1191" customFormat="1">
      <c r="A117" s="1164"/>
      <c r="B117" s="1164"/>
      <c r="C117" s="1164"/>
      <c r="D117" s="1164" t="s">
        <v>952</v>
      </c>
      <c r="E117" s="1164"/>
      <c r="F117" s="1164"/>
      <c r="G117" s="1164"/>
      <c r="H117" s="1164"/>
      <c r="I117" s="1164"/>
      <c r="J117" s="1164"/>
      <c r="K117" s="1164"/>
      <c r="L117" s="1164"/>
      <c r="M117" s="1907"/>
      <c r="N117" s="1907"/>
      <c r="O117" s="1907"/>
      <c r="P117" s="1894"/>
      <c r="Q117" s="1894"/>
      <c r="R117" s="1894"/>
      <c r="S117" s="1894"/>
      <c r="T117" s="1894"/>
      <c r="U117" s="1894"/>
      <c r="V117" s="1894"/>
      <c r="W117" s="1894"/>
      <c r="X117" s="1895" t="s">
        <v>269</v>
      </c>
      <c r="Y117" s="1895"/>
      <c r="Z117" s="1895" t="s">
        <v>269</v>
      </c>
      <c r="AA117" s="1895"/>
      <c r="AB117" s="1895" t="s">
        <v>269</v>
      </c>
      <c r="AC117" s="1895"/>
      <c r="AD117" s="1895" t="s">
        <v>269</v>
      </c>
      <c r="AE117" s="1895"/>
      <c r="AF117" s="1895">
        <v>9340</v>
      </c>
      <c r="AG117" s="1895">
        <v>38850</v>
      </c>
      <c r="AH117" s="1895">
        <v>23528</v>
      </c>
      <c r="AI117" s="1895">
        <v>0</v>
      </c>
      <c r="AJ117" s="1895">
        <v>0</v>
      </c>
      <c r="AK117" s="1895">
        <v>0</v>
      </c>
      <c r="AL117" s="1895">
        <v>0</v>
      </c>
      <c r="AM117" s="1895">
        <v>0</v>
      </c>
      <c r="AN117" s="1895">
        <v>0</v>
      </c>
      <c r="AO117" s="1895">
        <v>0</v>
      </c>
      <c r="AP117" s="1895">
        <v>0</v>
      </c>
      <c r="AQ117" s="1895">
        <v>0</v>
      </c>
      <c r="AR117" s="1895">
        <v>0</v>
      </c>
      <c r="AS117" s="1164"/>
      <c r="AT117" s="1164" t="s">
        <v>945</v>
      </c>
    </row>
    <row r="118" spans="1:46" s="1191" customFormat="1">
      <c r="A118" s="1164"/>
      <c r="B118" s="1164"/>
      <c r="C118" s="1164"/>
      <c r="D118" s="1164" t="s">
        <v>1890</v>
      </c>
      <c r="E118" s="1164"/>
      <c r="F118" s="1164"/>
      <c r="G118" s="1164"/>
      <c r="H118" s="1164"/>
      <c r="I118" s="1164"/>
      <c r="J118" s="1164"/>
      <c r="K118" s="1164"/>
      <c r="L118" s="1164"/>
      <c r="M118" s="1907"/>
      <c r="N118" s="1907"/>
      <c r="O118" s="1907"/>
      <c r="P118" s="1894"/>
      <c r="Q118" s="1894"/>
      <c r="R118" s="1894"/>
      <c r="S118" s="1894"/>
      <c r="T118" s="1894"/>
      <c r="U118" s="1894"/>
      <c r="V118" s="1894"/>
      <c r="W118" s="1894"/>
      <c r="X118" s="1895"/>
      <c r="Y118" s="1895"/>
      <c r="Z118" s="1895"/>
      <c r="AA118" s="1895"/>
      <c r="AB118" s="1895"/>
      <c r="AC118" s="1895"/>
      <c r="AD118" s="1895"/>
      <c r="AE118" s="1895"/>
      <c r="AF118" s="1895"/>
      <c r="AG118" s="1895">
        <v>0</v>
      </c>
      <c r="AH118" s="1895">
        <v>109724</v>
      </c>
      <c r="AI118" s="1895">
        <v>114246</v>
      </c>
      <c r="AJ118" s="1895">
        <v>0</v>
      </c>
      <c r="AK118" s="1895">
        <v>0</v>
      </c>
      <c r="AL118" s="1895">
        <v>0</v>
      </c>
      <c r="AM118" s="1895">
        <v>0</v>
      </c>
      <c r="AN118" s="1895">
        <v>0</v>
      </c>
      <c r="AO118" s="1895">
        <v>0</v>
      </c>
      <c r="AP118" s="1895">
        <v>0</v>
      </c>
      <c r="AQ118" s="1895">
        <v>9000</v>
      </c>
      <c r="AR118" s="1895">
        <v>4000</v>
      </c>
      <c r="AS118" s="1164"/>
      <c r="AT118" s="1164" t="s">
        <v>1891</v>
      </c>
    </row>
    <row r="119" spans="1:46" s="1191" customFormat="1">
      <c r="A119" s="1164"/>
      <c r="B119" s="1164"/>
      <c r="C119" s="1164"/>
      <c r="D119" s="1164"/>
      <c r="E119" s="1164"/>
      <c r="F119" s="1164"/>
      <c r="G119" s="1164"/>
      <c r="H119" s="1164"/>
      <c r="I119" s="1164"/>
      <c r="J119" s="1164"/>
      <c r="K119" s="1164"/>
      <c r="L119" s="1164"/>
      <c r="M119" s="1907"/>
      <c r="N119" s="1907"/>
      <c r="O119" s="1907"/>
      <c r="P119" s="1894"/>
      <c r="Q119" s="1894"/>
      <c r="R119" s="1894"/>
      <c r="S119" s="1894"/>
      <c r="T119" s="1894"/>
      <c r="U119" s="1894"/>
      <c r="V119" s="1894"/>
      <c r="W119" s="1894"/>
      <c r="X119" s="1895"/>
      <c r="Y119" s="1895"/>
      <c r="Z119" s="1895"/>
      <c r="AA119" s="1895"/>
      <c r="AB119" s="1895"/>
      <c r="AC119" s="1895"/>
      <c r="AD119" s="1895"/>
      <c r="AE119" s="1895"/>
      <c r="AF119" s="1895"/>
      <c r="AG119" s="1895"/>
      <c r="AH119" s="1895"/>
      <c r="AI119" s="1895"/>
      <c r="AJ119" s="1895"/>
      <c r="AK119" s="1895"/>
      <c r="AL119" s="1895"/>
      <c r="AM119" s="1895"/>
      <c r="AN119" s="1895"/>
      <c r="AO119" s="1180"/>
      <c r="AP119" s="1180"/>
      <c r="AQ119" s="1895"/>
      <c r="AR119" s="1895"/>
      <c r="AS119" s="1164"/>
    </row>
    <row r="120" spans="1:46" s="1191" customFormat="1">
      <c r="A120" s="1164"/>
      <c r="B120" s="1164"/>
      <c r="C120" s="1164"/>
      <c r="D120" s="1906" t="s">
        <v>944</v>
      </c>
      <c r="E120" s="1164"/>
      <c r="F120" s="1164"/>
      <c r="G120" s="1164"/>
      <c r="H120" s="1164"/>
      <c r="I120" s="1164"/>
      <c r="J120" s="1164"/>
      <c r="K120" s="1164"/>
      <c r="L120" s="1164"/>
      <c r="M120" s="1907"/>
      <c r="N120" s="1907"/>
      <c r="O120" s="1907"/>
      <c r="P120" s="1894"/>
      <c r="Q120" s="1894"/>
      <c r="R120" s="1894"/>
      <c r="S120" s="1894"/>
      <c r="T120" s="1894"/>
      <c r="U120" s="1894"/>
      <c r="V120" s="1894"/>
      <c r="W120" s="1894"/>
      <c r="X120" s="1895"/>
      <c r="Y120" s="1895"/>
      <c r="Z120" s="1895"/>
      <c r="AA120" s="1895"/>
      <c r="AB120" s="1895"/>
      <c r="AC120" s="1895"/>
      <c r="AD120" s="1895"/>
      <c r="AE120" s="1895"/>
      <c r="AF120" s="1895"/>
      <c r="AG120" s="1895"/>
      <c r="AH120" s="1895"/>
      <c r="AI120" s="1895"/>
      <c r="AJ120" s="1895"/>
      <c r="AK120" s="1895"/>
      <c r="AL120" s="1895"/>
      <c r="AM120" s="1895"/>
      <c r="AN120" s="1895"/>
      <c r="AO120" s="1180"/>
      <c r="AP120" s="1180"/>
      <c r="AQ120" s="1895"/>
      <c r="AR120" s="1895"/>
      <c r="AS120" s="1164"/>
    </row>
    <row r="121" spans="1:46" s="1191" customFormat="1">
      <c r="A121" s="1164"/>
      <c r="B121" s="1164"/>
      <c r="C121" s="1164"/>
      <c r="D121" s="1164" t="s">
        <v>950</v>
      </c>
      <c r="E121" s="1164"/>
      <c r="F121" s="1164"/>
      <c r="G121" s="1164"/>
      <c r="H121" s="1164"/>
      <c r="I121" s="1164"/>
      <c r="J121" s="1164"/>
      <c r="K121" s="1164"/>
      <c r="L121" s="1164"/>
      <c r="M121" s="1907"/>
      <c r="N121" s="1907"/>
      <c r="O121" s="1907"/>
      <c r="P121" s="1894"/>
      <c r="Q121" s="1894"/>
      <c r="R121" s="1894"/>
      <c r="S121" s="1894"/>
      <c r="T121" s="1894"/>
      <c r="U121" s="1894"/>
      <c r="V121" s="1894"/>
      <c r="W121" s="1894"/>
      <c r="X121" s="1895"/>
      <c r="Y121" s="1895"/>
      <c r="Z121" s="1895"/>
      <c r="AA121" s="1895"/>
      <c r="AB121" s="1895"/>
      <c r="AC121" s="1895"/>
      <c r="AD121" s="1895"/>
      <c r="AE121" s="1895"/>
      <c r="AF121" s="1895"/>
      <c r="AG121" s="1895">
        <v>54740</v>
      </c>
      <c r="AH121" s="1895">
        <v>55670</v>
      </c>
      <c r="AI121" s="1895">
        <v>54840</v>
      </c>
      <c r="AJ121" s="1895">
        <v>56760</v>
      </c>
      <c r="AK121" s="1895">
        <v>60810</v>
      </c>
      <c r="AL121" s="1895">
        <v>61880</v>
      </c>
      <c r="AM121" s="1895">
        <v>62150</v>
      </c>
      <c r="AN121" s="1895">
        <v>62070</v>
      </c>
      <c r="AO121" s="1895">
        <v>58500</v>
      </c>
      <c r="AP121" s="1895">
        <v>65600</v>
      </c>
      <c r="AQ121" s="1895">
        <v>66420</v>
      </c>
      <c r="AR121" s="1895">
        <v>68870</v>
      </c>
      <c r="AS121" s="1164"/>
    </row>
    <row r="122" spans="1:46" s="1191" customFormat="1">
      <c r="A122" s="1164"/>
      <c r="B122" s="1164"/>
      <c r="C122" s="1164"/>
      <c r="D122" s="1164" t="s">
        <v>952</v>
      </c>
      <c r="E122" s="1164"/>
      <c r="F122" s="1164"/>
      <c r="G122" s="1164"/>
      <c r="H122" s="1164"/>
      <c r="I122" s="1164"/>
      <c r="J122" s="1164"/>
      <c r="K122" s="1164"/>
      <c r="L122" s="1164"/>
      <c r="M122" s="1907"/>
      <c r="N122" s="1907"/>
      <c r="O122" s="1907"/>
      <c r="P122" s="1894"/>
      <c r="Q122" s="1894"/>
      <c r="R122" s="1894"/>
      <c r="S122" s="1894"/>
      <c r="T122" s="1894"/>
      <c r="U122" s="1894"/>
      <c r="V122" s="1894"/>
      <c r="W122" s="1894"/>
      <c r="X122" s="1895"/>
      <c r="Y122" s="1895"/>
      <c r="Z122" s="1895"/>
      <c r="AA122" s="1895"/>
      <c r="AB122" s="1895"/>
      <c r="AC122" s="1895"/>
      <c r="AD122" s="1895"/>
      <c r="AE122" s="1895"/>
      <c r="AF122" s="1895"/>
      <c r="AG122" s="1895">
        <v>21410</v>
      </c>
      <c r="AH122" s="1895">
        <v>13876</v>
      </c>
      <c r="AI122" s="1895">
        <v>0</v>
      </c>
      <c r="AJ122" s="1895">
        <v>0</v>
      </c>
      <c r="AK122" s="1895">
        <v>0</v>
      </c>
      <c r="AL122" s="1895">
        <v>0</v>
      </c>
      <c r="AM122" s="1895">
        <v>0</v>
      </c>
      <c r="AN122" s="1895">
        <v>0</v>
      </c>
      <c r="AO122" s="1180">
        <v>0</v>
      </c>
      <c r="AP122" s="1895">
        <v>0</v>
      </c>
      <c r="AQ122" s="1895">
        <v>0</v>
      </c>
      <c r="AR122" s="1895">
        <v>0</v>
      </c>
      <c r="AS122" s="1164"/>
      <c r="AT122" s="1895" t="s">
        <v>945</v>
      </c>
    </row>
    <row r="123" spans="1:46" s="1191" customFormat="1">
      <c r="A123" s="1164"/>
      <c r="B123" s="1164"/>
      <c r="C123" s="1164"/>
      <c r="D123" s="1164"/>
      <c r="E123" s="1164"/>
      <c r="F123" s="1164"/>
      <c r="G123" s="1164"/>
      <c r="H123" s="1164"/>
      <c r="I123" s="1164"/>
      <c r="J123" s="1164"/>
      <c r="K123" s="1164"/>
      <c r="L123" s="1164"/>
      <c r="M123" s="1907"/>
      <c r="N123" s="1907"/>
      <c r="O123" s="1907"/>
      <c r="P123" s="1894"/>
      <c r="Q123" s="1894"/>
      <c r="R123" s="1894"/>
      <c r="S123" s="1894"/>
      <c r="T123" s="1894"/>
      <c r="U123" s="1894"/>
      <c r="V123" s="1894"/>
      <c r="W123" s="1894"/>
      <c r="X123" s="1895"/>
      <c r="Y123" s="1895"/>
      <c r="Z123" s="1895"/>
      <c r="AA123" s="1895"/>
      <c r="AB123" s="1895"/>
      <c r="AC123" s="1895"/>
      <c r="AD123" s="1895"/>
      <c r="AE123" s="1895"/>
      <c r="AF123" s="1895"/>
      <c r="AG123" s="1895"/>
      <c r="AH123" s="1895"/>
      <c r="AI123" s="1895"/>
      <c r="AJ123" s="1180"/>
      <c r="AK123" s="1180"/>
      <c r="AL123" s="1180"/>
      <c r="AM123" s="1180"/>
      <c r="AN123" s="1180"/>
      <c r="AO123" s="1180"/>
      <c r="AP123" s="1180"/>
      <c r="AQ123" s="1895"/>
      <c r="AR123" s="1895"/>
      <c r="AS123" s="1164"/>
    </row>
    <row r="124" spans="1:46" s="1191" customFormat="1">
      <c r="A124" s="1164"/>
      <c r="B124" s="217" t="s">
        <v>78</v>
      </c>
      <c r="C124" s="1164"/>
      <c r="D124" s="1164"/>
      <c r="E124" s="1164"/>
      <c r="F124" s="1164"/>
      <c r="G124" s="1164"/>
      <c r="H124" s="1164"/>
      <c r="I124" s="1164"/>
      <c r="J124" s="1164"/>
      <c r="K124" s="1164"/>
      <c r="L124" s="1909">
        <f t="shared" ref="L124:V124" si="27">SUM(L126:L143)</f>
        <v>41040</v>
      </c>
      <c r="M124" s="1909">
        <f t="shared" si="27"/>
        <v>45575</v>
      </c>
      <c r="N124" s="1909">
        <f t="shared" si="27"/>
        <v>51660</v>
      </c>
      <c r="O124" s="1909">
        <f t="shared" si="27"/>
        <v>55945</v>
      </c>
      <c r="P124" s="1909">
        <f t="shared" si="27"/>
        <v>63455</v>
      </c>
      <c r="Q124" s="1909">
        <f t="shared" si="27"/>
        <v>69375</v>
      </c>
      <c r="R124" s="1909">
        <f t="shared" si="27"/>
        <v>83105</v>
      </c>
      <c r="S124" s="1909">
        <f t="shared" si="27"/>
        <v>89375</v>
      </c>
      <c r="T124" s="1909">
        <f t="shared" si="27"/>
        <v>88475</v>
      </c>
      <c r="U124" s="1909">
        <f t="shared" si="27"/>
        <v>90515</v>
      </c>
      <c r="V124" s="1909">
        <f t="shared" si="27"/>
        <v>94015</v>
      </c>
      <c r="W124" s="1894"/>
      <c r="X124" s="1905">
        <f t="shared" ref="X124:AF124" si="28">SUM(X126:X144)</f>
        <v>116470</v>
      </c>
      <c r="Y124" s="1905"/>
      <c r="Z124" s="1905">
        <f t="shared" si="28"/>
        <v>141320</v>
      </c>
      <c r="AA124" s="1905"/>
      <c r="AB124" s="1905">
        <f t="shared" si="28"/>
        <v>159720</v>
      </c>
      <c r="AC124" s="1905"/>
      <c r="AD124" s="1905">
        <f t="shared" si="28"/>
        <v>186600</v>
      </c>
      <c r="AE124" s="1905"/>
      <c r="AF124" s="1905">
        <f t="shared" si="28"/>
        <v>195722</v>
      </c>
      <c r="AG124" s="1905">
        <f>SUM(AG126:AG144)</f>
        <v>212620</v>
      </c>
      <c r="AH124" s="1905">
        <f t="shared" ref="AH124:AQ124" si="29">SUM(AH126:AH144)</f>
        <v>208865</v>
      </c>
      <c r="AI124" s="1905">
        <f t="shared" si="29"/>
        <v>233390</v>
      </c>
      <c r="AJ124" s="1905">
        <f>SUM(AJ126:AJ144)</f>
        <v>360050</v>
      </c>
      <c r="AK124" s="1905">
        <f t="shared" si="29"/>
        <v>377690</v>
      </c>
      <c r="AL124" s="1905">
        <f t="shared" si="29"/>
        <v>388343</v>
      </c>
      <c r="AM124" s="1905">
        <f t="shared" si="29"/>
        <v>404260</v>
      </c>
      <c r="AN124" s="1905">
        <f t="shared" si="29"/>
        <v>410400</v>
      </c>
      <c r="AO124" s="1905">
        <f t="shared" si="29"/>
        <v>401806</v>
      </c>
      <c r="AP124" s="1905">
        <f t="shared" si="29"/>
        <v>396170</v>
      </c>
      <c r="AQ124" s="1905">
        <f t="shared" si="29"/>
        <v>374000</v>
      </c>
      <c r="AR124" s="1905">
        <f>SUM(AR126:AR144)</f>
        <v>426600</v>
      </c>
      <c r="AS124" s="1164"/>
    </row>
    <row r="125" spans="1:46" s="1191" customFormat="1">
      <c r="A125" s="1164"/>
      <c r="B125" s="1164"/>
      <c r="C125" s="1164"/>
      <c r="D125" s="1164"/>
      <c r="E125" s="1164"/>
      <c r="F125" s="1164"/>
      <c r="G125" s="1164"/>
      <c r="H125" s="1164"/>
      <c r="I125" s="1164"/>
      <c r="J125" s="1164"/>
      <c r="K125" s="1164"/>
      <c r="L125" s="1164"/>
      <c r="M125" s="1164"/>
      <c r="N125" s="1164"/>
      <c r="O125" s="1164"/>
      <c r="P125" s="1893"/>
      <c r="Q125" s="1893"/>
      <c r="R125" s="1893"/>
      <c r="S125" s="1893"/>
      <c r="T125" s="1893"/>
      <c r="U125" s="1893"/>
      <c r="V125" s="1893"/>
      <c r="W125" s="1893"/>
      <c r="X125" s="1180"/>
      <c r="Y125" s="1180"/>
      <c r="Z125" s="1180"/>
      <c r="AA125" s="1180"/>
      <c r="AB125" s="1180"/>
      <c r="AC125" s="1180"/>
      <c r="AD125" s="1180"/>
      <c r="AE125" s="1180"/>
      <c r="AF125" s="1180"/>
      <c r="AG125" s="1180"/>
      <c r="AH125" s="1180"/>
      <c r="AI125" s="1180"/>
      <c r="AJ125" s="1180"/>
      <c r="AK125" s="1180"/>
      <c r="AL125" s="1180"/>
      <c r="AM125" s="1180"/>
      <c r="AN125" s="1180"/>
      <c r="AO125" s="1180"/>
      <c r="AP125" s="1180"/>
      <c r="AQ125" s="1895"/>
      <c r="AR125" s="1895"/>
      <c r="AS125" s="1164"/>
    </row>
    <row r="126" spans="1:46" s="1191" customFormat="1">
      <c r="A126" s="1164" t="s">
        <v>476</v>
      </c>
      <c r="B126" s="1164" t="s">
        <v>234</v>
      </c>
      <c r="C126" s="1164"/>
      <c r="D126" s="1164" t="s">
        <v>953</v>
      </c>
      <c r="E126" s="1164"/>
      <c r="F126" s="1164"/>
      <c r="G126" s="1164"/>
      <c r="H126" s="1164"/>
      <c r="I126" s="1164"/>
      <c r="J126" s="1164"/>
      <c r="K126" s="1164"/>
      <c r="L126" s="1164">
        <v>26550</v>
      </c>
      <c r="M126" s="1907">
        <v>29820</v>
      </c>
      <c r="N126" s="1907">
        <v>36225</v>
      </c>
      <c r="O126" s="1907">
        <v>39490</v>
      </c>
      <c r="P126" s="1894">
        <v>46895</v>
      </c>
      <c r="Q126" s="1894">
        <v>51445</v>
      </c>
      <c r="R126" s="1894">
        <v>59440</v>
      </c>
      <c r="S126" s="1894">
        <v>64520</v>
      </c>
      <c r="T126" s="1894">
        <v>67050</v>
      </c>
      <c r="U126" s="1894">
        <v>67920</v>
      </c>
      <c r="V126" s="1894">
        <v>69610</v>
      </c>
      <c r="W126" s="1894"/>
      <c r="X126" s="1895">
        <v>82800</v>
      </c>
      <c r="Y126" s="1895"/>
      <c r="Z126" s="1895">
        <v>101920</v>
      </c>
      <c r="AA126" s="1895"/>
      <c r="AB126" s="1895">
        <v>118420</v>
      </c>
      <c r="AC126" s="1895"/>
      <c r="AD126" s="1895">
        <v>133790</v>
      </c>
      <c r="AE126" s="1895"/>
      <c r="AF126" s="1895">
        <v>144412</v>
      </c>
      <c r="AG126" s="1895">
        <v>160110</v>
      </c>
      <c r="AH126" s="1895">
        <v>163040</v>
      </c>
      <c r="AI126" s="1895">
        <v>184320</v>
      </c>
      <c r="AJ126" s="1895">
        <v>185330</v>
      </c>
      <c r="AK126" s="1895">
        <v>195050</v>
      </c>
      <c r="AL126" s="1895">
        <v>201450</v>
      </c>
      <c r="AM126" s="1895">
        <v>210190</v>
      </c>
      <c r="AN126" s="1895">
        <v>214280</v>
      </c>
      <c r="AO126" s="1895">
        <v>205080</v>
      </c>
      <c r="AP126" s="1895">
        <v>202290</v>
      </c>
      <c r="AQ126" s="1895">
        <v>191350</v>
      </c>
      <c r="AR126" s="1895">
        <v>221460</v>
      </c>
      <c r="AS126" s="1164"/>
    </row>
    <row r="127" spans="1:46" s="1191" customFormat="1">
      <c r="A127" s="1164"/>
      <c r="B127" s="1164"/>
      <c r="C127" s="1164"/>
      <c r="D127" s="1164" t="s">
        <v>954</v>
      </c>
      <c r="E127" s="1164"/>
      <c r="F127" s="1164"/>
      <c r="G127" s="1164"/>
      <c r="H127" s="1164"/>
      <c r="I127" s="1164"/>
      <c r="J127" s="1164"/>
      <c r="K127" s="1164"/>
      <c r="L127" s="1894" t="s">
        <v>269</v>
      </c>
      <c r="M127" s="1894" t="s">
        <v>269</v>
      </c>
      <c r="N127" s="1894" t="s">
        <v>269</v>
      </c>
      <c r="O127" s="1894" t="s">
        <v>269</v>
      </c>
      <c r="P127" s="1894" t="s">
        <v>269</v>
      </c>
      <c r="Q127" s="1894" t="s">
        <v>269</v>
      </c>
      <c r="R127" s="1894" t="s">
        <v>269</v>
      </c>
      <c r="S127" s="1894"/>
      <c r="T127" s="1894"/>
      <c r="U127" s="1894"/>
      <c r="V127" s="1894">
        <v>935</v>
      </c>
      <c r="W127" s="1894"/>
      <c r="X127" s="1895">
        <v>1520</v>
      </c>
      <c r="Y127" s="1895"/>
      <c r="Z127" s="1895">
        <v>2550</v>
      </c>
      <c r="AA127" s="1895"/>
      <c r="AB127" s="1895">
        <v>3790</v>
      </c>
      <c r="AC127" s="1895"/>
      <c r="AD127" s="1895">
        <v>4260</v>
      </c>
      <c r="AE127" s="1895"/>
      <c r="AF127" s="1895">
        <v>4870</v>
      </c>
      <c r="AG127" s="1895">
        <v>5680</v>
      </c>
      <c r="AH127" s="1895">
        <v>5170</v>
      </c>
      <c r="AI127" s="1895">
        <v>5210</v>
      </c>
      <c r="AJ127" s="1895">
        <v>6140</v>
      </c>
      <c r="AK127" s="1895">
        <v>6380</v>
      </c>
      <c r="AL127" s="1895">
        <v>6690</v>
      </c>
      <c r="AM127" s="1895">
        <v>7170</v>
      </c>
      <c r="AN127" s="1895">
        <v>8140</v>
      </c>
      <c r="AO127" s="1895">
        <v>7420</v>
      </c>
      <c r="AP127" s="1895">
        <v>7050</v>
      </c>
      <c r="AQ127" s="1895">
        <v>7430</v>
      </c>
      <c r="AR127" s="1895">
        <v>7690</v>
      </c>
      <c r="AS127" s="1164"/>
    </row>
    <row r="128" spans="1:46" s="1191" customFormat="1">
      <c r="A128" s="1164"/>
      <c r="B128" s="1164"/>
      <c r="C128" s="1164"/>
      <c r="D128" s="1164" t="s">
        <v>955</v>
      </c>
      <c r="E128" s="1164"/>
      <c r="F128" s="1164"/>
      <c r="G128" s="1164"/>
      <c r="H128" s="1164"/>
      <c r="I128" s="1164"/>
      <c r="J128" s="1164"/>
      <c r="K128" s="1164"/>
      <c r="L128" s="1164"/>
      <c r="M128" s="1907"/>
      <c r="N128" s="1907"/>
      <c r="O128" s="1907"/>
      <c r="P128" s="1894"/>
      <c r="Q128" s="1894"/>
      <c r="R128" s="1894"/>
      <c r="S128" s="1894"/>
      <c r="T128" s="1894"/>
      <c r="U128" s="1894"/>
      <c r="V128" s="1894"/>
      <c r="W128" s="1894"/>
      <c r="X128" s="1895"/>
      <c r="Y128" s="1895"/>
      <c r="Z128" s="1895">
        <v>0</v>
      </c>
      <c r="AA128" s="1895"/>
      <c r="AB128" s="1895">
        <v>20</v>
      </c>
      <c r="AC128" s="1895"/>
      <c r="AD128" s="1895">
        <v>10</v>
      </c>
      <c r="AE128" s="1895"/>
      <c r="AF128" s="1895">
        <v>10</v>
      </c>
      <c r="AG128" s="1895">
        <v>0</v>
      </c>
      <c r="AH128" s="1895">
        <v>10</v>
      </c>
      <c r="AI128" s="1895">
        <v>10</v>
      </c>
      <c r="AJ128" s="1895">
        <v>10</v>
      </c>
      <c r="AK128" s="1895">
        <v>0</v>
      </c>
      <c r="AL128" s="1895">
        <v>0</v>
      </c>
      <c r="AM128" s="1895">
        <v>0</v>
      </c>
      <c r="AN128" s="1895">
        <v>0</v>
      </c>
      <c r="AO128" s="1895">
        <v>20</v>
      </c>
      <c r="AP128" s="1895">
        <v>10</v>
      </c>
      <c r="AQ128" s="1895">
        <v>0</v>
      </c>
      <c r="AR128" s="1895">
        <v>0</v>
      </c>
      <c r="AS128" s="1164"/>
    </row>
    <row r="129" spans="1:46" s="1191" customFormat="1">
      <c r="A129" s="1164"/>
      <c r="B129" s="1164"/>
      <c r="C129" s="1164"/>
      <c r="D129" s="1164" t="s">
        <v>956</v>
      </c>
      <c r="E129" s="1164"/>
      <c r="F129" s="1164"/>
      <c r="G129" s="1164"/>
      <c r="H129" s="1164"/>
      <c r="I129" s="1164"/>
      <c r="J129" s="1164"/>
      <c r="K129" s="1164"/>
      <c r="L129" s="1894"/>
      <c r="M129" s="1894"/>
      <c r="N129" s="1894"/>
      <c r="O129" s="1894"/>
      <c r="P129" s="1894"/>
      <c r="Q129" s="1894"/>
      <c r="R129" s="1894"/>
      <c r="S129" s="1894"/>
      <c r="T129" s="1894"/>
      <c r="U129" s="1894"/>
      <c r="V129" s="1894"/>
      <c r="W129" s="1894"/>
      <c r="X129" s="1895"/>
      <c r="Y129" s="1895"/>
      <c r="Z129" s="1895"/>
      <c r="AA129" s="1895"/>
      <c r="AB129" s="1895"/>
      <c r="AC129" s="1895"/>
      <c r="AD129" s="1895"/>
      <c r="AE129" s="1895"/>
      <c r="AF129" s="1895"/>
      <c r="AG129" s="1895">
        <v>2300</v>
      </c>
      <c r="AH129" s="1895">
        <v>830</v>
      </c>
      <c r="AI129" s="1895">
        <v>190</v>
      </c>
      <c r="AJ129" s="1895">
        <v>630</v>
      </c>
      <c r="AK129" s="1895">
        <v>510</v>
      </c>
      <c r="AL129" s="1895">
        <v>513</v>
      </c>
      <c r="AM129" s="1895">
        <v>160</v>
      </c>
      <c r="AN129" s="1895">
        <v>90</v>
      </c>
      <c r="AO129" s="1895">
        <v>80</v>
      </c>
      <c r="AP129" s="1895">
        <v>70</v>
      </c>
      <c r="AQ129" s="1895">
        <v>40</v>
      </c>
      <c r="AR129" s="1895">
        <v>40</v>
      </c>
      <c r="AS129" s="1164"/>
    </row>
    <row r="130" spans="1:46" s="1191" customFormat="1" ht="28.5" customHeight="1">
      <c r="A130" s="1164"/>
      <c r="B130" s="1164"/>
      <c r="C130" s="1164"/>
      <c r="D130" s="1910" t="s">
        <v>957</v>
      </c>
      <c r="E130" s="1164"/>
      <c r="F130" s="1164"/>
      <c r="G130" s="1164"/>
      <c r="H130" s="1164"/>
      <c r="I130" s="1164"/>
      <c r="J130" s="1164"/>
      <c r="K130" s="1164"/>
      <c r="L130" s="1164">
        <v>2430</v>
      </c>
      <c r="M130" s="1907">
        <v>2370</v>
      </c>
      <c r="N130" s="1907">
        <v>1320</v>
      </c>
      <c r="O130" s="1907">
        <v>1385</v>
      </c>
      <c r="P130" s="1894">
        <v>1405</v>
      </c>
      <c r="Q130" s="1894">
        <v>1455</v>
      </c>
      <c r="R130" s="1894">
        <v>1535</v>
      </c>
      <c r="S130" s="1894">
        <v>1595</v>
      </c>
      <c r="T130" s="1894">
        <v>1675</v>
      </c>
      <c r="U130" s="1894">
        <v>1160</v>
      </c>
      <c r="V130" s="1894">
        <v>1210</v>
      </c>
      <c r="W130" s="1894"/>
      <c r="X130" s="1895" t="s">
        <v>269</v>
      </c>
      <c r="Y130" s="1895"/>
      <c r="Z130" s="1895" t="s">
        <v>269</v>
      </c>
      <c r="AA130" s="1895"/>
      <c r="AB130" s="1895" t="s">
        <v>269</v>
      </c>
      <c r="AC130" s="1895"/>
      <c r="AD130" s="1895" t="s">
        <v>269</v>
      </c>
      <c r="AE130" s="1895"/>
      <c r="AF130" s="1895" t="s">
        <v>269</v>
      </c>
      <c r="AG130" s="1895"/>
      <c r="AH130" s="1895"/>
      <c r="AI130" s="1895"/>
      <c r="AJ130" s="1895"/>
      <c r="AK130" s="1895"/>
      <c r="AL130" s="1895"/>
      <c r="AM130" s="1895"/>
      <c r="AN130" s="1895"/>
      <c r="AO130" s="1180"/>
      <c r="AP130" s="1180"/>
      <c r="AQ130" s="1895"/>
      <c r="AR130" s="1895"/>
      <c r="AS130" s="1164"/>
    </row>
    <row r="131" spans="1:46" s="1191" customFormat="1">
      <c r="A131" s="1164"/>
      <c r="B131" s="1164"/>
      <c r="C131" s="1164"/>
      <c r="D131" s="1164" t="s">
        <v>958</v>
      </c>
      <c r="E131" s="1164"/>
      <c r="F131" s="1164"/>
      <c r="G131" s="1164"/>
      <c r="H131" s="1164"/>
      <c r="I131" s="1164"/>
      <c r="J131" s="1164"/>
      <c r="K131" s="1164"/>
      <c r="L131" s="1164">
        <v>1415</v>
      </c>
      <c r="M131" s="1907">
        <v>1555</v>
      </c>
      <c r="N131" s="1907">
        <v>1635</v>
      </c>
      <c r="O131" s="1907">
        <v>1750</v>
      </c>
      <c r="P131" s="1894">
        <v>1770</v>
      </c>
      <c r="Q131" s="1894">
        <v>1910</v>
      </c>
      <c r="R131" s="1894">
        <v>2280</v>
      </c>
      <c r="S131" s="1894">
        <v>2395</v>
      </c>
      <c r="T131" s="1894">
        <v>2365</v>
      </c>
      <c r="U131" s="1894">
        <v>2560</v>
      </c>
      <c r="V131" s="1894">
        <v>2675</v>
      </c>
      <c r="W131" s="1894"/>
      <c r="X131" s="1895">
        <v>270</v>
      </c>
      <c r="Y131" s="1895"/>
      <c r="Z131" s="1895">
        <v>3390</v>
      </c>
      <c r="AA131" s="1895"/>
      <c r="AB131" s="1895">
        <v>3350</v>
      </c>
      <c r="AC131" s="1895"/>
      <c r="AD131" s="1895">
        <v>4310</v>
      </c>
      <c r="AE131" s="1895"/>
      <c r="AF131" s="1895">
        <v>4150</v>
      </c>
      <c r="AG131" s="1895">
        <v>3850</v>
      </c>
      <c r="AH131" s="1895">
        <v>3370</v>
      </c>
      <c r="AI131" s="1895">
        <v>3820</v>
      </c>
      <c r="AJ131" s="1895">
        <v>4470</v>
      </c>
      <c r="AK131" s="1895">
        <v>4740</v>
      </c>
      <c r="AL131" s="1895">
        <v>4620</v>
      </c>
      <c r="AM131" s="1895">
        <v>4980</v>
      </c>
      <c r="AN131" s="1895">
        <v>5120</v>
      </c>
      <c r="AO131" s="1895">
        <v>4890</v>
      </c>
      <c r="AP131" s="1895">
        <v>7540</v>
      </c>
      <c r="AQ131" s="1895">
        <v>8230</v>
      </c>
      <c r="AR131" s="1895">
        <v>9970</v>
      </c>
      <c r="AS131" s="1164"/>
    </row>
    <row r="132" spans="1:46" s="1191" customFormat="1">
      <c r="A132" s="1164"/>
      <c r="B132" s="1164"/>
      <c r="C132" s="1164"/>
      <c r="D132" s="1164" t="s">
        <v>959</v>
      </c>
      <c r="E132" s="1164"/>
      <c r="F132" s="1164"/>
      <c r="G132" s="1164"/>
      <c r="H132" s="1164"/>
      <c r="I132" s="1164"/>
      <c r="J132" s="1164"/>
      <c r="K132" s="1164"/>
      <c r="L132" s="1164">
        <v>55</v>
      </c>
      <c r="M132" s="1907">
        <v>100</v>
      </c>
      <c r="N132" s="1907">
        <v>135</v>
      </c>
      <c r="O132" s="1907">
        <v>60</v>
      </c>
      <c r="P132" s="1894">
        <v>105</v>
      </c>
      <c r="Q132" s="1894">
        <v>115</v>
      </c>
      <c r="R132" s="1894">
        <v>125</v>
      </c>
      <c r="S132" s="1894">
        <v>140</v>
      </c>
      <c r="T132" s="1894">
        <v>225</v>
      </c>
      <c r="U132" s="1894">
        <v>210</v>
      </c>
      <c r="V132" s="1894">
        <v>245</v>
      </c>
      <c r="W132" s="1894"/>
      <c r="X132" s="1895">
        <v>140</v>
      </c>
      <c r="Y132" s="1895"/>
      <c r="Z132" s="1895">
        <v>350</v>
      </c>
      <c r="AA132" s="1895"/>
      <c r="AB132" s="1895">
        <v>710</v>
      </c>
      <c r="AC132" s="1895"/>
      <c r="AD132" s="1895">
        <v>620</v>
      </c>
      <c r="AE132" s="1895"/>
      <c r="AF132" s="1895">
        <v>760</v>
      </c>
      <c r="AG132" s="1895">
        <v>750</v>
      </c>
      <c r="AH132" s="1895">
        <v>715</v>
      </c>
      <c r="AI132" s="1895">
        <v>420</v>
      </c>
      <c r="AJ132" s="1895">
        <v>190</v>
      </c>
      <c r="AK132" s="1895">
        <v>150</v>
      </c>
      <c r="AL132" s="1895">
        <v>250</v>
      </c>
      <c r="AM132" s="1895">
        <v>630</v>
      </c>
      <c r="AN132" s="1895">
        <v>590</v>
      </c>
      <c r="AO132" s="1895">
        <v>270</v>
      </c>
      <c r="AP132" s="1895">
        <v>200</v>
      </c>
      <c r="AQ132" s="1895">
        <v>140</v>
      </c>
      <c r="AR132" s="1895">
        <v>230</v>
      </c>
      <c r="AS132" s="1164"/>
    </row>
    <row r="133" spans="1:46" s="1191" customFormat="1">
      <c r="A133" s="1164"/>
      <c r="B133" s="1164"/>
      <c r="C133" s="1164"/>
      <c r="D133" s="1164" t="s">
        <v>960</v>
      </c>
      <c r="E133" s="1164"/>
      <c r="F133" s="1164"/>
      <c r="G133" s="1164"/>
      <c r="H133" s="1164"/>
      <c r="I133" s="1164"/>
      <c r="J133" s="1164"/>
      <c r="K133" s="1164"/>
      <c r="L133" s="1894" t="s">
        <v>269</v>
      </c>
      <c r="M133" s="1894" t="s">
        <v>269</v>
      </c>
      <c r="N133" s="1894" t="s">
        <v>269</v>
      </c>
      <c r="O133" s="1894" t="s">
        <v>269</v>
      </c>
      <c r="P133" s="1894" t="s">
        <v>269</v>
      </c>
      <c r="Q133" s="1894" t="s">
        <v>269</v>
      </c>
      <c r="R133" s="1894" t="s">
        <v>269</v>
      </c>
      <c r="S133" s="1894" t="s">
        <v>269</v>
      </c>
      <c r="T133" s="1894">
        <v>15</v>
      </c>
      <c r="U133" s="1894">
        <v>40</v>
      </c>
      <c r="V133" s="1894">
        <v>70</v>
      </c>
      <c r="W133" s="1894"/>
      <c r="X133" s="1895">
        <v>50</v>
      </c>
      <c r="Y133" s="1895"/>
      <c r="Z133" s="1895">
        <v>160</v>
      </c>
      <c r="AA133" s="1895"/>
      <c r="AB133" s="1895">
        <v>210</v>
      </c>
      <c r="AC133" s="1895"/>
      <c r="AD133" s="1895">
        <v>260</v>
      </c>
      <c r="AE133" s="1895"/>
      <c r="AF133" s="1895">
        <v>270</v>
      </c>
      <c r="AG133" s="1895">
        <v>470</v>
      </c>
      <c r="AH133" s="1895">
        <v>770</v>
      </c>
      <c r="AI133" s="1895">
        <v>840</v>
      </c>
      <c r="AJ133" s="1895">
        <v>1040</v>
      </c>
      <c r="AK133" s="1895">
        <v>1210</v>
      </c>
      <c r="AL133" s="1895">
        <v>1460</v>
      </c>
      <c r="AM133" s="1895">
        <v>1720</v>
      </c>
      <c r="AN133" s="1895">
        <v>2280</v>
      </c>
      <c r="AO133" s="1895">
        <v>1960</v>
      </c>
      <c r="AP133" s="1895">
        <v>1550</v>
      </c>
      <c r="AQ133" s="1895">
        <v>1720</v>
      </c>
      <c r="AR133" s="1895">
        <v>1900</v>
      </c>
      <c r="AS133" s="1164"/>
    </row>
    <row r="134" spans="1:46" s="1191" customFormat="1">
      <c r="A134" s="1164"/>
      <c r="B134" s="1164"/>
      <c r="C134" s="1164"/>
      <c r="D134" s="1164" t="s">
        <v>961</v>
      </c>
      <c r="E134" s="1164"/>
      <c r="F134" s="1164"/>
      <c r="G134" s="1164"/>
      <c r="H134" s="1164"/>
      <c r="I134" s="1164"/>
      <c r="J134" s="1164"/>
      <c r="K134" s="1164"/>
      <c r="L134" s="1894" t="s">
        <v>269</v>
      </c>
      <c r="M134" s="1894" t="s">
        <v>269</v>
      </c>
      <c r="N134" s="1907">
        <v>60</v>
      </c>
      <c r="O134" s="1907">
        <v>125</v>
      </c>
      <c r="P134" s="1894">
        <v>150</v>
      </c>
      <c r="Q134" s="1894">
        <v>160</v>
      </c>
      <c r="R134" s="1894">
        <v>160</v>
      </c>
      <c r="S134" s="1894">
        <v>160</v>
      </c>
      <c r="T134" s="1894">
        <v>65</v>
      </c>
      <c r="U134" s="1894">
        <v>45</v>
      </c>
      <c r="V134" s="1894">
        <v>50</v>
      </c>
      <c r="W134" s="1894"/>
      <c r="X134" s="1895">
        <v>50</v>
      </c>
      <c r="Y134" s="1895"/>
      <c r="Z134" s="1895">
        <v>50</v>
      </c>
      <c r="AA134" s="1895"/>
      <c r="AB134" s="1895">
        <v>30</v>
      </c>
      <c r="AC134" s="1895"/>
      <c r="AD134" s="1895">
        <v>30</v>
      </c>
      <c r="AE134" s="1895"/>
      <c r="AF134" s="1895">
        <v>20</v>
      </c>
      <c r="AG134" s="1895">
        <v>20</v>
      </c>
      <c r="AH134" s="1895">
        <v>20</v>
      </c>
      <c r="AI134" s="1895">
        <v>20</v>
      </c>
      <c r="AJ134" s="1895">
        <v>30</v>
      </c>
      <c r="AK134" s="1895">
        <v>30</v>
      </c>
      <c r="AL134" s="1895">
        <v>10</v>
      </c>
      <c r="AM134" s="1895">
        <v>10</v>
      </c>
      <c r="AN134" s="1895">
        <v>10</v>
      </c>
      <c r="AO134" s="1895">
        <v>10</v>
      </c>
      <c r="AP134" s="1895">
        <v>10</v>
      </c>
      <c r="AQ134" s="1895">
        <v>10</v>
      </c>
      <c r="AR134" s="1895">
        <v>10</v>
      </c>
      <c r="AS134" s="1164"/>
    </row>
    <row r="135" spans="1:46" s="1191" customFormat="1">
      <c r="A135" s="1164" t="s">
        <v>474</v>
      </c>
      <c r="B135" s="1164" t="s">
        <v>234</v>
      </c>
      <c r="C135" s="1164"/>
      <c r="D135" s="1164" t="s">
        <v>962</v>
      </c>
      <c r="E135" s="1164"/>
      <c r="F135" s="1164"/>
      <c r="G135" s="1164"/>
      <c r="H135" s="1164"/>
      <c r="I135" s="1164"/>
      <c r="J135" s="1164"/>
      <c r="K135" s="1164"/>
      <c r="L135" s="1164">
        <v>10590</v>
      </c>
      <c r="M135" s="1907">
        <v>11730</v>
      </c>
      <c r="N135" s="1907">
        <v>12285</v>
      </c>
      <c r="O135" s="1907">
        <v>13135</v>
      </c>
      <c r="P135" s="1894">
        <v>13130</v>
      </c>
      <c r="Q135" s="1894">
        <v>14290</v>
      </c>
      <c r="R135" s="1894">
        <v>19565</v>
      </c>
      <c r="S135" s="1894">
        <v>20565</v>
      </c>
      <c r="T135" s="1894">
        <v>17080</v>
      </c>
      <c r="U135" s="1894">
        <v>18580</v>
      </c>
      <c r="V135" s="1894">
        <v>19220</v>
      </c>
      <c r="W135" s="1894"/>
      <c r="X135" s="1895">
        <v>30150</v>
      </c>
      <c r="Y135" s="1895"/>
      <c r="Z135" s="1895">
        <v>30020</v>
      </c>
      <c r="AA135" s="1895"/>
      <c r="AB135" s="1895">
        <v>29670</v>
      </c>
      <c r="AC135" s="1895"/>
      <c r="AD135" s="1895">
        <v>38200</v>
      </c>
      <c r="AE135" s="1895"/>
      <c r="AF135" s="1895">
        <v>36710</v>
      </c>
      <c r="AG135" s="1895">
        <v>34080</v>
      </c>
      <c r="AH135" s="1895">
        <v>29820</v>
      </c>
      <c r="AI135" s="1895">
        <v>33770</v>
      </c>
      <c r="AJ135" s="1895">
        <v>39260</v>
      </c>
      <c r="AK135" s="1895">
        <v>41910</v>
      </c>
      <c r="AL135" s="1895">
        <v>40910</v>
      </c>
      <c r="AM135" s="1895">
        <v>44070</v>
      </c>
      <c r="AN135" s="1895">
        <v>47760</v>
      </c>
      <c r="AO135" s="1895">
        <v>45956</v>
      </c>
      <c r="AP135" s="1895">
        <v>36660</v>
      </c>
      <c r="AQ135" s="1895">
        <v>40320</v>
      </c>
      <c r="AR135" s="1895">
        <v>52140</v>
      </c>
      <c r="AS135" s="1164"/>
    </row>
    <row r="136" spans="1:46">
      <c r="D136" s="1164" t="s">
        <v>963</v>
      </c>
      <c r="L136" s="1894" t="s">
        <v>237</v>
      </c>
      <c r="M136" s="1894" t="s">
        <v>237</v>
      </c>
      <c r="N136" s="1894" t="s">
        <v>237</v>
      </c>
      <c r="O136" s="1894" t="s">
        <v>237</v>
      </c>
      <c r="P136" s="1894" t="s">
        <v>237</v>
      </c>
      <c r="Q136" s="1894" t="s">
        <v>237</v>
      </c>
      <c r="R136" s="1894" t="s">
        <v>237</v>
      </c>
      <c r="S136" s="1894" t="s">
        <v>237</v>
      </c>
      <c r="T136" s="1894" t="s">
        <v>237</v>
      </c>
      <c r="U136" s="1894" t="s">
        <v>237</v>
      </c>
      <c r="V136" s="1894" t="s">
        <v>237</v>
      </c>
      <c r="W136" s="1894" t="s">
        <v>237</v>
      </c>
      <c r="X136" s="1895">
        <v>380</v>
      </c>
      <c r="Y136" s="1895"/>
      <c r="Z136" s="1895">
        <v>1070</v>
      </c>
      <c r="AA136" s="1895"/>
      <c r="AB136" s="1895">
        <v>1120</v>
      </c>
      <c r="AC136" s="1895"/>
      <c r="AD136" s="1895">
        <v>1450</v>
      </c>
      <c r="AE136" s="1895"/>
      <c r="AF136" s="1895">
        <v>1130</v>
      </c>
      <c r="AG136" s="1895">
        <v>730</v>
      </c>
      <c r="AH136" s="1895">
        <v>980</v>
      </c>
      <c r="AI136" s="1895">
        <v>620</v>
      </c>
      <c r="AJ136" s="1895">
        <v>450</v>
      </c>
      <c r="AK136" s="1895">
        <v>90</v>
      </c>
      <c r="AL136" s="1895">
        <v>100</v>
      </c>
      <c r="AM136" s="1895">
        <v>140</v>
      </c>
      <c r="AN136" s="1895">
        <v>110</v>
      </c>
      <c r="AO136" s="1895">
        <v>110</v>
      </c>
      <c r="AP136" s="1895">
        <v>60</v>
      </c>
      <c r="AQ136" s="1895">
        <v>160</v>
      </c>
      <c r="AR136" s="1895">
        <v>130</v>
      </c>
    </row>
    <row r="137" spans="1:46">
      <c r="D137" s="1164" t="s">
        <v>964</v>
      </c>
      <c r="L137" s="1894" t="s">
        <v>237</v>
      </c>
      <c r="M137" s="1894" t="s">
        <v>237</v>
      </c>
      <c r="N137" s="1894" t="s">
        <v>237</v>
      </c>
      <c r="O137" s="1894" t="s">
        <v>237</v>
      </c>
      <c r="P137" s="1894" t="s">
        <v>237</v>
      </c>
      <c r="Q137" s="1894" t="s">
        <v>237</v>
      </c>
      <c r="R137" s="1894" t="s">
        <v>237</v>
      </c>
      <c r="S137" s="1894" t="s">
        <v>237</v>
      </c>
      <c r="T137" s="1894" t="s">
        <v>237</v>
      </c>
      <c r="U137" s="1894" t="s">
        <v>237</v>
      </c>
      <c r="V137" s="1894" t="s">
        <v>237</v>
      </c>
      <c r="W137" s="1894" t="s">
        <v>237</v>
      </c>
      <c r="X137" s="1895">
        <v>10</v>
      </c>
      <c r="Y137" s="1895"/>
      <c r="Z137" s="1895">
        <v>190</v>
      </c>
      <c r="AA137" s="1895"/>
      <c r="AB137" s="1895">
        <v>430</v>
      </c>
      <c r="AC137" s="1895"/>
      <c r="AD137" s="1895">
        <v>810</v>
      </c>
      <c r="AE137" s="1895"/>
      <c r="AF137" s="1895">
        <v>580</v>
      </c>
      <c r="AG137" s="1895">
        <v>720</v>
      </c>
      <c r="AH137" s="1895">
        <v>820</v>
      </c>
      <c r="AI137" s="1895">
        <v>930</v>
      </c>
      <c r="AJ137" s="1895">
        <v>950</v>
      </c>
      <c r="AK137" s="1895">
        <v>1010</v>
      </c>
      <c r="AL137" s="1895">
        <v>1200</v>
      </c>
      <c r="AM137" s="1895">
        <v>1290</v>
      </c>
      <c r="AN137" s="1895">
        <v>1460</v>
      </c>
      <c r="AO137" s="1895">
        <v>1410</v>
      </c>
      <c r="AP137" s="1895">
        <v>1320</v>
      </c>
      <c r="AQ137" s="1895">
        <v>1280</v>
      </c>
      <c r="AR137" s="1895">
        <v>1140</v>
      </c>
    </row>
    <row r="138" spans="1:46">
      <c r="D138" s="1164" t="s">
        <v>965</v>
      </c>
      <c r="L138" s="1894" t="s">
        <v>237</v>
      </c>
      <c r="M138" s="1894" t="s">
        <v>237</v>
      </c>
      <c r="N138" s="1894" t="s">
        <v>237</v>
      </c>
      <c r="O138" s="1894" t="s">
        <v>237</v>
      </c>
      <c r="P138" s="1894" t="s">
        <v>237</v>
      </c>
      <c r="Q138" s="1894" t="s">
        <v>237</v>
      </c>
      <c r="R138" s="1894" t="s">
        <v>237</v>
      </c>
      <c r="S138" s="1894" t="s">
        <v>237</v>
      </c>
      <c r="T138" s="1894" t="s">
        <v>237</v>
      </c>
      <c r="U138" s="1894" t="s">
        <v>237</v>
      </c>
      <c r="V138" s="1894" t="s">
        <v>237</v>
      </c>
      <c r="W138" s="1894" t="s">
        <v>237</v>
      </c>
      <c r="X138" s="1895">
        <v>1100</v>
      </c>
      <c r="Y138" s="1895"/>
      <c r="Z138" s="1895">
        <v>1620</v>
      </c>
      <c r="AA138" s="1895"/>
      <c r="AB138" s="1895">
        <v>1880</v>
      </c>
      <c r="AC138" s="1895"/>
      <c r="AD138" s="1895">
        <v>2760</v>
      </c>
      <c r="AE138" s="1895"/>
      <c r="AF138" s="1895">
        <v>2690</v>
      </c>
      <c r="AG138" s="1895">
        <v>3530</v>
      </c>
      <c r="AH138" s="1895">
        <v>3100</v>
      </c>
      <c r="AI138" s="1895">
        <v>3040</v>
      </c>
      <c r="AJ138" s="1895">
        <v>3430</v>
      </c>
      <c r="AK138" s="1895">
        <v>3500</v>
      </c>
      <c r="AL138" s="1895">
        <v>3570</v>
      </c>
      <c r="AM138" s="1895">
        <v>3480</v>
      </c>
      <c r="AN138" s="1895">
        <v>3380</v>
      </c>
      <c r="AO138" s="1895">
        <v>2700</v>
      </c>
      <c r="AP138" s="1895">
        <v>2660</v>
      </c>
      <c r="AQ138" s="1895">
        <v>2730</v>
      </c>
      <c r="AR138" s="1895">
        <v>3510</v>
      </c>
    </row>
    <row r="139" spans="1:46">
      <c r="L139" s="1894"/>
      <c r="M139" s="1894"/>
      <c r="N139" s="1894"/>
      <c r="O139" s="1894"/>
      <c r="P139" s="1894"/>
      <c r="Q139" s="1894"/>
      <c r="R139" s="1894"/>
      <c r="S139" s="1894"/>
      <c r="T139" s="1894"/>
      <c r="U139" s="1894"/>
      <c r="V139" s="1894"/>
      <c r="W139" s="1894"/>
      <c r="X139" s="1895"/>
      <c r="Y139" s="1895"/>
      <c r="Z139" s="1895"/>
      <c r="AA139" s="1895"/>
      <c r="AB139" s="1895"/>
      <c r="AC139" s="1895"/>
      <c r="AD139" s="1895"/>
      <c r="AE139" s="1895"/>
      <c r="AF139" s="1895"/>
      <c r="AG139" s="1895"/>
      <c r="AH139" s="1895"/>
      <c r="AI139" s="1911"/>
      <c r="AJ139" s="1895"/>
      <c r="AK139" s="1895"/>
      <c r="AL139" s="1895"/>
      <c r="AM139" s="1895"/>
      <c r="AN139" s="1895"/>
      <c r="AO139" s="1895"/>
      <c r="AP139" s="1895"/>
      <c r="AQ139" s="1895"/>
      <c r="AR139" s="1895"/>
    </row>
    <row r="140" spans="1:46" ht="15" customHeight="1">
      <c r="D140" s="1164" t="s">
        <v>966</v>
      </c>
      <c r="L140" s="1894"/>
      <c r="M140" s="1894"/>
      <c r="N140" s="1894"/>
      <c r="O140" s="1894"/>
      <c r="P140" s="1894"/>
      <c r="Q140" s="1894"/>
      <c r="R140" s="1894"/>
      <c r="S140" s="1894"/>
      <c r="T140" s="1894"/>
      <c r="U140" s="1894"/>
      <c r="V140" s="1894"/>
      <c r="W140" s="1894"/>
      <c r="X140" s="1895"/>
      <c r="Y140" s="1895"/>
      <c r="Z140" s="1895"/>
      <c r="AA140" s="1895"/>
      <c r="AB140" s="1895"/>
      <c r="AC140" s="1895"/>
      <c r="AD140" s="1895"/>
      <c r="AE140" s="1895"/>
      <c r="AF140" s="1895"/>
      <c r="AG140" s="1895"/>
      <c r="AH140" s="1895"/>
      <c r="AI140" s="1911"/>
      <c r="AJ140" s="1895">
        <v>117920</v>
      </c>
      <c r="AK140" s="1895">
        <v>122990</v>
      </c>
      <c r="AL140" s="1895">
        <v>127500</v>
      </c>
      <c r="AM140" s="1895">
        <v>130380</v>
      </c>
      <c r="AN140" s="1895">
        <v>127140</v>
      </c>
      <c r="AO140" s="1895">
        <v>131850</v>
      </c>
      <c r="AP140" s="1895">
        <v>136720</v>
      </c>
      <c r="AQ140" s="1895">
        <v>120580</v>
      </c>
      <c r="AR140" s="1895">
        <v>128380</v>
      </c>
      <c r="AT140" s="552" t="s">
        <v>1892</v>
      </c>
    </row>
    <row r="141" spans="1:46">
      <c r="L141" s="1894"/>
      <c r="M141" s="1894"/>
      <c r="N141" s="1894"/>
      <c r="O141" s="1894"/>
      <c r="P141" s="1894"/>
      <c r="Q141" s="1894"/>
      <c r="R141" s="1894"/>
      <c r="S141" s="1894"/>
      <c r="T141" s="1894"/>
      <c r="U141" s="1894"/>
      <c r="V141" s="1894"/>
      <c r="W141" s="1894"/>
      <c r="X141" s="1895"/>
      <c r="Y141" s="1895"/>
      <c r="Z141" s="1895"/>
      <c r="AA141" s="1895"/>
      <c r="AB141" s="1895"/>
      <c r="AC141" s="1895"/>
      <c r="AD141" s="1895"/>
      <c r="AE141" s="1895"/>
      <c r="AF141" s="1895"/>
      <c r="AG141" s="1895"/>
      <c r="AH141" s="1895"/>
      <c r="AI141" s="1911"/>
      <c r="AJ141" s="1895"/>
      <c r="AK141" s="1895"/>
      <c r="AL141" s="1895"/>
      <c r="AM141" s="1895"/>
      <c r="AN141" s="1180"/>
      <c r="AO141" s="1180"/>
      <c r="AP141" s="1180"/>
      <c r="AQ141" s="1895"/>
      <c r="AR141" s="1895"/>
    </row>
    <row r="142" spans="1:46">
      <c r="D142" s="1906" t="s">
        <v>944</v>
      </c>
      <c r="L142" s="1894"/>
      <c r="M142" s="1894"/>
      <c r="N142" s="1894"/>
      <c r="O142" s="1894"/>
      <c r="P142" s="1894"/>
      <c r="Q142" s="1894"/>
      <c r="R142" s="1894"/>
      <c r="S142" s="1894"/>
      <c r="T142" s="1894"/>
      <c r="U142" s="1894"/>
      <c r="V142" s="1894"/>
      <c r="W142" s="1894"/>
      <c r="X142" s="1895"/>
      <c r="Y142" s="1895"/>
      <c r="Z142" s="1895"/>
      <c r="AA142" s="1895"/>
      <c r="AB142" s="1895"/>
      <c r="AC142" s="1895"/>
      <c r="AD142" s="1895"/>
      <c r="AE142" s="1895"/>
      <c r="AF142" s="1895"/>
      <c r="AG142" s="1895"/>
      <c r="AH142" s="1895"/>
      <c r="AI142" s="1911"/>
      <c r="AJ142" s="1895"/>
      <c r="AK142" s="1180"/>
      <c r="AL142" s="1180"/>
      <c r="AM142" s="1180"/>
      <c r="AN142" s="1180"/>
      <c r="AO142" s="1180"/>
      <c r="AP142" s="1180"/>
      <c r="AQ142" s="1895"/>
      <c r="AR142" s="1895"/>
    </row>
    <row r="143" spans="1:46">
      <c r="D143" s="1164" t="s">
        <v>967</v>
      </c>
      <c r="M143" s="1907"/>
      <c r="N143" s="1907"/>
      <c r="O143" s="1907"/>
      <c r="P143" s="1894"/>
      <c r="Q143" s="1894"/>
      <c r="R143" s="1894"/>
      <c r="S143" s="1894"/>
      <c r="T143" s="1894"/>
      <c r="U143" s="1894"/>
      <c r="V143" s="1894"/>
      <c r="W143" s="1894"/>
      <c r="X143" s="1895"/>
      <c r="Y143" s="1895"/>
      <c r="Z143" s="1895"/>
      <c r="AA143" s="1895"/>
      <c r="AB143" s="1895"/>
      <c r="AC143" s="1895"/>
      <c r="AD143" s="1895"/>
      <c r="AE143" s="1895"/>
      <c r="AF143" s="1895"/>
      <c r="AG143" s="1895">
        <v>180</v>
      </c>
      <c r="AH143" s="1895">
        <v>30</v>
      </c>
      <c r="AI143" s="1895">
        <v>70</v>
      </c>
      <c r="AJ143" s="1895">
        <v>80</v>
      </c>
      <c r="AK143" s="1895">
        <v>90</v>
      </c>
      <c r="AL143" s="1895">
        <v>70</v>
      </c>
      <c r="AM143" s="1895">
        <v>30</v>
      </c>
      <c r="AN143" s="1895">
        <v>20</v>
      </c>
      <c r="AO143" s="1895">
        <v>20</v>
      </c>
      <c r="AP143" s="1895">
        <v>0</v>
      </c>
      <c r="AQ143" s="1895">
        <v>0</v>
      </c>
      <c r="AR143" s="1895">
        <v>0</v>
      </c>
    </row>
    <row r="144" spans="1:46">
      <c r="D144" s="1164" t="s">
        <v>968</v>
      </c>
      <c r="M144" s="1907"/>
      <c r="N144" s="1907"/>
      <c r="O144" s="1907"/>
      <c r="P144" s="1894"/>
      <c r="Q144" s="1894"/>
      <c r="R144" s="1894"/>
      <c r="S144" s="1894"/>
      <c r="T144" s="1894"/>
      <c r="U144" s="1894"/>
      <c r="V144" s="1894"/>
      <c r="W144" s="1894"/>
      <c r="X144" s="1895"/>
      <c r="Y144" s="1895"/>
      <c r="Z144" s="1895">
        <v>0</v>
      </c>
      <c r="AA144" s="1895"/>
      <c r="AB144" s="1895">
        <v>90</v>
      </c>
      <c r="AC144" s="1895"/>
      <c r="AD144" s="1895">
        <v>100</v>
      </c>
      <c r="AE144" s="1895"/>
      <c r="AF144" s="1895">
        <v>120</v>
      </c>
      <c r="AG144" s="1895">
        <v>200</v>
      </c>
      <c r="AH144" s="1895">
        <v>190</v>
      </c>
      <c r="AI144" s="1895">
        <v>130</v>
      </c>
      <c r="AJ144" s="1895">
        <v>120</v>
      </c>
      <c r="AK144" s="1895">
        <v>30</v>
      </c>
      <c r="AL144" s="1895">
        <v>0</v>
      </c>
      <c r="AM144" s="1895">
        <v>10</v>
      </c>
      <c r="AN144" s="1895">
        <v>20</v>
      </c>
      <c r="AO144" s="1895">
        <v>30</v>
      </c>
      <c r="AP144" s="1895">
        <v>30</v>
      </c>
      <c r="AQ144" s="1895">
        <v>10</v>
      </c>
      <c r="AR144" s="1895">
        <v>0</v>
      </c>
    </row>
    <row r="145" spans="1:44">
      <c r="M145" s="1907"/>
      <c r="N145" s="1907"/>
      <c r="O145" s="1907"/>
      <c r="P145" s="1894"/>
      <c r="Q145" s="1894"/>
      <c r="R145" s="1894"/>
      <c r="S145" s="1894"/>
      <c r="T145" s="1894"/>
      <c r="U145" s="1894"/>
      <c r="V145" s="1894"/>
      <c r="W145" s="1894"/>
      <c r="X145" s="1895"/>
      <c r="Y145" s="1895"/>
      <c r="Z145" s="1895"/>
      <c r="AA145" s="1895"/>
      <c r="AB145" s="1895"/>
      <c r="AC145" s="1895"/>
      <c r="AD145" s="1895"/>
      <c r="AE145" s="1895"/>
      <c r="AF145" s="1895"/>
      <c r="AG145" s="1895"/>
      <c r="AH145" s="1895"/>
      <c r="AI145" s="1895"/>
      <c r="AJ145" s="1180"/>
      <c r="AK145" s="1180"/>
      <c r="AL145" s="1180"/>
      <c r="AM145" s="1180"/>
      <c r="AN145" s="1180"/>
      <c r="AO145" s="1180"/>
      <c r="AP145" s="1180"/>
      <c r="AQ145" s="1895"/>
      <c r="AR145" s="1895"/>
    </row>
    <row r="146" spans="1:44" ht="13.5">
      <c r="B146" s="301" t="s">
        <v>240</v>
      </c>
      <c r="AG146" s="1180"/>
      <c r="AH146" s="1180"/>
      <c r="AI146" s="1180"/>
      <c r="AJ146" s="1180"/>
      <c r="AK146" s="1180"/>
      <c r="AL146" s="1180"/>
      <c r="AM146" s="1180"/>
      <c r="AN146" s="1180"/>
      <c r="AO146" s="1180"/>
      <c r="AP146" s="1180"/>
      <c r="AQ146" s="1895"/>
      <c r="AR146" s="1895"/>
    </row>
    <row r="147" spans="1:44">
      <c r="B147" s="1906" t="s">
        <v>969</v>
      </c>
      <c r="J147" s="1894"/>
      <c r="K147" s="1894"/>
      <c r="L147" s="1909">
        <f t="shared" ref="L147:W147" si="30">SUM(L149:L154)</f>
        <v>49570</v>
      </c>
      <c r="M147" s="1909">
        <f t="shared" si="30"/>
        <v>52515</v>
      </c>
      <c r="N147" s="1909">
        <f t="shared" si="30"/>
        <v>54495</v>
      </c>
      <c r="O147" s="1909">
        <f t="shared" si="30"/>
        <v>56955</v>
      </c>
      <c r="P147" s="1909">
        <f t="shared" si="30"/>
        <v>58395</v>
      </c>
      <c r="Q147" s="1909">
        <f t="shared" si="30"/>
        <v>57835</v>
      </c>
      <c r="R147" s="1909">
        <f t="shared" si="30"/>
        <v>63105</v>
      </c>
      <c r="S147" s="1909">
        <f t="shared" si="30"/>
        <v>66545</v>
      </c>
      <c r="T147" s="1909">
        <f t="shared" si="30"/>
        <v>84435</v>
      </c>
      <c r="U147" s="1909">
        <f t="shared" si="30"/>
        <v>96710</v>
      </c>
      <c r="V147" s="1909">
        <f t="shared" si="30"/>
        <v>102360</v>
      </c>
      <c r="W147" s="1909">
        <f t="shared" si="30"/>
        <v>109430</v>
      </c>
      <c r="X147" s="1905">
        <f>SUM(X149:X154)</f>
        <v>110990</v>
      </c>
      <c r="Y147" s="1905"/>
      <c r="Z147" s="1905">
        <f>SUM(Z149:Z154)</f>
        <v>138000</v>
      </c>
      <c r="AA147" s="1905"/>
      <c r="AB147" s="1905">
        <f>SUM(AB149:AB154)</f>
        <v>101880</v>
      </c>
      <c r="AC147" s="1905"/>
      <c r="AD147" s="1905">
        <f>SUM(AD149:AD154)</f>
        <v>114320</v>
      </c>
      <c r="AE147" s="1905"/>
      <c r="AF147" s="1905">
        <f t="shared" ref="AF147:AR147" si="31">SUM(AF149:AF154)</f>
        <v>110706</v>
      </c>
      <c r="AG147" s="1905">
        <f t="shared" si="31"/>
        <v>119400</v>
      </c>
      <c r="AH147" s="1905">
        <f t="shared" si="31"/>
        <v>118690</v>
      </c>
      <c r="AI147" s="1905">
        <f t="shared" si="31"/>
        <v>149360</v>
      </c>
      <c r="AJ147" s="1905">
        <f t="shared" si="31"/>
        <v>128430</v>
      </c>
      <c r="AK147" s="1905">
        <f t="shared" si="31"/>
        <v>146360</v>
      </c>
      <c r="AL147" s="1905">
        <f t="shared" si="31"/>
        <v>171860</v>
      </c>
      <c r="AM147" s="1905">
        <f t="shared" si="31"/>
        <v>177900</v>
      </c>
      <c r="AN147" s="1905">
        <f t="shared" si="31"/>
        <v>192751</v>
      </c>
      <c r="AO147" s="1905">
        <f t="shared" si="31"/>
        <v>187970</v>
      </c>
      <c r="AP147" s="1905">
        <f t="shared" si="31"/>
        <v>193183</v>
      </c>
      <c r="AQ147" s="1905">
        <f t="shared" si="31"/>
        <v>190020</v>
      </c>
      <c r="AR147" s="1905">
        <f t="shared" si="31"/>
        <v>224610</v>
      </c>
    </row>
    <row r="148" spans="1:44">
      <c r="C148" s="1164" t="s">
        <v>970</v>
      </c>
      <c r="J148" s="1894"/>
      <c r="K148" s="1894"/>
      <c r="L148" s="1894"/>
      <c r="M148" s="1894"/>
      <c r="N148" s="1894"/>
      <c r="O148" s="1894"/>
      <c r="P148" s="1894"/>
      <c r="Q148" s="1894"/>
      <c r="R148" s="1894"/>
      <c r="S148" s="1894"/>
      <c r="T148" s="1894"/>
      <c r="U148" s="1894"/>
      <c r="V148" s="1894"/>
      <c r="W148" s="1894"/>
      <c r="X148" s="1895"/>
      <c r="Y148" s="1895"/>
      <c r="Z148" s="1895"/>
      <c r="AA148" s="1895"/>
      <c r="AB148" s="1895"/>
      <c r="AC148" s="1895"/>
      <c r="AD148" s="1895"/>
      <c r="AE148" s="1895"/>
      <c r="AF148" s="1895"/>
      <c r="AG148" s="1895"/>
      <c r="AH148" s="1895"/>
      <c r="AI148" s="1180"/>
      <c r="AJ148" s="1895"/>
      <c r="AK148" s="1895"/>
      <c r="AL148" s="1895"/>
      <c r="AM148" s="1895"/>
      <c r="AN148" s="1895"/>
      <c r="AO148" s="1895"/>
      <c r="AP148" s="1180"/>
      <c r="AQ148" s="1895"/>
      <c r="AR148" s="1895"/>
    </row>
    <row r="149" spans="1:44">
      <c r="C149" s="1164" t="s">
        <v>971</v>
      </c>
      <c r="J149" s="1894"/>
      <c r="K149" s="1894"/>
      <c r="L149" s="1894">
        <v>42805</v>
      </c>
      <c r="M149" s="1894">
        <v>45085</v>
      </c>
      <c r="N149" s="1894">
        <v>45445</v>
      </c>
      <c r="O149" s="1894">
        <v>48270</v>
      </c>
      <c r="P149" s="1894">
        <v>49430</v>
      </c>
      <c r="Q149" s="1894">
        <v>48750</v>
      </c>
      <c r="R149" s="1894">
        <v>52070</v>
      </c>
      <c r="S149" s="1894">
        <v>55370</v>
      </c>
      <c r="T149" s="1894">
        <v>71145</v>
      </c>
      <c r="U149" s="1894">
        <v>82215</v>
      </c>
      <c r="V149" s="1894">
        <v>83780</v>
      </c>
      <c r="W149" s="1894">
        <v>88830</v>
      </c>
      <c r="X149" s="1895">
        <v>42070</v>
      </c>
      <c r="Y149" s="1895"/>
      <c r="Z149" s="1895">
        <v>59480</v>
      </c>
      <c r="AA149" s="1895"/>
      <c r="AB149" s="1895">
        <v>50630</v>
      </c>
      <c r="AC149" s="1895"/>
      <c r="AD149" s="1895">
        <v>47060</v>
      </c>
      <c r="AE149" s="1895"/>
      <c r="AF149" s="1895">
        <v>40670</v>
      </c>
      <c r="AG149" s="1895">
        <v>39580</v>
      </c>
      <c r="AH149" s="1895">
        <v>36390</v>
      </c>
      <c r="AI149" s="1895">
        <v>38740</v>
      </c>
      <c r="AJ149" s="1895">
        <v>37860</v>
      </c>
      <c r="AK149" s="1895">
        <v>42780</v>
      </c>
      <c r="AL149" s="1895">
        <v>66620</v>
      </c>
      <c r="AM149" s="1895">
        <v>70400</v>
      </c>
      <c r="AN149" s="1895">
        <v>76091</v>
      </c>
      <c r="AO149" s="1895">
        <v>69910</v>
      </c>
      <c r="AP149" s="1895">
        <v>71653</v>
      </c>
      <c r="AQ149" s="1895">
        <v>65920</v>
      </c>
      <c r="AR149" s="1895">
        <v>70340</v>
      </c>
    </row>
    <row r="150" spans="1:44">
      <c r="C150" s="1164" t="s">
        <v>972</v>
      </c>
      <c r="J150" s="1894"/>
      <c r="K150" s="1894"/>
      <c r="L150" s="1894"/>
      <c r="M150" s="1894"/>
      <c r="N150" s="1894"/>
      <c r="O150" s="1894"/>
      <c r="P150" s="1894"/>
      <c r="Q150" s="1894"/>
      <c r="R150" s="1894"/>
      <c r="S150" s="1894"/>
      <c r="T150" s="1894"/>
      <c r="U150" s="1894"/>
      <c r="V150" s="1894"/>
      <c r="W150" s="1894"/>
      <c r="X150" s="1895">
        <v>44080</v>
      </c>
      <c r="Y150" s="1895"/>
      <c r="Z150" s="1895">
        <v>51560</v>
      </c>
      <c r="AA150" s="1895"/>
      <c r="AB150" s="1895">
        <v>37440</v>
      </c>
      <c r="AC150" s="1895"/>
      <c r="AD150" s="1895">
        <v>46000</v>
      </c>
      <c r="AE150" s="1895"/>
      <c r="AF150" s="1895">
        <v>44126</v>
      </c>
      <c r="AG150" s="1895">
        <v>52240</v>
      </c>
      <c r="AH150" s="1895">
        <v>53360</v>
      </c>
      <c r="AI150" s="1895">
        <v>68820</v>
      </c>
      <c r="AJ150" s="1895">
        <v>50670</v>
      </c>
      <c r="AK150" s="1895">
        <v>62530</v>
      </c>
      <c r="AL150" s="1895">
        <v>62070</v>
      </c>
      <c r="AM150" s="1895">
        <v>61770</v>
      </c>
      <c r="AN150" s="1895">
        <v>69440</v>
      </c>
      <c r="AO150" s="1895">
        <v>72260</v>
      </c>
      <c r="AP150" s="1895">
        <v>75680</v>
      </c>
      <c r="AQ150" s="1895">
        <v>80690</v>
      </c>
      <c r="AR150" s="1895">
        <v>100020</v>
      </c>
    </row>
    <row r="151" spans="1:44">
      <c r="C151" s="1164" t="s">
        <v>973</v>
      </c>
      <c r="J151" s="1894"/>
      <c r="K151" s="1894"/>
      <c r="L151" s="1894">
        <v>5440</v>
      </c>
      <c r="M151" s="1894">
        <v>5960</v>
      </c>
      <c r="N151" s="1894">
        <v>6350</v>
      </c>
      <c r="O151" s="1894">
        <v>5910</v>
      </c>
      <c r="P151" s="1894">
        <v>5720</v>
      </c>
      <c r="Q151" s="1894">
        <v>5415</v>
      </c>
      <c r="R151" s="1894">
        <v>7720</v>
      </c>
      <c r="S151" s="1894">
        <v>7830</v>
      </c>
      <c r="T151" s="1894">
        <v>9770</v>
      </c>
      <c r="U151" s="1894">
        <v>10565</v>
      </c>
      <c r="V151" s="1894">
        <v>13350</v>
      </c>
      <c r="W151" s="1894">
        <v>15050</v>
      </c>
      <c r="X151" s="1895">
        <v>18680</v>
      </c>
      <c r="Y151" s="1895"/>
      <c r="Z151" s="1895">
        <v>20060</v>
      </c>
      <c r="AA151" s="1895"/>
      <c r="AB151" s="1895">
        <v>3100</v>
      </c>
      <c r="AC151" s="1895"/>
      <c r="AD151" s="1895">
        <v>9500</v>
      </c>
      <c r="AE151" s="1895"/>
      <c r="AF151" s="1895">
        <v>12090</v>
      </c>
      <c r="AG151" s="1895">
        <v>12630</v>
      </c>
      <c r="AH151" s="1895">
        <v>12840</v>
      </c>
      <c r="AI151" s="1895">
        <v>21240</v>
      </c>
      <c r="AJ151" s="1895">
        <v>19310</v>
      </c>
      <c r="AK151" s="1895">
        <v>16580</v>
      </c>
      <c r="AL151" s="1895">
        <v>16400</v>
      </c>
      <c r="AM151" s="1895">
        <v>16410</v>
      </c>
      <c r="AN151" s="1895">
        <v>17320</v>
      </c>
      <c r="AO151" s="1895">
        <v>19680</v>
      </c>
      <c r="AP151" s="1895">
        <v>20520</v>
      </c>
      <c r="AQ151" s="1895">
        <v>16510</v>
      </c>
      <c r="AR151" s="1895">
        <v>20770</v>
      </c>
    </row>
    <row r="152" spans="1:44">
      <c r="C152" s="1164" t="s">
        <v>974</v>
      </c>
      <c r="J152" s="1894"/>
      <c r="K152" s="1894"/>
      <c r="L152" s="1894"/>
      <c r="M152" s="1894"/>
      <c r="N152" s="1894"/>
      <c r="O152" s="1894"/>
      <c r="P152" s="1894"/>
      <c r="Q152" s="1894"/>
      <c r="R152" s="1894"/>
      <c r="S152" s="1894"/>
      <c r="T152" s="1894"/>
      <c r="U152" s="1894"/>
      <c r="V152" s="1894"/>
      <c r="W152" s="1894"/>
      <c r="X152" s="1895" t="s">
        <v>269</v>
      </c>
      <c r="Y152" s="1895"/>
      <c r="Z152" s="1895">
        <v>880</v>
      </c>
      <c r="AA152" s="1895"/>
      <c r="AB152" s="1895">
        <v>1310</v>
      </c>
      <c r="AC152" s="1895"/>
      <c r="AD152" s="1895">
        <v>760</v>
      </c>
      <c r="AE152" s="1895"/>
      <c r="AF152" s="1895">
        <v>1050</v>
      </c>
      <c r="AG152" s="1895">
        <v>1130</v>
      </c>
      <c r="AH152" s="1895">
        <v>1070</v>
      </c>
      <c r="AI152" s="1895">
        <v>1180</v>
      </c>
      <c r="AJ152" s="1895">
        <v>1190</v>
      </c>
      <c r="AK152" s="1895">
        <v>1230</v>
      </c>
      <c r="AL152" s="1895">
        <v>1280</v>
      </c>
      <c r="AM152" s="1895">
        <v>1270</v>
      </c>
      <c r="AN152" s="1895">
        <v>1440</v>
      </c>
      <c r="AO152" s="1895">
        <v>1180</v>
      </c>
      <c r="AP152" s="1895">
        <v>1180</v>
      </c>
      <c r="AQ152" s="1895">
        <v>1220</v>
      </c>
      <c r="AR152" s="1895">
        <v>1220</v>
      </c>
    </row>
    <row r="153" spans="1:44">
      <c r="A153" s="1164" t="s">
        <v>975</v>
      </c>
      <c r="B153" s="1164" t="s">
        <v>234</v>
      </c>
      <c r="C153" s="1164" t="s">
        <v>976</v>
      </c>
      <c r="J153" s="1894"/>
      <c r="K153" s="1894"/>
      <c r="L153" s="1894">
        <v>1325</v>
      </c>
      <c r="M153" s="1894">
        <v>1470</v>
      </c>
      <c r="N153" s="1894">
        <v>2700</v>
      </c>
      <c r="O153" s="1894">
        <v>2775</v>
      </c>
      <c r="P153" s="1894">
        <v>3245</v>
      </c>
      <c r="Q153" s="1894">
        <v>3670</v>
      </c>
      <c r="R153" s="1894">
        <v>3315</v>
      </c>
      <c r="S153" s="1894">
        <v>3345</v>
      </c>
      <c r="T153" s="1894">
        <v>3520</v>
      </c>
      <c r="U153" s="1894">
        <v>3930</v>
      </c>
      <c r="V153" s="1894">
        <v>5230</v>
      </c>
      <c r="W153" s="1894">
        <v>5550</v>
      </c>
      <c r="X153" s="1895">
        <v>6160</v>
      </c>
      <c r="Y153" s="1895"/>
      <c r="Z153" s="1895">
        <v>6020</v>
      </c>
      <c r="AA153" s="1895"/>
      <c r="AB153" s="1895">
        <v>9400</v>
      </c>
      <c r="AC153" s="1895"/>
      <c r="AD153" s="1895">
        <v>11000</v>
      </c>
      <c r="AE153" s="1895"/>
      <c r="AF153" s="1895">
        <v>12770</v>
      </c>
      <c r="AG153" s="1895">
        <v>13820</v>
      </c>
      <c r="AH153" s="1895">
        <v>15030</v>
      </c>
      <c r="AI153" s="1895">
        <v>19380</v>
      </c>
      <c r="AJ153" s="1895">
        <v>19400</v>
      </c>
      <c r="AK153" s="1895">
        <v>23240</v>
      </c>
      <c r="AL153" s="1895">
        <v>25490</v>
      </c>
      <c r="AM153" s="1895">
        <v>28050</v>
      </c>
      <c r="AN153" s="1895">
        <v>28460</v>
      </c>
      <c r="AO153" s="1895">
        <v>24940</v>
      </c>
      <c r="AP153" s="1895">
        <v>24150</v>
      </c>
      <c r="AQ153" s="1895">
        <v>25680</v>
      </c>
      <c r="AR153" s="1895">
        <v>32260</v>
      </c>
    </row>
    <row r="154" spans="1:44">
      <c r="C154" s="1164" t="s">
        <v>977</v>
      </c>
      <c r="J154" s="1894"/>
      <c r="K154" s="1894"/>
      <c r="L154" s="1894"/>
      <c r="M154" s="1894"/>
      <c r="N154" s="1894"/>
      <c r="O154" s="1894"/>
      <c r="P154" s="1894"/>
      <c r="Q154" s="1894"/>
      <c r="R154" s="1894"/>
      <c r="S154" s="1894"/>
      <c r="T154" s="1894"/>
      <c r="U154" s="1894"/>
      <c r="V154" s="1894"/>
      <c r="W154" s="1894"/>
      <c r="X154" s="1895"/>
      <c r="Y154" s="1895"/>
      <c r="Z154" s="1895"/>
      <c r="AA154" s="1895"/>
      <c r="AB154" s="1895"/>
      <c r="AC154" s="1895"/>
      <c r="AD154" s="1895"/>
      <c r="AE154" s="1895"/>
      <c r="AF154" s="1895"/>
      <c r="AG154" s="1895"/>
      <c r="AH154" s="1895"/>
      <c r="AI154" s="1895"/>
      <c r="AJ154" s="1895"/>
      <c r="AK154" s="1895"/>
      <c r="AL154" s="1895"/>
      <c r="AM154" s="1895"/>
      <c r="AN154" s="1895"/>
      <c r="AO154" s="1895"/>
      <c r="AP154" s="1180"/>
      <c r="AQ154" s="1895"/>
      <c r="AR154" s="1895"/>
    </row>
    <row r="155" spans="1:44" ht="5.25" customHeight="1">
      <c r="J155" s="1894"/>
      <c r="K155" s="1894"/>
      <c r="L155" s="1894"/>
      <c r="M155" s="1894"/>
      <c r="N155" s="1894"/>
      <c r="O155" s="1894"/>
      <c r="P155" s="1894"/>
      <c r="Q155" s="1894"/>
      <c r="R155" s="1894"/>
      <c r="S155" s="1894"/>
      <c r="T155" s="1894"/>
      <c r="U155" s="1894"/>
      <c r="V155" s="1894"/>
      <c r="W155" s="1894"/>
      <c r="X155" s="1895"/>
      <c r="Y155" s="1895"/>
      <c r="Z155" s="1895"/>
      <c r="AA155" s="1895"/>
      <c r="AB155" s="1895"/>
      <c r="AC155" s="1895"/>
      <c r="AD155" s="1895"/>
      <c r="AE155" s="1895"/>
      <c r="AF155" s="1895"/>
      <c r="AG155" s="1895"/>
      <c r="AH155" s="1895"/>
      <c r="AI155" s="1895"/>
      <c r="AJ155" s="1895"/>
      <c r="AK155" s="1895"/>
      <c r="AL155" s="1895"/>
      <c r="AM155" s="1895"/>
      <c r="AN155" s="1895"/>
      <c r="AO155" s="1895"/>
      <c r="AP155" s="1180"/>
      <c r="AQ155" s="1895"/>
      <c r="AR155" s="1895"/>
    </row>
    <row r="156" spans="1:44" ht="27.75" customHeight="1">
      <c r="C156" s="1912" t="s">
        <v>978</v>
      </c>
      <c r="D156" s="841"/>
      <c r="E156" s="841"/>
      <c r="F156" s="841"/>
      <c r="G156" s="841"/>
      <c r="H156" s="841"/>
      <c r="I156" s="841"/>
      <c r="J156" s="841"/>
      <c r="K156" s="841"/>
      <c r="L156" s="841"/>
      <c r="M156" s="841"/>
      <c r="N156" s="841"/>
      <c r="O156" s="841"/>
      <c r="P156" s="841"/>
      <c r="Q156" s="841"/>
      <c r="R156" s="841"/>
      <c r="S156" s="841"/>
      <c r="T156" s="841"/>
      <c r="U156" s="841"/>
      <c r="V156" s="841"/>
      <c r="W156" s="841"/>
      <c r="X156" s="841"/>
      <c r="Y156" s="841"/>
      <c r="Z156" s="841"/>
      <c r="AA156" s="841"/>
      <c r="AB156" s="841"/>
      <c r="AC156" s="841"/>
      <c r="AD156" s="841"/>
      <c r="AE156" s="841"/>
      <c r="AF156" s="841"/>
      <c r="AG156" s="1895"/>
      <c r="AH156" s="1895"/>
      <c r="AI156" s="1895"/>
      <c r="AJ156" s="1895"/>
      <c r="AK156" s="1895"/>
      <c r="AL156" s="1895"/>
      <c r="AM156" s="1895"/>
      <c r="AN156" s="1895"/>
      <c r="AO156" s="1895"/>
      <c r="AP156" s="1180"/>
      <c r="AQ156" s="1895"/>
      <c r="AR156" s="1895"/>
    </row>
    <row r="157" spans="1:44" ht="27.75" customHeight="1">
      <c r="C157" s="1913"/>
      <c r="D157" s="841"/>
      <c r="E157" s="841"/>
      <c r="F157" s="841"/>
      <c r="G157" s="841"/>
      <c r="H157" s="841"/>
      <c r="I157" s="841"/>
      <c r="J157" s="841"/>
      <c r="K157" s="841"/>
      <c r="L157" s="841"/>
      <c r="M157" s="841"/>
      <c r="N157" s="841"/>
      <c r="O157" s="841"/>
      <c r="P157" s="841"/>
      <c r="Q157" s="841"/>
      <c r="R157" s="841"/>
      <c r="S157" s="841"/>
      <c r="T157" s="841"/>
      <c r="U157" s="841"/>
      <c r="V157" s="841"/>
      <c r="W157" s="841"/>
      <c r="X157" s="841"/>
      <c r="Y157" s="841"/>
      <c r="Z157" s="841"/>
      <c r="AA157" s="841"/>
      <c r="AB157" s="841"/>
      <c r="AC157" s="841"/>
      <c r="AD157" s="841"/>
      <c r="AE157" s="841"/>
      <c r="AF157" s="841"/>
      <c r="AG157" s="1895"/>
      <c r="AH157" s="1895"/>
      <c r="AI157" s="1895"/>
      <c r="AJ157" s="1895"/>
      <c r="AK157" s="1895"/>
      <c r="AL157" s="1895"/>
      <c r="AM157" s="1895"/>
      <c r="AN157" s="1895"/>
      <c r="AO157" s="1895"/>
      <c r="AP157" s="1180"/>
      <c r="AQ157" s="1895"/>
      <c r="AR157" s="1895"/>
    </row>
    <row r="158" spans="1:44" ht="27.75" customHeight="1">
      <c r="B158" s="1164" t="s">
        <v>979</v>
      </c>
      <c r="C158" s="1913"/>
      <c r="D158" s="841"/>
      <c r="E158" s="841"/>
      <c r="F158" s="841"/>
      <c r="G158" s="841"/>
      <c r="H158" s="841"/>
      <c r="I158" s="841"/>
      <c r="J158" s="841"/>
      <c r="K158" s="841"/>
      <c r="L158" s="841"/>
      <c r="M158" s="841"/>
      <c r="N158" s="841"/>
      <c r="O158" s="841"/>
      <c r="P158" s="841"/>
      <c r="Q158" s="841"/>
      <c r="R158" s="841"/>
      <c r="S158" s="841"/>
      <c r="T158" s="841"/>
      <c r="U158" s="841"/>
      <c r="V158" s="841"/>
      <c r="W158" s="841"/>
      <c r="X158" s="841"/>
      <c r="Y158" s="841"/>
      <c r="Z158" s="841"/>
      <c r="AA158" s="841"/>
      <c r="AB158" s="841"/>
      <c r="AC158" s="841"/>
      <c r="AD158" s="841"/>
      <c r="AE158" s="841"/>
      <c r="AF158" s="841"/>
      <c r="AG158" s="1895"/>
      <c r="AH158" s="1895"/>
      <c r="AI158" s="1895"/>
      <c r="AJ158" s="1895"/>
      <c r="AK158" s="1895"/>
      <c r="AL158" s="1895"/>
      <c r="AM158" s="1895"/>
      <c r="AN158" s="1895"/>
      <c r="AO158" s="1895"/>
      <c r="AP158" s="1180"/>
      <c r="AQ158" s="1895"/>
      <c r="AR158" s="1895"/>
    </row>
    <row r="159" spans="1:44" ht="14.25" customHeight="1">
      <c r="C159" s="1912" t="s">
        <v>980</v>
      </c>
      <c r="D159" s="1913"/>
      <c r="E159" s="841"/>
      <c r="F159" s="841"/>
      <c r="G159" s="841"/>
      <c r="H159" s="841"/>
      <c r="I159" s="841"/>
      <c r="J159" s="841"/>
      <c r="K159" s="841"/>
      <c r="L159" s="841"/>
      <c r="M159" s="841"/>
      <c r="N159" s="841"/>
      <c r="O159" s="841"/>
      <c r="P159" s="841"/>
      <c r="Q159" s="841"/>
      <c r="R159" s="841"/>
      <c r="S159" s="841"/>
      <c r="T159" s="841"/>
      <c r="U159" s="841"/>
      <c r="V159" s="841"/>
      <c r="W159" s="841"/>
      <c r="X159" s="841"/>
      <c r="Y159" s="841"/>
      <c r="Z159" s="841"/>
      <c r="AA159" s="841"/>
      <c r="AB159" s="841"/>
      <c r="AC159" s="841"/>
      <c r="AD159" s="841"/>
      <c r="AE159" s="841"/>
      <c r="AF159" s="841"/>
      <c r="AG159" s="1895"/>
      <c r="AH159" s="1895"/>
      <c r="AI159" s="1895"/>
      <c r="AJ159" s="1895">
        <v>0</v>
      </c>
      <c r="AK159" s="1895">
        <v>0</v>
      </c>
      <c r="AL159" s="1895">
        <v>1960</v>
      </c>
      <c r="AM159" s="1895">
        <v>2070</v>
      </c>
      <c r="AN159" s="1895">
        <v>5630</v>
      </c>
      <c r="AO159" s="1895">
        <v>6790</v>
      </c>
      <c r="AP159" s="1895">
        <v>7040</v>
      </c>
      <c r="AQ159" s="1895">
        <v>7960</v>
      </c>
      <c r="AR159" s="1895">
        <v>6360</v>
      </c>
    </row>
    <row r="160" spans="1:44" ht="13.5" customHeight="1">
      <c r="C160" s="1912" t="s">
        <v>981</v>
      </c>
      <c r="D160" s="1913"/>
      <c r="E160" s="841"/>
      <c r="F160" s="841"/>
      <c r="G160" s="841"/>
      <c r="H160" s="841"/>
      <c r="I160" s="841"/>
      <c r="J160" s="841"/>
      <c r="K160" s="841"/>
      <c r="L160" s="841"/>
      <c r="M160" s="841"/>
      <c r="N160" s="841"/>
      <c r="O160" s="841"/>
      <c r="P160" s="841"/>
      <c r="Q160" s="841"/>
      <c r="R160" s="841"/>
      <c r="S160" s="841"/>
      <c r="T160" s="841"/>
      <c r="U160" s="841"/>
      <c r="V160" s="841"/>
      <c r="W160" s="841"/>
      <c r="X160" s="841"/>
      <c r="Y160" s="841"/>
      <c r="Z160" s="841"/>
      <c r="AA160" s="841"/>
      <c r="AB160" s="841"/>
      <c r="AC160" s="841"/>
      <c r="AD160" s="841"/>
      <c r="AE160" s="841"/>
      <c r="AF160" s="841"/>
      <c r="AG160" s="1895"/>
      <c r="AH160" s="1895"/>
      <c r="AI160" s="1895"/>
      <c r="AJ160" s="1895">
        <v>0</v>
      </c>
      <c r="AK160" s="1895">
        <v>11980</v>
      </c>
      <c r="AL160" s="1895">
        <v>20730</v>
      </c>
      <c r="AM160" s="1895">
        <v>24230</v>
      </c>
      <c r="AN160" s="1895">
        <v>29730</v>
      </c>
      <c r="AO160" s="1895">
        <v>39550</v>
      </c>
      <c r="AP160" s="1895">
        <v>44320</v>
      </c>
      <c r="AQ160" s="1895">
        <v>44550</v>
      </c>
      <c r="AR160" s="1895">
        <v>60150</v>
      </c>
    </row>
    <row r="161" spans="1:44" ht="14.25" customHeight="1">
      <c r="C161" s="1912"/>
      <c r="D161" s="841"/>
      <c r="E161" s="841"/>
      <c r="F161" s="841"/>
      <c r="G161" s="841"/>
      <c r="H161" s="841"/>
      <c r="I161" s="841"/>
      <c r="J161" s="841"/>
      <c r="K161" s="841"/>
      <c r="L161" s="841"/>
      <c r="M161" s="841"/>
      <c r="N161" s="841"/>
      <c r="O161" s="841"/>
      <c r="P161" s="841"/>
      <c r="Q161" s="841"/>
      <c r="R161" s="841"/>
      <c r="S161" s="841"/>
      <c r="T161" s="841"/>
      <c r="U161" s="841"/>
      <c r="V161" s="841"/>
      <c r="W161" s="841"/>
      <c r="X161" s="841"/>
      <c r="Y161" s="841"/>
      <c r="Z161" s="841"/>
      <c r="AA161" s="841"/>
      <c r="AB161" s="841"/>
      <c r="AC161" s="841"/>
      <c r="AD161" s="841"/>
      <c r="AE161" s="841"/>
      <c r="AF161" s="841"/>
      <c r="AG161" s="1894"/>
      <c r="AH161" s="1894"/>
      <c r="AI161" s="1894"/>
      <c r="AJ161" s="1894"/>
      <c r="AK161" s="1894"/>
      <c r="AL161" s="1894"/>
      <c r="AM161" s="1894"/>
      <c r="AN161" s="1894"/>
      <c r="AO161" s="1894"/>
    </row>
    <row r="162" spans="1:44" ht="14.25" customHeight="1">
      <c r="B162" s="1899"/>
      <c r="C162" s="1914" t="s">
        <v>982</v>
      </c>
      <c r="D162" s="1915"/>
      <c r="E162" s="1899"/>
      <c r="F162" s="1899"/>
      <c r="G162" s="1899"/>
      <c r="H162" s="1899"/>
      <c r="I162" s="1899"/>
      <c r="J162" s="1899"/>
      <c r="K162" s="1899"/>
      <c r="L162" s="1899"/>
      <c r="M162" s="1916"/>
      <c r="N162" s="1916"/>
      <c r="O162" s="1916"/>
      <c r="P162" s="1900"/>
      <c r="Q162" s="1900"/>
      <c r="R162" s="1900"/>
      <c r="S162" s="1900"/>
      <c r="T162" s="1900"/>
      <c r="U162" s="1900"/>
      <c r="V162" s="1900"/>
      <c r="W162" s="1900"/>
      <c r="X162" s="1901"/>
      <c r="Y162" s="1901"/>
      <c r="Z162" s="1901"/>
      <c r="AA162" s="1901"/>
      <c r="AB162" s="1901"/>
      <c r="AC162" s="1901"/>
      <c r="AD162" s="1901"/>
      <c r="AE162" s="1901"/>
      <c r="AF162" s="1901"/>
      <c r="AG162" s="1901"/>
      <c r="AH162" s="1901"/>
      <c r="AI162" s="1901"/>
      <c r="AJ162" s="1901"/>
      <c r="AK162" s="1901"/>
      <c r="AL162" s="1901"/>
      <c r="AM162" s="1901"/>
      <c r="AN162" s="1901"/>
      <c r="AO162" s="1899"/>
      <c r="AP162" s="1899"/>
      <c r="AQ162" s="1899"/>
      <c r="AR162" s="1899"/>
    </row>
    <row r="163" spans="1:44" ht="18.75" customHeight="1">
      <c r="P163" s="1893"/>
      <c r="Q163" s="1893"/>
      <c r="R163" s="1893"/>
      <c r="S163" s="1893"/>
      <c r="T163" s="1893"/>
      <c r="U163" s="1893"/>
      <c r="V163" s="1893"/>
      <c r="W163" s="1893"/>
      <c r="AG163" s="1893"/>
      <c r="AH163" s="1893"/>
      <c r="AI163" s="1893"/>
    </row>
    <row r="164" spans="1:44">
      <c r="B164" s="743" t="s">
        <v>1893</v>
      </c>
      <c r="P164" s="1893"/>
      <c r="Q164" s="1893"/>
      <c r="R164" s="1893"/>
      <c r="S164" s="1893"/>
      <c r="T164" s="1893"/>
      <c r="U164" s="1893"/>
      <c r="V164" s="1893"/>
      <c r="W164" s="1893"/>
      <c r="AG164" s="1893"/>
      <c r="AH164" s="1893"/>
      <c r="AI164" s="1893"/>
    </row>
    <row r="165" spans="1:44">
      <c r="D165" s="1164" t="s">
        <v>1894</v>
      </c>
      <c r="P165" s="1893"/>
      <c r="Q165" s="1893"/>
      <c r="R165" s="1893"/>
      <c r="S165" s="1893"/>
      <c r="T165" s="1893"/>
      <c r="U165" s="1893"/>
      <c r="V165" s="1893"/>
      <c r="W165" s="1893"/>
      <c r="AG165" s="1893"/>
      <c r="AH165" s="1893"/>
      <c r="AI165" s="1893"/>
    </row>
    <row r="166" spans="1:44">
      <c r="P166" s="1893"/>
      <c r="Q166" s="1893"/>
      <c r="R166" s="1893"/>
      <c r="S166" s="1893"/>
      <c r="T166" s="1893"/>
      <c r="U166" s="1893"/>
      <c r="V166" s="1893"/>
      <c r="W166" s="1893"/>
      <c r="AG166" s="1893"/>
      <c r="AH166" s="1893"/>
      <c r="AI166" s="1893"/>
    </row>
    <row r="167" spans="1:44">
      <c r="P167" s="1893"/>
      <c r="Q167" s="1893"/>
      <c r="R167" s="1893"/>
      <c r="S167" s="1893"/>
      <c r="T167" s="1893"/>
      <c r="U167" s="1893"/>
      <c r="V167" s="1893"/>
      <c r="W167" s="1893"/>
      <c r="AG167" s="1893"/>
      <c r="AH167" s="1893"/>
      <c r="AI167" s="1893"/>
    </row>
    <row r="168" spans="1:44">
      <c r="B168" s="158" t="s">
        <v>983</v>
      </c>
      <c r="P168" s="1893"/>
      <c r="Q168" s="1893"/>
      <c r="R168" s="1893"/>
      <c r="S168" s="1893"/>
      <c r="T168" s="1893"/>
      <c r="U168" s="1893"/>
      <c r="V168" s="1893"/>
      <c r="W168" s="1893"/>
      <c r="AG168" s="1893"/>
      <c r="AH168" s="1893"/>
      <c r="AI168" s="1893"/>
    </row>
    <row r="169" spans="1:44">
      <c r="P169" s="1893"/>
      <c r="Q169" s="1893"/>
      <c r="R169" s="1893"/>
      <c r="S169" s="1893"/>
      <c r="T169" s="1893"/>
      <c r="U169" s="1893"/>
      <c r="V169" s="1893"/>
      <c r="W169" s="1893"/>
      <c r="AG169" s="1893"/>
      <c r="AH169" s="1893"/>
      <c r="AI169" s="1893"/>
    </row>
    <row r="170" spans="1:44">
      <c r="P170" s="1893"/>
      <c r="Q170" s="1893"/>
      <c r="R170" s="1893"/>
      <c r="S170" s="1893"/>
      <c r="T170" s="1893"/>
      <c r="U170" s="1893"/>
      <c r="V170" s="1893"/>
      <c r="W170" s="1893"/>
      <c r="AG170" s="1893"/>
      <c r="AH170" s="1893"/>
      <c r="AI170" s="1893"/>
    </row>
    <row r="172" spans="1:44">
      <c r="A172" s="1164" t="s">
        <v>975</v>
      </c>
      <c r="B172" s="1164" t="s">
        <v>234</v>
      </c>
      <c r="D172" s="1164" t="s">
        <v>984</v>
      </c>
      <c r="L172" s="1894" t="s">
        <v>237</v>
      </c>
      <c r="M172" s="1894" t="s">
        <v>237</v>
      </c>
      <c r="N172" s="1894" t="s">
        <v>237</v>
      </c>
      <c r="O172" s="1894" t="s">
        <v>237</v>
      </c>
      <c r="P172" s="1894" t="s">
        <v>237</v>
      </c>
      <c r="Q172" s="1894" t="s">
        <v>237</v>
      </c>
      <c r="R172" s="1894" t="s">
        <v>237</v>
      </c>
      <c r="S172" s="1894" t="s">
        <v>237</v>
      </c>
      <c r="T172" s="1894">
        <v>2300</v>
      </c>
      <c r="U172" s="1894">
        <v>3120</v>
      </c>
      <c r="V172" s="1894">
        <v>2820</v>
      </c>
      <c r="W172" s="1894"/>
      <c r="X172" s="1895">
        <v>3220</v>
      </c>
      <c r="Y172" s="1895"/>
      <c r="Z172" s="1895">
        <v>6210</v>
      </c>
      <c r="AA172" s="1895"/>
      <c r="AB172" s="1895"/>
      <c r="AC172" s="1895"/>
      <c r="AD172" s="1895">
        <v>6210</v>
      </c>
      <c r="AE172" s="1895"/>
      <c r="AF172" s="1895"/>
      <c r="AG172" s="1894"/>
      <c r="AH172" s="1894"/>
      <c r="AI172" s="1894"/>
    </row>
    <row r="175" spans="1:44">
      <c r="B175" s="1164" t="s">
        <v>374</v>
      </c>
    </row>
    <row r="177" spans="2:36">
      <c r="B177" s="1164" t="s">
        <v>476</v>
      </c>
    </row>
    <row r="178" spans="2:36">
      <c r="C178" s="1164" t="s">
        <v>985</v>
      </c>
      <c r="E178" s="1164">
        <v>1</v>
      </c>
      <c r="M178" s="1907"/>
      <c r="N178" s="1907"/>
      <c r="O178" s="1907"/>
      <c r="P178" s="1894"/>
      <c r="Q178" s="1894"/>
      <c r="R178" s="1894"/>
      <c r="S178" s="1894"/>
      <c r="T178" s="1894"/>
      <c r="U178" s="1894"/>
      <c r="V178" s="1894"/>
      <c r="W178" s="1894"/>
      <c r="X178" s="1895">
        <v>1996</v>
      </c>
      <c r="Y178" s="1895"/>
      <c r="Z178" s="1895"/>
      <c r="AA178" s="1895"/>
      <c r="AB178" s="1895"/>
      <c r="AC178" s="1895"/>
      <c r="AD178" s="1895"/>
      <c r="AE178" s="1895"/>
      <c r="AF178" s="1895"/>
      <c r="AG178" s="1894"/>
      <c r="AH178" s="1894"/>
      <c r="AI178" s="1908" t="s">
        <v>986</v>
      </c>
      <c r="AJ178" s="1191" t="s">
        <v>987</v>
      </c>
    </row>
    <row r="179" spans="2:36">
      <c r="C179" s="1164" t="s">
        <v>988</v>
      </c>
      <c r="E179" s="1164">
        <v>1</v>
      </c>
      <c r="M179" s="1907"/>
      <c r="N179" s="1907"/>
      <c r="O179" s="1907"/>
      <c r="P179" s="1894"/>
      <c r="Q179" s="1894"/>
      <c r="R179" s="1894"/>
      <c r="S179" s="1894"/>
      <c r="T179" s="1894"/>
      <c r="U179" s="1894"/>
      <c r="V179" s="1894"/>
      <c r="W179" s="1894"/>
      <c r="X179" s="1895">
        <v>38</v>
      </c>
      <c r="Y179" s="1895"/>
      <c r="Z179" s="1895"/>
      <c r="AA179" s="1895"/>
      <c r="AB179" s="1895"/>
      <c r="AC179" s="1895"/>
      <c r="AD179" s="1895"/>
      <c r="AE179" s="1895"/>
      <c r="AF179" s="1895"/>
      <c r="AG179" s="1894"/>
      <c r="AH179" s="1894"/>
      <c r="AI179" s="1894" t="str">
        <f>AI178</f>
        <v xml:space="preserve">don't inl;ude must eb in AITR </v>
      </c>
      <c r="AJ179" s="1191" t="s">
        <v>987</v>
      </c>
    </row>
    <row r="180" spans="2:36">
      <c r="C180" s="1164" t="s">
        <v>985</v>
      </c>
      <c r="E180" s="1164">
        <v>1</v>
      </c>
      <c r="M180" s="1907"/>
      <c r="N180" s="1907"/>
      <c r="O180" s="1907"/>
      <c r="P180" s="1894"/>
      <c r="Q180" s="1894"/>
      <c r="R180" s="1894"/>
      <c r="S180" s="1894"/>
      <c r="T180" s="1894"/>
      <c r="U180" s="1894"/>
      <c r="V180" s="1894"/>
      <c r="W180" s="1894"/>
      <c r="X180" s="1895">
        <v>1996</v>
      </c>
      <c r="Y180" s="1895"/>
      <c r="Z180" s="1895"/>
      <c r="AA180" s="1895"/>
      <c r="AB180" s="1895"/>
      <c r="AC180" s="1895"/>
      <c r="AD180" s="1895"/>
      <c r="AE180" s="1895"/>
      <c r="AF180" s="1895"/>
      <c r="AG180" s="1894"/>
      <c r="AH180" s="1894"/>
      <c r="AI180" s="1908" t="s">
        <v>986</v>
      </c>
      <c r="AJ180" s="1191" t="s">
        <v>987</v>
      </c>
    </row>
    <row r="181" spans="2:36">
      <c r="C181" s="1164" t="s">
        <v>988</v>
      </c>
      <c r="E181" s="1164">
        <v>1</v>
      </c>
      <c r="M181" s="1907"/>
      <c r="N181" s="1907"/>
      <c r="O181" s="1907"/>
      <c r="P181" s="1894"/>
      <c r="Q181" s="1894"/>
      <c r="R181" s="1894"/>
      <c r="S181" s="1894"/>
      <c r="T181" s="1894"/>
      <c r="U181" s="1894"/>
      <c r="V181" s="1894"/>
      <c r="W181" s="1894"/>
      <c r="X181" s="1895">
        <v>38</v>
      </c>
      <c r="Y181" s="1895"/>
      <c r="Z181" s="1895"/>
      <c r="AA181" s="1895"/>
      <c r="AB181" s="1895"/>
      <c r="AC181" s="1895"/>
      <c r="AD181" s="1895"/>
      <c r="AE181" s="1895"/>
      <c r="AF181" s="1895"/>
      <c r="AG181" s="1894"/>
      <c r="AH181" s="1894"/>
      <c r="AI181" s="1894" t="str">
        <f>AI180</f>
        <v xml:space="preserve">don't inl;ude must eb in AITR </v>
      </c>
      <c r="AJ181" s="1191" t="s">
        <v>987</v>
      </c>
    </row>
    <row r="183" spans="2:36">
      <c r="C183" s="1164" t="s">
        <v>989</v>
      </c>
      <c r="E183" s="1164">
        <v>2</v>
      </c>
      <c r="M183" s="1907">
        <v>2565</v>
      </c>
      <c r="N183" s="1907"/>
      <c r="O183" s="1907"/>
      <c r="P183" s="1894"/>
      <c r="Q183" s="1894"/>
      <c r="R183" s="1894">
        <v>2880</v>
      </c>
      <c r="S183" s="1894">
        <v>3020</v>
      </c>
      <c r="T183" s="1894">
        <v>2065</v>
      </c>
      <c r="U183" s="1894">
        <v>2030</v>
      </c>
      <c r="V183" s="1894">
        <v>1700</v>
      </c>
      <c r="W183" s="1894"/>
      <c r="X183" s="1895" t="s">
        <v>269</v>
      </c>
      <c r="Y183" s="1895"/>
      <c r="Z183" s="1895"/>
      <c r="AA183" s="1895"/>
      <c r="AB183" s="1895"/>
      <c r="AC183" s="1895"/>
      <c r="AD183" s="1895"/>
      <c r="AE183" s="1895"/>
      <c r="AF183" s="1895"/>
      <c r="AG183" s="1894"/>
      <c r="AH183" s="1894"/>
      <c r="AI183" s="1908" t="s">
        <v>990</v>
      </c>
    </row>
    <row r="185" spans="2:36">
      <c r="C185" s="1164" t="s">
        <v>991</v>
      </c>
      <c r="E185" s="1164">
        <v>2</v>
      </c>
      <c r="M185" s="1907"/>
      <c r="N185" s="1907"/>
      <c r="O185" s="1907"/>
      <c r="P185" s="1894"/>
      <c r="Q185" s="1894"/>
      <c r="R185" s="1894"/>
      <c r="S185" s="1894"/>
      <c r="T185" s="1894"/>
      <c r="U185" s="1894"/>
      <c r="V185" s="1894">
        <v>905</v>
      </c>
      <c r="W185" s="1894"/>
      <c r="X185" s="1895"/>
      <c r="Y185" s="1895"/>
      <c r="Z185" s="1895"/>
      <c r="AA185" s="1895"/>
      <c r="AB185" s="1895"/>
      <c r="AC185" s="1895"/>
      <c r="AD185" s="1895"/>
      <c r="AE185" s="1895"/>
      <c r="AF185" s="1895"/>
      <c r="AG185" s="1894"/>
      <c r="AH185" s="1894"/>
      <c r="AI185" s="1908" t="s">
        <v>992</v>
      </c>
    </row>
    <row r="188" spans="2:36">
      <c r="B188" s="1164" t="s">
        <v>949</v>
      </c>
      <c r="M188" s="1907"/>
      <c r="N188" s="1907"/>
      <c r="O188" s="1907"/>
      <c r="P188" s="1894"/>
      <c r="Q188" s="1894"/>
      <c r="R188" s="1894"/>
      <c r="S188" s="1894"/>
      <c r="T188" s="1894"/>
      <c r="U188" s="1894"/>
      <c r="V188" s="1894"/>
      <c r="W188" s="1894"/>
      <c r="X188" s="1895"/>
      <c r="Y188" s="1895"/>
      <c r="Z188" s="1895"/>
      <c r="AA188" s="1895"/>
      <c r="AB188" s="1895"/>
      <c r="AC188" s="1895"/>
      <c r="AD188" s="1895"/>
      <c r="AE188" s="1895"/>
      <c r="AF188" s="1895"/>
      <c r="AG188" s="1894"/>
      <c r="AH188" s="1894"/>
    </row>
    <row r="190" spans="2:36">
      <c r="C190" s="1164" t="s">
        <v>993</v>
      </c>
      <c r="M190" s="1907" t="s">
        <v>269</v>
      </c>
      <c r="N190" s="1907"/>
      <c r="O190" s="1907"/>
      <c r="P190" s="1894"/>
      <c r="Q190" s="1894"/>
      <c r="R190" s="1894"/>
      <c r="S190" s="1894"/>
      <c r="T190" s="1894"/>
      <c r="U190" s="1894">
        <v>145</v>
      </c>
      <c r="V190" s="1894">
        <v>270</v>
      </c>
      <c r="W190" s="1894"/>
      <c r="X190" s="1895">
        <v>300</v>
      </c>
      <c r="Y190" s="1895"/>
      <c r="Z190" s="1895"/>
      <c r="AA190" s="1895"/>
      <c r="AB190" s="1895"/>
      <c r="AC190" s="1895"/>
      <c r="AD190" s="1895"/>
      <c r="AE190" s="1895"/>
      <c r="AF190" s="1895"/>
      <c r="AG190" s="1894"/>
      <c r="AH190" s="1894"/>
      <c r="AI190" s="1894" t="s">
        <v>994</v>
      </c>
    </row>
    <row r="191" spans="2:36">
      <c r="C191" s="1164" t="s">
        <v>995</v>
      </c>
      <c r="M191" s="1907" t="s">
        <v>269</v>
      </c>
      <c r="N191" s="1907"/>
      <c r="O191" s="1907"/>
      <c r="P191" s="1894"/>
      <c r="Q191" s="1894"/>
      <c r="R191" s="1894"/>
      <c r="S191" s="1894"/>
      <c r="T191" s="1894"/>
      <c r="U191" s="1894">
        <v>15</v>
      </c>
      <c r="V191" s="1894">
        <v>35</v>
      </c>
      <c r="W191" s="1894"/>
      <c r="X191" s="1895">
        <v>90</v>
      </c>
      <c r="Y191" s="1895"/>
      <c r="Z191" s="1895"/>
      <c r="AA191" s="1895"/>
      <c r="AB191" s="1895"/>
      <c r="AC191" s="1895"/>
      <c r="AD191" s="1895"/>
      <c r="AE191" s="1895"/>
      <c r="AF191" s="1895"/>
      <c r="AG191" s="1894"/>
      <c r="AH191" s="1894"/>
      <c r="AI191" s="1894" t="str">
        <f>AI190</f>
        <v xml:space="preserve">Take out/subtract  of ALPM </v>
      </c>
    </row>
    <row r="192" spans="2:36">
      <c r="M192" s="1907"/>
      <c r="N192" s="1907"/>
      <c r="O192" s="1907"/>
      <c r="P192" s="1894"/>
      <c r="Q192" s="1894"/>
      <c r="R192" s="1894"/>
      <c r="S192" s="1894"/>
      <c r="T192" s="1894"/>
      <c r="U192" s="1894"/>
      <c r="V192" s="1894"/>
      <c r="W192" s="1894"/>
      <c r="X192" s="1895"/>
      <c r="Y192" s="1895"/>
      <c r="Z192" s="1895"/>
      <c r="AA192" s="1895"/>
      <c r="AB192" s="1895"/>
      <c r="AC192" s="1895"/>
      <c r="AD192" s="1895"/>
      <c r="AE192" s="1895"/>
      <c r="AF192" s="1895"/>
      <c r="AG192" s="1894"/>
      <c r="AH192" s="1894"/>
      <c r="AI192" s="1894"/>
    </row>
    <row r="193" spans="1:45">
      <c r="C193" s="1164" t="s">
        <v>996</v>
      </c>
      <c r="M193" s="1907"/>
      <c r="N193" s="1907"/>
      <c r="O193" s="1907"/>
      <c r="P193" s="1894"/>
      <c r="Q193" s="1894"/>
      <c r="R193" s="1894"/>
      <c r="S193" s="1894"/>
      <c r="T193" s="1894"/>
      <c r="U193" s="1894"/>
      <c r="V193" s="1894"/>
      <c r="W193" s="1894"/>
      <c r="X193" s="1895"/>
      <c r="Y193" s="1895"/>
      <c r="Z193" s="1895"/>
      <c r="AA193" s="1895"/>
      <c r="AB193" s="1895"/>
      <c r="AC193" s="1895"/>
      <c r="AD193" s="1895"/>
      <c r="AE193" s="1895"/>
      <c r="AF193" s="1895"/>
      <c r="AG193" s="1894"/>
      <c r="AH193" s="1894"/>
      <c r="AI193" s="1894"/>
    </row>
    <row r="194" spans="1:45">
      <c r="C194" s="1164" t="s">
        <v>997</v>
      </c>
      <c r="E194" s="1164">
        <v>2</v>
      </c>
      <c r="M194" s="1907">
        <v>20</v>
      </c>
      <c r="N194" s="1907"/>
      <c r="O194" s="1907"/>
      <c r="P194" s="1894"/>
      <c r="Q194" s="1894"/>
      <c r="R194" s="1894">
        <v>30</v>
      </c>
      <c r="S194" s="1894">
        <v>35</v>
      </c>
      <c r="T194" s="1894">
        <v>30</v>
      </c>
      <c r="U194" s="1894"/>
      <c r="V194" s="1894"/>
      <c r="W194" s="1894"/>
      <c r="X194" s="1895" t="s">
        <v>269</v>
      </c>
      <c r="Y194" s="1895"/>
      <c r="Z194" s="1895"/>
      <c r="AA194" s="1895"/>
      <c r="AB194" s="1895"/>
      <c r="AC194" s="1895"/>
      <c r="AD194" s="1895"/>
      <c r="AE194" s="1895"/>
      <c r="AF194" s="1895"/>
      <c r="AG194" s="1894"/>
      <c r="AH194" s="1894"/>
      <c r="AI194" s="1894"/>
    </row>
    <row r="195" spans="1:45" s="1191" customFormat="1">
      <c r="A195" s="1164"/>
      <c r="B195" s="1164"/>
      <c r="C195" s="1164"/>
      <c r="D195" s="1164"/>
      <c r="E195" s="1164"/>
      <c r="F195" s="1164"/>
      <c r="G195" s="1164"/>
      <c r="H195" s="1164"/>
      <c r="I195" s="1164"/>
      <c r="J195" s="1164"/>
      <c r="K195" s="1164"/>
      <c r="L195" s="1164"/>
      <c r="M195" s="1164"/>
      <c r="N195" s="1164"/>
      <c r="O195" s="1164"/>
      <c r="P195" s="1164"/>
      <c r="Q195" s="1164"/>
      <c r="R195" s="1164"/>
      <c r="S195" s="1164"/>
      <c r="T195" s="1164"/>
      <c r="U195" s="1164"/>
      <c r="V195" s="1164"/>
      <c r="W195" s="1164"/>
      <c r="X195" s="1180"/>
      <c r="Y195" s="1180"/>
      <c r="Z195" s="1180"/>
      <c r="AA195" s="1180"/>
      <c r="AB195" s="1180"/>
      <c r="AC195" s="1180"/>
      <c r="AD195" s="1180"/>
      <c r="AE195" s="1180"/>
      <c r="AF195" s="1180"/>
      <c r="AG195" s="1164"/>
      <c r="AH195" s="1164"/>
      <c r="AI195" s="1164"/>
      <c r="AK195" s="1164"/>
      <c r="AL195" s="1164"/>
      <c r="AM195" s="1164"/>
      <c r="AN195" s="1164"/>
      <c r="AO195" s="1164"/>
      <c r="AP195" s="1164"/>
      <c r="AQ195" s="1164"/>
      <c r="AR195" s="1164"/>
      <c r="AS195" s="1164"/>
    </row>
    <row r="196" spans="1:45" s="1191" customFormat="1">
      <c r="A196" s="1164"/>
      <c r="B196" s="1164"/>
      <c r="C196" s="1164" t="s">
        <v>998</v>
      </c>
      <c r="D196" s="1164"/>
      <c r="E196" s="1164">
        <v>2</v>
      </c>
      <c r="F196" s="1164"/>
      <c r="G196" s="1164"/>
      <c r="H196" s="1164"/>
      <c r="I196" s="1164"/>
      <c r="J196" s="1164"/>
      <c r="K196" s="1164"/>
      <c r="L196" s="1164"/>
      <c r="M196" s="1907">
        <v>125</v>
      </c>
      <c r="N196" s="1907"/>
      <c r="O196" s="1907"/>
      <c r="P196" s="1894"/>
      <c r="Q196" s="1894"/>
      <c r="R196" s="1894">
        <v>150</v>
      </c>
      <c r="S196" s="1894">
        <v>155</v>
      </c>
      <c r="T196" s="1894">
        <v>165</v>
      </c>
      <c r="U196" s="1894">
        <v>175</v>
      </c>
      <c r="V196" s="1894">
        <v>185</v>
      </c>
      <c r="W196" s="1894"/>
      <c r="X196" s="1895" t="s">
        <v>269</v>
      </c>
      <c r="Y196" s="1895"/>
      <c r="Z196" s="1895"/>
      <c r="AA196" s="1895"/>
      <c r="AB196" s="1895"/>
      <c r="AC196" s="1895"/>
      <c r="AD196" s="1895"/>
      <c r="AE196" s="1895"/>
      <c r="AF196" s="1895"/>
      <c r="AG196" s="1894"/>
      <c r="AH196" s="1894"/>
      <c r="AI196" s="1894"/>
      <c r="AK196" s="1164"/>
      <c r="AL196" s="1164"/>
      <c r="AM196" s="1164"/>
      <c r="AN196" s="1164"/>
      <c r="AO196" s="1164"/>
      <c r="AP196" s="1164"/>
      <c r="AQ196" s="1164"/>
      <c r="AR196" s="1164"/>
      <c r="AS196" s="1164"/>
    </row>
    <row r="197" spans="1:45" s="1191" customFormat="1">
      <c r="A197" s="1164"/>
      <c r="B197" s="1164"/>
      <c r="C197" s="1164" t="s">
        <v>999</v>
      </c>
      <c r="D197" s="1164"/>
      <c r="E197" s="1164">
        <v>2</v>
      </c>
      <c r="F197" s="1164"/>
      <c r="G197" s="1164"/>
      <c r="H197" s="1164"/>
      <c r="I197" s="1164"/>
      <c r="J197" s="1164"/>
      <c r="K197" s="1164"/>
      <c r="L197" s="1164"/>
      <c r="M197" s="1907">
        <v>30</v>
      </c>
      <c r="N197" s="1907"/>
      <c r="O197" s="1907"/>
      <c r="P197" s="1894"/>
      <c r="Q197" s="1894"/>
      <c r="R197" s="1894">
        <v>20</v>
      </c>
      <c r="S197" s="1894">
        <v>20</v>
      </c>
      <c r="T197" s="1894">
        <v>5</v>
      </c>
      <c r="U197" s="1894">
        <v>5</v>
      </c>
      <c r="V197" s="1894">
        <v>0</v>
      </c>
      <c r="W197" s="1894"/>
      <c r="X197" s="1895" t="s">
        <v>269</v>
      </c>
      <c r="Y197" s="1895"/>
      <c r="Z197" s="1895"/>
      <c r="AA197" s="1895"/>
      <c r="AB197" s="1895"/>
      <c r="AC197" s="1895"/>
      <c r="AD197" s="1895"/>
      <c r="AE197" s="1895"/>
      <c r="AF197" s="1895"/>
      <c r="AG197" s="1894"/>
      <c r="AH197" s="1894"/>
      <c r="AI197" s="1894"/>
      <c r="AK197" s="1164"/>
      <c r="AL197" s="1164"/>
      <c r="AM197" s="1164"/>
      <c r="AN197" s="1164"/>
      <c r="AO197" s="1164"/>
      <c r="AP197" s="1164"/>
      <c r="AQ197" s="1164"/>
      <c r="AR197" s="1164"/>
      <c r="AS197" s="1164"/>
    </row>
    <row r="198" spans="1:45" s="1191" customFormat="1">
      <c r="A198" s="1164"/>
      <c r="B198" s="1164" t="s">
        <v>1000</v>
      </c>
      <c r="C198" s="1164"/>
      <c r="D198" s="1164"/>
      <c r="E198" s="1164">
        <v>2</v>
      </c>
      <c r="F198" s="1164"/>
      <c r="G198" s="1164"/>
      <c r="H198" s="1164"/>
      <c r="I198" s="1164"/>
      <c r="J198" s="1164"/>
      <c r="K198" s="1164"/>
      <c r="L198" s="1164"/>
      <c r="M198" s="1907">
        <v>240</v>
      </c>
      <c r="N198" s="1907"/>
      <c r="O198" s="1907"/>
      <c r="P198" s="1894"/>
      <c r="Q198" s="1894"/>
      <c r="R198" s="1894">
        <v>725</v>
      </c>
      <c r="S198" s="1894">
        <v>775</v>
      </c>
      <c r="T198" s="1894">
        <v>860</v>
      </c>
      <c r="U198" s="1894">
        <v>1325</v>
      </c>
      <c r="V198" s="1894">
        <v>645</v>
      </c>
      <c r="W198" s="1894"/>
      <c r="X198" s="1895" t="s">
        <v>269</v>
      </c>
      <c r="Y198" s="1895"/>
      <c r="Z198" s="1895"/>
      <c r="AA198" s="1895"/>
      <c r="AB198" s="1895"/>
      <c r="AC198" s="1895"/>
      <c r="AD198" s="1895"/>
      <c r="AE198" s="1895"/>
      <c r="AF198" s="1895"/>
      <c r="AG198" s="1894"/>
      <c r="AH198" s="1894"/>
      <c r="AI198" s="1894"/>
      <c r="AK198" s="1164"/>
      <c r="AL198" s="1164"/>
      <c r="AM198" s="1164"/>
      <c r="AN198" s="1164"/>
      <c r="AO198" s="1164"/>
      <c r="AP198" s="1164"/>
      <c r="AQ198" s="1164"/>
      <c r="AR198" s="1164"/>
      <c r="AS198" s="1164"/>
    </row>
    <row r="199" spans="1:45" s="1191" customFormat="1">
      <c r="A199" s="1164"/>
      <c r="B199" s="1164" t="s">
        <v>1001</v>
      </c>
      <c r="C199" s="1164"/>
      <c r="D199" s="1164"/>
      <c r="E199" s="1164">
        <v>2</v>
      </c>
      <c r="F199" s="1164"/>
      <c r="G199" s="1164"/>
      <c r="H199" s="1164"/>
      <c r="I199" s="1164"/>
      <c r="J199" s="1164"/>
      <c r="K199" s="1164"/>
      <c r="L199" s="1164"/>
      <c r="M199" s="1907"/>
      <c r="N199" s="1907"/>
      <c r="O199" s="1907"/>
      <c r="P199" s="1894"/>
      <c r="Q199" s="1894"/>
      <c r="R199" s="1894"/>
      <c r="S199" s="1894"/>
      <c r="T199" s="1894"/>
      <c r="U199" s="1894"/>
      <c r="V199" s="1894"/>
      <c r="W199" s="1894"/>
      <c r="X199" s="1895"/>
      <c r="Y199" s="1895"/>
      <c r="Z199" s="1895"/>
      <c r="AA199" s="1895"/>
      <c r="AB199" s="1895"/>
      <c r="AC199" s="1895"/>
      <c r="AD199" s="1895"/>
      <c r="AE199" s="1895"/>
      <c r="AF199" s="1895"/>
      <c r="AG199" s="1894"/>
      <c r="AH199" s="1894"/>
      <c r="AI199" s="1894"/>
      <c r="AK199" s="1164"/>
      <c r="AL199" s="1164"/>
      <c r="AM199" s="1164"/>
      <c r="AN199" s="1164"/>
      <c r="AO199" s="1164"/>
      <c r="AP199" s="1164"/>
      <c r="AQ199" s="1164"/>
      <c r="AR199" s="1164"/>
      <c r="AS199" s="1164"/>
    </row>
    <row r="200" spans="1:45" s="1191" customFormat="1">
      <c r="A200" s="1164"/>
      <c r="B200" s="1164" t="s">
        <v>1002</v>
      </c>
      <c r="C200" s="1164"/>
      <c r="D200" s="1164"/>
      <c r="E200" s="1164"/>
      <c r="F200" s="1164"/>
      <c r="G200" s="1164"/>
      <c r="H200" s="1164"/>
      <c r="I200" s="1164"/>
      <c r="J200" s="1164"/>
      <c r="K200" s="1164"/>
      <c r="L200" s="1164"/>
      <c r="M200" s="1907"/>
      <c r="N200" s="1907"/>
      <c r="O200" s="1907"/>
      <c r="P200" s="1894"/>
      <c r="Q200" s="1894"/>
      <c r="R200" s="1894"/>
      <c r="S200" s="1894"/>
      <c r="T200" s="1894"/>
      <c r="U200" s="1894"/>
      <c r="V200" s="1894"/>
      <c r="W200" s="1894"/>
      <c r="X200" s="1895"/>
      <c r="Y200" s="1895"/>
      <c r="Z200" s="1895"/>
      <c r="AA200" s="1895"/>
      <c r="AB200" s="1895"/>
      <c r="AC200" s="1895"/>
      <c r="AD200" s="1895"/>
      <c r="AE200" s="1895"/>
      <c r="AF200" s="1895"/>
      <c r="AG200" s="1894"/>
      <c r="AH200" s="1894"/>
      <c r="AI200" s="1894"/>
      <c r="AK200" s="1164"/>
      <c r="AL200" s="1164"/>
      <c r="AM200" s="1164"/>
      <c r="AN200" s="1164"/>
      <c r="AO200" s="1164"/>
      <c r="AP200" s="1164"/>
      <c r="AQ200" s="1164"/>
      <c r="AR200" s="1164"/>
      <c r="AS200" s="1164"/>
    </row>
    <row r="201" spans="1:45" s="1191" customFormat="1">
      <c r="A201" s="1164"/>
      <c r="B201" s="1164"/>
      <c r="C201" s="1164"/>
      <c r="D201" s="1164"/>
      <c r="E201" s="1164"/>
      <c r="F201" s="1164"/>
      <c r="G201" s="1164"/>
      <c r="H201" s="1164"/>
      <c r="I201" s="1164"/>
      <c r="J201" s="1164"/>
      <c r="K201" s="1164"/>
      <c r="L201" s="1164"/>
      <c r="M201" s="1164"/>
      <c r="N201" s="1164"/>
      <c r="O201" s="1164"/>
      <c r="P201" s="1164"/>
      <c r="Q201" s="1164"/>
      <c r="R201" s="1164"/>
      <c r="S201" s="1164"/>
      <c r="T201" s="1164"/>
      <c r="U201" s="1164"/>
      <c r="V201" s="1164"/>
      <c r="W201" s="1164"/>
      <c r="X201" s="1180"/>
      <c r="Y201" s="1180"/>
      <c r="Z201" s="1180"/>
      <c r="AA201" s="1180"/>
      <c r="AB201" s="1180"/>
      <c r="AC201" s="1180"/>
      <c r="AD201" s="1180"/>
      <c r="AE201" s="1180"/>
      <c r="AF201" s="1180"/>
      <c r="AG201" s="1164"/>
      <c r="AH201" s="1164"/>
      <c r="AI201" s="1164"/>
      <c r="AK201" s="1164"/>
      <c r="AL201" s="1164"/>
      <c r="AM201" s="1164"/>
      <c r="AN201" s="1164"/>
      <c r="AO201" s="1164"/>
      <c r="AP201" s="1164"/>
      <c r="AQ201" s="1164"/>
      <c r="AR201" s="1164"/>
      <c r="AS201" s="1164"/>
    </row>
    <row r="202" spans="1:45" s="1191" customFormat="1">
      <c r="A202" s="1164"/>
      <c r="B202" s="1164"/>
      <c r="C202" s="1164"/>
      <c r="D202" s="1164"/>
      <c r="E202" s="1164"/>
      <c r="F202" s="1164"/>
      <c r="G202" s="1164"/>
      <c r="H202" s="1164"/>
      <c r="I202" s="1164"/>
      <c r="J202" s="1164"/>
      <c r="K202" s="1164"/>
      <c r="L202" s="1164"/>
      <c r="M202" s="1907"/>
      <c r="N202" s="1907"/>
      <c r="O202" s="1907"/>
      <c r="P202" s="1894"/>
      <c r="Q202" s="1894"/>
      <c r="R202" s="1894"/>
      <c r="S202" s="1894"/>
      <c r="T202" s="1894"/>
      <c r="U202" s="1894"/>
      <c r="V202" s="1894"/>
      <c r="W202" s="1894"/>
      <c r="X202" s="1895"/>
      <c r="Y202" s="1895"/>
      <c r="Z202" s="1895"/>
      <c r="AA202" s="1895"/>
      <c r="AB202" s="1895"/>
      <c r="AC202" s="1895"/>
      <c r="AD202" s="1895"/>
      <c r="AE202" s="1895"/>
      <c r="AF202" s="1895"/>
      <c r="AG202" s="1894"/>
      <c r="AH202" s="1894"/>
      <c r="AI202" s="1894"/>
      <c r="AK202" s="1164"/>
      <c r="AL202" s="1164"/>
      <c r="AM202" s="1164"/>
      <c r="AN202" s="1164"/>
      <c r="AO202" s="1164"/>
      <c r="AP202" s="1164"/>
      <c r="AQ202" s="1164"/>
      <c r="AR202" s="1164"/>
      <c r="AS202" s="1164"/>
    </row>
    <row r="203" spans="1:45" s="1191" customFormat="1">
      <c r="A203" s="1164"/>
      <c r="B203" s="1164"/>
      <c r="C203" s="1164" t="s">
        <v>1003</v>
      </c>
      <c r="D203" s="1164"/>
      <c r="E203" s="1164">
        <v>1</v>
      </c>
      <c r="F203" s="1164"/>
      <c r="G203" s="1164"/>
      <c r="H203" s="1164"/>
      <c r="I203" s="1164"/>
      <c r="J203" s="1164"/>
      <c r="K203" s="1164"/>
      <c r="L203" s="1164"/>
      <c r="M203" s="1907"/>
      <c r="N203" s="1907"/>
      <c r="O203" s="1907"/>
      <c r="P203" s="1894"/>
      <c r="Q203" s="1894"/>
      <c r="R203" s="1894">
        <v>85</v>
      </c>
      <c r="S203" s="1894">
        <v>80</v>
      </c>
      <c r="T203" s="1894">
        <v>75</v>
      </c>
      <c r="U203" s="1894">
        <v>40</v>
      </c>
      <c r="V203" s="1894">
        <v>40</v>
      </c>
      <c r="W203" s="1894"/>
      <c r="X203" s="1895"/>
      <c r="Y203" s="1895"/>
      <c r="Z203" s="1895"/>
      <c r="AA203" s="1895"/>
      <c r="AB203" s="1895"/>
      <c r="AC203" s="1895"/>
      <c r="AD203" s="1895"/>
      <c r="AE203" s="1895"/>
      <c r="AF203" s="1895"/>
      <c r="AG203" s="1894"/>
      <c r="AH203" s="1894"/>
      <c r="AI203" s="1894"/>
      <c r="AK203" s="1164"/>
      <c r="AL203" s="1164"/>
      <c r="AM203" s="1164"/>
      <c r="AN203" s="1164"/>
      <c r="AO203" s="1164"/>
      <c r="AP203" s="1164"/>
      <c r="AQ203" s="1164"/>
      <c r="AR203" s="1164"/>
      <c r="AS203" s="1164"/>
    </row>
    <row r="204" spans="1:45" s="1191" customFormat="1">
      <c r="A204" s="1164"/>
      <c r="B204" s="1164"/>
      <c r="C204" s="1164"/>
      <c r="D204" s="1164"/>
      <c r="E204" s="1164"/>
      <c r="F204" s="1164"/>
      <c r="G204" s="1164"/>
      <c r="H204" s="1164"/>
      <c r="I204" s="1164"/>
      <c r="J204" s="1164"/>
      <c r="K204" s="1164"/>
      <c r="L204" s="1164"/>
      <c r="M204" s="1907"/>
      <c r="N204" s="1907"/>
      <c r="O204" s="1907"/>
      <c r="P204" s="1894"/>
      <c r="Q204" s="1894"/>
      <c r="R204" s="1894"/>
      <c r="S204" s="1894"/>
      <c r="T204" s="1894"/>
      <c r="U204" s="1894"/>
      <c r="V204" s="1894"/>
      <c r="W204" s="1894"/>
      <c r="X204" s="1895"/>
      <c r="Y204" s="1895"/>
      <c r="Z204" s="1895"/>
      <c r="AA204" s="1895"/>
      <c r="AB204" s="1895"/>
      <c r="AC204" s="1895"/>
      <c r="AD204" s="1895"/>
      <c r="AE204" s="1895"/>
      <c r="AF204" s="1895"/>
      <c r="AG204" s="1894"/>
      <c r="AH204" s="1894"/>
      <c r="AI204" s="1894"/>
      <c r="AK204" s="1164"/>
      <c r="AL204" s="1164"/>
      <c r="AM204" s="1164"/>
      <c r="AN204" s="1164"/>
      <c r="AO204" s="1164"/>
      <c r="AP204" s="1164"/>
      <c r="AQ204" s="1164"/>
      <c r="AR204" s="1164"/>
      <c r="AS204" s="1164"/>
    </row>
    <row r="205" spans="1:45" s="1191" customFormat="1">
      <c r="A205" s="1164"/>
      <c r="B205" s="1164" t="s">
        <v>78</v>
      </c>
      <c r="C205" s="1164"/>
      <c r="D205" s="1164"/>
      <c r="E205" s="1164"/>
      <c r="F205" s="1164"/>
      <c r="G205" s="1164"/>
      <c r="H205" s="1164"/>
      <c r="I205" s="1164"/>
      <c r="J205" s="1164"/>
      <c r="K205" s="1164"/>
      <c r="L205" s="1164"/>
      <c r="M205" s="1164"/>
      <c r="N205" s="1164"/>
      <c r="O205" s="1164"/>
      <c r="P205" s="1164"/>
      <c r="Q205" s="1164"/>
      <c r="R205" s="1164"/>
      <c r="S205" s="1164"/>
      <c r="T205" s="1164"/>
      <c r="U205" s="1164"/>
      <c r="V205" s="1164"/>
      <c r="W205" s="1164"/>
      <c r="X205" s="1180"/>
      <c r="Y205" s="1180"/>
      <c r="Z205" s="1180"/>
      <c r="AA205" s="1180"/>
      <c r="AB205" s="1180"/>
      <c r="AC205" s="1180"/>
      <c r="AD205" s="1180"/>
      <c r="AE205" s="1180"/>
      <c r="AF205" s="1180"/>
      <c r="AG205" s="1164"/>
      <c r="AH205" s="1164"/>
      <c r="AI205" s="1164"/>
      <c r="AK205" s="1164"/>
      <c r="AL205" s="1164"/>
      <c r="AM205" s="1164"/>
      <c r="AN205" s="1164"/>
      <c r="AO205" s="1164"/>
      <c r="AP205" s="1164"/>
      <c r="AQ205" s="1164"/>
      <c r="AR205" s="1164"/>
      <c r="AS205" s="1164"/>
    </row>
    <row r="206" spans="1:45" s="1191" customFormat="1">
      <c r="A206" s="1164"/>
      <c r="B206" s="1164"/>
      <c r="C206" s="1164"/>
      <c r="D206" s="1164"/>
      <c r="E206" s="1164"/>
      <c r="F206" s="1164"/>
      <c r="G206" s="1164"/>
      <c r="H206" s="1164"/>
      <c r="I206" s="1164"/>
      <c r="J206" s="1164"/>
      <c r="K206" s="1164"/>
      <c r="L206" s="1164"/>
      <c r="M206" s="1164"/>
      <c r="N206" s="1164"/>
      <c r="O206" s="1164"/>
      <c r="P206" s="1164"/>
      <c r="Q206" s="1164"/>
      <c r="R206" s="1164"/>
      <c r="S206" s="1164"/>
      <c r="T206" s="1164"/>
      <c r="U206" s="1164"/>
      <c r="V206" s="1164"/>
      <c r="W206" s="1164"/>
      <c r="X206" s="1180"/>
      <c r="Y206" s="1180"/>
      <c r="Z206" s="1180"/>
      <c r="AA206" s="1180"/>
      <c r="AB206" s="1180"/>
      <c r="AC206" s="1180"/>
      <c r="AD206" s="1180"/>
      <c r="AE206" s="1180"/>
      <c r="AF206" s="1180"/>
      <c r="AG206" s="1164"/>
      <c r="AH206" s="1164"/>
      <c r="AI206" s="1164"/>
      <c r="AK206" s="1164"/>
      <c r="AL206" s="1164"/>
      <c r="AM206" s="1164"/>
      <c r="AN206" s="1164"/>
      <c r="AO206" s="1164"/>
      <c r="AP206" s="1164"/>
      <c r="AQ206" s="1164"/>
      <c r="AR206" s="1164"/>
      <c r="AS206" s="1164"/>
    </row>
    <row r="207" spans="1:45" s="1191" customFormat="1">
      <c r="A207" s="1164"/>
      <c r="B207" s="1164"/>
      <c r="C207" s="1164"/>
      <c r="D207" s="1164" t="s">
        <v>984</v>
      </c>
      <c r="E207" s="1164"/>
      <c r="F207" s="1164"/>
      <c r="G207" s="1164"/>
      <c r="H207" s="1164"/>
      <c r="I207" s="1164"/>
      <c r="J207" s="1164"/>
      <c r="K207" s="1164"/>
      <c r="L207" s="1894" t="s">
        <v>237</v>
      </c>
      <c r="M207" s="1894" t="s">
        <v>237</v>
      </c>
      <c r="N207" s="1894" t="s">
        <v>237</v>
      </c>
      <c r="O207" s="1894" t="s">
        <v>237</v>
      </c>
      <c r="P207" s="1894" t="s">
        <v>237</v>
      </c>
      <c r="Q207" s="1894" t="s">
        <v>237</v>
      </c>
      <c r="R207" s="1894" t="s">
        <v>237</v>
      </c>
      <c r="S207" s="1894" t="s">
        <v>237</v>
      </c>
      <c r="T207" s="1894">
        <v>2300</v>
      </c>
      <c r="U207" s="1894">
        <v>3120</v>
      </c>
      <c r="V207" s="1894">
        <v>2820</v>
      </c>
      <c r="W207" s="1894"/>
      <c r="X207" s="1895">
        <v>3220</v>
      </c>
      <c r="Y207" s="1895"/>
      <c r="Z207" s="1895">
        <v>6210</v>
      </c>
      <c r="AA207" s="1895"/>
      <c r="AB207" s="1895"/>
      <c r="AC207" s="1895"/>
      <c r="AD207" s="1895">
        <v>6210</v>
      </c>
      <c r="AE207" s="1895"/>
      <c r="AF207" s="1895"/>
      <c r="AG207" s="1908" t="s">
        <v>1004</v>
      </c>
      <c r="AH207" s="1894"/>
      <c r="AI207" s="1894"/>
      <c r="AK207" s="1164"/>
      <c r="AL207" s="1164"/>
      <c r="AM207" s="1164"/>
      <c r="AN207" s="1164"/>
      <c r="AO207" s="1164"/>
      <c r="AP207" s="1164"/>
      <c r="AQ207" s="1164"/>
      <c r="AR207" s="1164"/>
      <c r="AS207" s="1164"/>
    </row>
    <row r="208" spans="1:45" s="1191" customFormat="1">
      <c r="A208" s="1164"/>
      <c r="B208" s="1164"/>
      <c r="C208" s="1164"/>
      <c r="D208" s="1164" t="s">
        <v>1005</v>
      </c>
      <c r="E208" s="1164"/>
      <c r="F208" s="1164"/>
      <c r="G208" s="1164"/>
      <c r="H208" s="1164"/>
      <c r="I208" s="1164"/>
      <c r="J208" s="1164"/>
      <c r="K208" s="1164"/>
      <c r="L208" s="1894" t="s">
        <v>237</v>
      </c>
      <c r="M208" s="1894" t="s">
        <v>237</v>
      </c>
      <c r="N208" s="1894" t="s">
        <v>237</v>
      </c>
      <c r="O208" s="1894" t="s">
        <v>237</v>
      </c>
      <c r="P208" s="1894" t="s">
        <v>237</v>
      </c>
      <c r="Q208" s="1894" t="s">
        <v>237</v>
      </c>
      <c r="R208" s="1894" t="s">
        <v>237</v>
      </c>
      <c r="S208" s="1894" t="s">
        <v>237</v>
      </c>
      <c r="T208" s="1894" t="s">
        <v>237</v>
      </c>
      <c r="U208" s="1894" t="s">
        <v>237</v>
      </c>
      <c r="V208" s="1894">
        <v>155</v>
      </c>
      <c r="W208" s="1894"/>
      <c r="X208" s="1895"/>
      <c r="Y208" s="1895"/>
      <c r="Z208" s="1895"/>
      <c r="AA208" s="1895"/>
      <c r="AB208" s="1895"/>
      <c r="AC208" s="1895"/>
      <c r="AD208" s="1895"/>
      <c r="AE208" s="1895"/>
      <c r="AF208" s="1895"/>
      <c r="AG208" s="1894"/>
      <c r="AH208" s="1894"/>
      <c r="AI208" s="1164"/>
      <c r="AK208" s="1164"/>
      <c r="AL208" s="1164"/>
      <c r="AM208" s="1164"/>
      <c r="AN208" s="1164"/>
      <c r="AO208" s="1164"/>
      <c r="AP208" s="1164"/>
      <c r="AQ208" s="1164"/>
      <c r="AR208" s="1164"/>
      <c r="AS208" s="1164"/>
    </row>
    <row r="209" spans="1:45" s="1191" customFormat="1">
      <c r="A209" s="1164"/>
      <c r="B209" s="1164"/>
      <c r="C209" s="1164"/>
      <c r="D209" s="1164" t="s">
        <v>1006</v>
      </c>
      <c r="E209" s="1164"/>
      <c r="F209" s="1164"/>
      <c r="G209" s="1164"/>
      <c r="H209" s="1164"/>
      <c r="I209" s="1164"/>
      <c r="J209" s="1164"/>
      <c r="K209" s="1164"/>
      <c r="L209" s="1164">
        <v>20</v>
      </c>
      <c r="M209" s="1907">
        <v>20</v>
      </c>
      <c r="N209" s="1907">
        <v>20</v>
      </c>
      <c r="O209" s="1907">
        <v>25</v>
      </c>
      <c r="P209" s="1894">
        <v>20</v>
      </c>
      <c r="Q209" s="1894">
        <v>20</v>
      </c>
      <c r="R209" s="1894">
        <v>20</v>
      </c>
      <c r="S209" s="1894">
        <v>20</v>
      </c>
      <c r="T209" s="1894">
        <v>20</v>
      </c>
      <c r="U209" s="1894">
        <v>5</v>
      </c>
      <c r="V209" s="1894">
        <v>0</v>
      </c>
      <c r="W209" s="1894"/>
      <c r="X209" s="1895"/>
      <c r="Y209" s="1895"/>
      <c r="Z209" s="1895"/>
      <c r="AA209" s="1895"/>
      <c r="AB209" s="1895"/>
      <c r="AC209" s="1895"/>
      <c r="AD209" s="1895"/>
      <c r="AE209" s="1895"/>
      <c r="AF209" s="1895"/>
      <c r="AG209" s="1894"/>
      <c r="AH209" s="1894"/>
      <c r="AI209" s="1894"/>
      <c r="AK209" s="1164"/>
      <c r="AL209" s="1164"/>
      <c r="AM209" s="1164"/>
      <c r="AN209" s="1164"/>
      <c r="AO209" s="1164"/>
      <c r="AP209" s="1164"/>
      <c r="AQ209" s="1164"/>
      <c r="AR209" s="1164"/>
      <c r="AS209" s="1164"/>
    </row>
    <row r="210" spans="1:45" s="1191" customFormat="1">
      <c r="A210" s="1164"/>
      <c r="B210" s="1164"/>
      <c r="C210" s="1164"/>
      <c r="D210" s="1164"/>
      <c r="E210" s="1164"/>
      <c r="F210" s="1164"/>
      <c r="G210" s="1164"/>
      <c r="H210" s="1164"/>
      <c r="I210" s="1164"/>
      <c r="J210" s="1164"/>
      <c r="K210" s="1164"/>
      <c r="L210" s="1164"/>
      <c r="M210" s="1164"/>
      <c r="N210" s="1164"/>
      <c r="O210" s="1164"/>
      <c r="P210" s="1164"/>
      <c r="Q210" s="1164"/>
      <c r="R210" s="1164"/>
      <c r="S210" s="1164"/>
      <c r="T210" s="1164"/>
      <c r="U210" s="1164"/>
      <c r="V210" s="1164"/>
      <c r="W210" s="1164"/>
      <c r="X210" s="1180"/>
      <c r="Y210" s="1180"/>
      <c r="Z210" s="1180"/>
      <c r="AA210" s="1180"/>
      <c r="AB210" s="1180"/>
      <c r="AC210" s="1180"/>
      <c r="AD210" s="1180"/>
      <c r="AE210" s="1180"/>
      <c r="AF210" s="1180"/>
      <c r="AG210" s="1164"/>
      <c r="AH210" s="1164"/>
      <c r="AI210" s="1164"/>
      <c r="AK210" s="1164"/>
      <c r="AL210" s="1164"/>
      <c r="AM210" s="1164"/>
      <c r="AN210" s="1164"/>
      <c r="AO210" s="1164"/>
      <c r="AP210" s="1164"/>
      <c r="AQ210" s="1164"/>
      <c r="AR210" s="1164"/>
      <c r="AS210" s="1164"/>
    </row>
  </sheetData>
  <mergeCells count="4">
    <mergeCell ref="B15:AR15"/>
    <mergeCell ref="B48:AF48"/>
    <mergeCell ref="B49:AF49"/>
    <mergeCell ref="B50:Z50"/>
  </mergeCells>
  <pageMargins left="0.70866141732283472" right="0.70866141732283472" top="0.74803149606299213" bottom="0.74803149606299213" header="0.31496062992125984" footer="0.31496062992125984"/>
  <pageSetup paperSize="9" scale="67" fitToHeight="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S122"/>
  <sheetViews>
    <sheetView topLeftCell="B15" zoomScale="80" zoomScaleNormal="80" workbookViewId="0">
      <selection activeCell="B1" sqref="B1:AQ115"/>
    </sheetView>
  </sheetViews>
  <sheetFormatPr defaultColWidth="8.88671875" defaultRowHeight="12.75" outlineLevelRow="1"/>
  <cols>
    <col min="1" max="1" width="6.77734375" style="165" hidden="1" customWidth="1"/>
    <col min="2" max="2" width="13.109375" style="165" customWidth="1"/>
    <col min="3" max="3" width="32.44140625" style="165" customWidth="1"/>
    <col min="4" max="4" width="4.21875" style="165" hidden="1" customWidth="1"/>
    <col min="5" max="5" width="4.5546875" style="165" hidden="1" customWidth="1"/>
    <col min="6" max="7" width="4.44140625" style="165" hidden="1" customWidth="1"/>
    <col min="8" max="8" width="4.5546875" style="165" hidden="1" customWidth="1"/>
    <col min="9" max="9" width="4.44140625" style="165" hidden="1" customWidth="1"/>
    <col min="10" max="15" width="4.5546875" style="165" hidden="1" customWidth="1"/>
    <col min="16" max="16" width="6.77734375" style="165" hidden="1" customWidth="1"/>
    <col min="17" max="20" width="6.44140625" style="165" hidden="1" customWidth="1"/>
    <col min="21" max="21" width="6.77734375" style="165" hidden="1" customWidth="1"/>
    <col min="22" max="22" width="6.44140625" style="165" hidden="1" customWidth="1"/>
    <col min="23" max="23" width="7.5546875" style="165" hidden="1" customWidth="1"/>
    <col min="24" max="24" width="10.77734375" style="75" customWidth="1"/>
    <col min="25" max="25" width="10.77734375" style="75" hidden="1" customWidth="1"/>
    <col min="26" max="26" width="10.77734375" style="75" customWidth="1"/>
    <col min="27" max="27" width="10.77734375" style="75" hidden="1" customWidth="1"/>
    <col min="28" max="28" width="10.77734375" style="946" customWidth="1"/>
    <col min="29" max="29" width="10.77734375" style="75" hidden="1" customWidth="1"/>
    <col min="30" max="30" width="10.77734375" style="946" customWidth="1"/>
    <col min="31" max="31" width="10.77734375" style="75" hidden="1" customWidth="1"/>
    <col min="32" max="36" width="7.6640625" style="547" customWidth="1"/>
    <col min="37" max="43" width="7.6640625" style="165" customWidth="1"/>
    <col min="44" max="16384" width="8.88671875" style="165"/>
  </cols>
  <sheetData>
    <row r="1" spans="1:43" ht="17.25" hidden="1" customHeight="1" outlineLevel="1">
      <c r="B1" s="165" t="s">
        <v>254</v>
      </c>
    </row>
    <row r="2" spans="1:43" hidden="1" outlineLevel="1"/>
    <row r="3" spans="1:43" hidden="1" outlineLevel="1"/>
    <row r="4" spans="1:43" hidden="1" outlineLevel="1">
      <c r="B4" s="966" t="s">
        <v>255</v>
      </c>
      <c r="C4" s="966"/>
      <c r="D4" s="165">
        <v>1981</v>
      </c>
      <c r="E4" s="165">
        <v>1982</v>
      </c>
      <c r="F4" s="165">
        <v>1983</v>
      </c>
      <c r="G4" s="165">
        <v>1984</v>
      </c>
      <c r="H4" s="165">
        <v>1985</v>
      </c>
      <c r="I4" s="165">
        <v>1986</v>
      </c>
      <c r="J4" s="165">
        <v>1987</v>
      </c>
      <c r="K4" s="165">
        <v>1988</v>
      </c>
      <c r="L4" s="165">
        <v>1989</v>
      </c>
      <c r="M4" s="165">
        <v>1990</v>
      </c>
      <c r="N4" s="165">
        <v>1991</v>
      </c>
      <c r="O4" s="165">
        <v>1992</v>
      </c>
      <c r="P4" s="165">
        <v>1993</v>
      </c>
      <c r="Q4" s="165">
        <v>1994</v>
      </c>
      <c r="R4" s="165">
        <v>1995</v>
      </c>
      <c r="S4" s="165">
        <v>1996</v>
      </c>
      <c r="T4" s="165">
        <v>1997</v>
      </c>
      <c r="U4" s="165">
        <v>1998</v>
      </c>
      <c r="V4" s="165">
        <v>1999</v>
      </c>
      <c r="W4" s="165">
        <v>2000</v>
      </c>
      <c r="X4" s="202">
        <v>2001</v>
      </c>
      <c r="Y4" s="202"/>
      <c r="Z4" s="202">
        <v>2003</v>
      </c>
      <c r="AA4" s="202"/>
      <c r="AB4" s="174">
        <v>2005</v>
      </c>
      <c r="AC4" s="202"/>
      <c r="AD4" s="174">
        <v>2007</v>
      </c>
      <c r="AE4" s="202"/>
      <c r="AF4" s="967">
        <v>2009</v>
      </c>
      <c r="AG4" s="967">
        <v>2010</v>
      </c>
      <c r="AH4" s="967">
        <v>2011</v>
      </c>
      <c r="AI4" s="967">
        <v>2012</v>
      </c>
      <c r="AJ4" s="967">
        <v>2013</v>
      </c>
      <c r="AK4" s="967">
        <v>2014</v>
      </c>
      <c r="AL4" s="967">
        <v>2015</v>
      </c>
      <c r="AM4" s="967">
        <v>2016</v>
      </c>
      <c r="AN4" s="967">
        <v>2017</v>
      </c>
      <c r="AO4" s="967">
        <v>2018</v>
      </c>
      <c r="AP4" s="967">
        <v>2019</v>
      </c>
      <c r="AQ4" s="967">
        <v>2020</v>
      </c>
    </row>
    <row r="5" spans="1:43" hidden="1" outlineLevel="1"/>
    <row r="6" spans="1:43" hidden="1" outlineLevel="1">
      <c r="A6" s="165" t="s">
        <v>2</v>
      </c>
      <c r="B6" s="165" t="s">
        <v>3</v>
      </c>
      <c r="D6" s="261"/>
      <c r="E6" s="261"/>
      <c r="F6" s="261"/>
      <c r="G6" s="261"/>
      <c r="H6" s="261"/>
      <c r="I6" s="261"/>
      <c r="J6" s="261"/>
      <c r="K6" s="261"/>
      <c r="L6" s="261"/>
      <c r="M6" s="261"/>
      <c r="N6" s="261"/>
      <c r="O6" s="261"/>
      <c r="P6" s="261">
        <f>P94</f>
        <v>1030.5691635328792</v>
      </c>
      <c r="Q6" s="261">
        <f t="shared" ref="Q6:W6" si="0">Q94</f>
        <v>1081.7528049164498</v>
      </c>
      <c r="R6" s="261">
        <f t="shared" si="0"/>
        <v>1126.7207549528653</v>
      </c>
      <c r="S6" s="261">
        <f t="shared" si="0"/>
        <v>1163.9837666925303</v>
      </c>
      <c r="T6" s="261">
        <f t="shared" si="0"/>
        <v>1189.4226621781386</v>
      </c>
      <c r="U6" s="261">
        <f t="shared" si="0"/>
        <v>1245.7537388540827</v>
      </c>
      <c r="V6" s="261">
        <f t="shared" si="0"/>
        <v>1291.5446927235782</v>
      </c>
      <c r="W6" s="261">
        <f t="shared" si="0"/>
        <v>1315.259554966133</v>
      </c>
      <c r="X6" s="244">
        <f>X94</f>
        <v>1153.53</v>
      </c>
      <c r="Y6" s="244"/>
      <c r="Z6" s="244">
        <f>Z94</f>
        <v>1235.48</v>
      </c>
      <c r="AA6" s="244"/>
      <c r="AB6" s="968">
        <f>AB94</f>
        <v>1285.6999999999998</v>
      </c>
      <c r="AC6" s="244"/>
      <c r="AD6" s="968">
        <f>AD94</f>
        <v>1344.08</v>
      </c>
      <c r="AE6" s="244"/>
      <c r="AF6" s="969">
        <f t="shared" ref="AF6:AL6" si="1">AF94</f>
        <v>1580.77</v>
      </c>
      <c r="AG6" s="969">
        <f t="shared" si="1"/>
        <v>1619.63</v>
      </c>
      <c r="AH6" s="969">
        <f t="shared" si="1"/>
        <v>1680.3899999999999</v>
      </c>
      <c r="AI6" s="969">
        <f t="shared" si="1"/>
        <v>1724.29</v>
      </c>
      <c r="AJ6" s="969">
        <f t="shared" si="1"/>
        <v>1846.32</v>
      </c>
      <c r="AK6" s="969">
        <f t="shared" si="1"/>
        <v>1681.0840000000001</v>
      </c>
      <c r="AL6" s="969">
        <f t="shared" si="1"/>
        <v>1716.9089507306524</v>
      </c>
      <c r="AM6" s="969">
        <f>AM94</f>
        <v>1634.4132690000001</v>
      </c>
      <c r="AN6" s="969">
        <f>AN94</f>
        <v>1870.9241200000001</v>
      </c>
      <c r="AO6" s="969">
        <f>AO94</f>
        <v>1870.82</v>
      </c>
      <c r="AP6" s="969">
        <f>AP94</f>
        <v>1939.95</v>
      </c>
      <c r="AQ6" s="969"/>
    </row>
    <row r="7" spans="1:43" hidden="1" outlineLevel="1">
      <c r="A7" s="165" t="s">
        <v>4</v>
      </c>
      <c r="B7" s="165" t="s">
        <v>5</v>
      </c>
      <c r="D7" s="261"/>
      <c r="E7" s="261"/>
      <c r="F7" s="261"/>
      <c r="G7" s="261"/>
      <c r="H7" s="261"/>
      <c r="I7" s="261"/>
      <c r="J7" s="261"/>
      <c r="K7" s="261"/>
      <c r="L7" s="261"/>
      <c r="M7" s="261"/>
      <c r="N7" s="261"/>
      <c r="O7" s="261"/>
      <c r="P7" s="261">
        <f>P107</f>
        <v>0</v>
      </c>
      <c r="Q7" s="261">
        <f t="shared" ref="Q7:AD7" si="2">Q107</f>
        <v>0</v>
      </c>
      <c r="R7" s="261">
        <f t="shared" si="2"/>
        <v>0</v>
      </c>
      <c r="S7" s="261">
        <f t="shared" si="2"/>
        <v>0</v>
      </c>
      <c r="T7" s="261">
        <f t="shared" si="2"/>
        <v>0</v>
      </c>
      <c r="U7" s="261">
        <f t="shared" si="2"/>
        <v>0</v>
      </c>
      <c r="V7" s="261">
        <f t="shared" si="2"/>
        <v>0</v>
      </c>
      <c r="W7" s="261">
        <f t="shared" si="2"/>
        <v>0</v>
      </c>
      <c r="X7" s="244">
        <f>X107</f>
        <v>0</v>
      </c>
      <c r="Y7" s="244"/>
      <c r="Z7" s="244">
        <f>Z107</f>
        <v>0</v>
      </c>
      <c r="AA7" s="244"/>
      <c r="AB7" s="968">
        <f>AB107</f>
        <v>0</v>
      </c>
      <c r="AC7" s="244"/>
      <c r="AD7" s="968">
        <f t="shared" si="2"/>
        <v>0</v>
      </c>
      <c r="AE7" s="244"/>
      <c r="AF7" s="969">
        <f t="shared" ref="AF7:AL7" si="3">AF107</f>
        <v>0</v>
      </c>
      <c r="AG7" s="969">
        <f t="shared" si="3"/>
        <v>0</v>
      </c>
      <c r="AH7" s="969">
        <f t="shared" si="3"/>
        <v>0</v>
      </c>
      <c r="AI7" s="969">
        <f t="shared" si="3"/>
        <v>0</v>
      </c>
      <c r="AJ7" s="969">
        <f t="shared" si="3"/>
        <v>0</v>
      </c>
      <c r="AK7" s="969">
        <f t="shared" si="3"/>
        <v>0</v>
      </c>
      <c r="AL7" s="969">
        <f t="shared" si="3"/>
        <v>0</v>
      </c>
      <c r="AM7" s="969">
        <f>AM107</f>
        <v>0</v>
      </c>
      <c r="AN7" s="969">
        <f>AN107</f>
        <v>0</v>
      </c>
      <c r="AO7" s="969">
        <f>AO107</f>
        <v>0</v>
      </c>
      <c r="AP7" s="969">
        <f>AP107</f>
        <v>0</v>
      </c>
      <c r="AQ7" s="969"/>
    </row>
    <row r="8" spans="1:43" hidden="1" outlineLevel="1">
      <c r="A8" s="165" t="s">
        <v>6</v>
      </c>
      <c r="D8" s="261"/>
      <c r="E8" s="261"/>
      <c r="F8" s="261"/>
      <c r="G8" s="261"/>
      <c r="H8" s="261"/>
      <c r="I8" s="261"/>
      <c r="J8" s="261"/>
      <c r="K8" s="261"/>
      <c r="L8" s="261"/>
      <c r="M8" s="261"/>
      <c r="N8" s="261"/>
      <c r="O8" s="261"/>
      <c r="P8" s="261">
        <f t="shared" ref="P8:W8" si="4">P6+P7</f>
        <v>1030.5691635328792</v>
      </c>
      <c r="Q8" s="261">
        <f t="shared" si="4"/>
        <v>1081.7528049164498</v>
      </c>
      <c r="R8" s="261">
        <f t="shared" si="4"/>
        <v>1126.7207549528653</v>
      </c>
      <c r="S8" s="261">
        <f t="shared" si="4"/>
        <v>1163.9837666925303</v>
      </c>
      <c r="T8" s="261">
        <f t="shared" si="4"/>
        <v>1189.4226621781386</v>
      </c>
      <c r="U8" s="261">
        <f t="shared" si="4"/>
        <v>1245.7537388540827</v>
      </c>
      <c r="V8" s="261">
        <f t="shared" si="4"/>
        <v>1291.5446927235782</v>
      </c>
      <c r="W8" s="261">
        <f t="shared" si="4"/>
        <v>1315.259554966133</v>
      </c>
      <c r="X8" s="244">
        <f>X6+X7</f>
        <v>1153.53</v>
      </c>
      <c r="Y8" s="244"/>
      <c r="Z8" s="244">
        <f>Z6+Z7</f>
        <v>1235.48</v>
      </c>
      <c r="AA8" s="244"/>
      <c r="AB8" s="968">
        <f>AB6+AB7</f>
        <v>1285.6999999999998</v>
      </c>
      <c r="AC8" s="244"/>
      <c r="AD8" s="968">
        <f>AD6+AD7</f>
        <v>1344.08</v>
      </c>
      <c r="AE8" s="244"/>
      <c r="AF8" s="969">
        <f t="shared" ref="AF8:AL8" si="5">AF6+AF7</f>
        <v>1580.77</v>
      </c>
      <c r="AG8" s="969">
        <f t="shared" si="5"/>
        <v>1619.63</v>
      </c>
      <c r="AH8" s="969">
        <f t="shared" si="5"/>
        <v>1680.3899999999999</v>
      </c>
      <c r="AI8" s="969">
        <f t="shared" si="5"/>
        <v>1724.29</v>
      </c>
      <c r="AJ8" s="969">
        <f t="shared" si="5"/>
        <v>1846.32</v>
      </c>
      <c r="AK8" s="969">
        <f t="shared" si="5"/>
        <v>1681.0840000000001</v>
      </c>
      <c r="AL8" s="969">
        <f t="shared" si="5"/>
        <v>1716.9089507306524</v>
      </c>
      <c r="AM8" s="969">
        <f>AM6+AM7</f>
        <v>1634.4132690000001</v>
      </c>
      <c r="AN8" s="969">
        <f>AN6+AN7</f>
        <v>1870.9241200000001</v>
      </c>
      <c r="AO8" s="969">
        <f>AO6+AO7</f>
        <v>1870.82</v>
      </c>
      <c r="AP8" s="969">
        <f>AP6+AP7</f>
        <v>1939.95</v>
      </c>
      <c r="AQ8" s="969"/>
    </row>
    <row r="9" spans="1:43" hidden="1" outlineLevel="1">
      <c r="D9" s="261"/>
      <c r="E9" s="261"/>
      <c r="F9" s="261"/>
      <c r="G9" s="261"/>
      <c r="H9" s="261"/>
      <c r="I9" s="261"/>
      <c r="J9" s="261"/>
      <c r="K9" s="261"/>
      <c r="L9" s="261"/>
      <c r="M9" s="261"/>
      <c r="N9" s="261"/>
      <c r="O9" s="261"/>
      <c r="P9" s="261"/>
      <c r="Q9" s="261"/>
      <c r="R9" s="261"/>
      <c r="S9" s="261"/>
      <c r="T9" s="261"/>
      <c r="U9" s="261"/>
      <c r="V9" s="261"/>
      <c r="W9" s="261"/>
      <c r="X9" s="244"/>
      <c r="Y9" s="244"/>
      <c r="Z9" s="244"/>
      <c r="AA9" s="244"/>
      <c r="AB9" s="968"/>
      <c r="AC9" s="244"/>
      <c r="AD9" s="968"/>
      <c r="AE9" s="244"/>
      <c r="AF9" s="969"/>
      <c r="AG9" s="969"/>
      <c r="AH9" s="969"/>
      <c r="AI9" s="969"/>
      <c r="AJ9" s="969"/>
      <c r="AK9" s="969"/>
      <c r="AL9" s="969"/>
      <c r="AM9" s="969"/>
      <c r="AN9" s="969"/>
      <c r="AO9" s="969"/>
      <c r="AP9" s="969"/>
      <c r="AQ9" s="969"/>
    </row>
    <row r="10" spans="1:43" hidden="1" outlineLevel="1">
      <c r="B10" s="165" t="s">
        <v>110</v>
      </c>
      <c r="D10" s="261"/>
      <c r="E10" s="261"/>
      <c r="F10" s="261"/>
      <c r="G10" s="261"/>
      <c r="H10" s="261"/>
      <c r="I10" s="261"/>
      <c r="J10" s="261"/>
      <c r="K10" s="261"/>
      <c r="L10" s="261"/>
      <c r="M10" s="261"/>
      <c r="N10" s="261"/>
      <c r="O10" s="261"/>
      <c r="P10" s="261">
        <f t="shared" ref="P10:W10" si="6">SUM(P111:P112)</f>
        <v>206.29699131628982</v>
      </c>
      <c r="Q10" s="261">
        <f t="shared" si="6"/>
        <v>218.02235503806406</v>
      </c>
      <c r="R10" s="261">
        <f t="shared" si="6"/>
        <v>244.19991125411812</v>
      </c>
      <c r="S10" s="261">
        <f t="shared" si="6"/>
        <v>258.15631669885153</v>
      </c>
      <c r="T10" s="261">
        <f t="shared" si="6"/>
        <v>270.25352070778558</v>
      </c>
      <c r="U10" s="261">
        <f t="shared" si="6"/>
        <v>299.92637562314235</v>
      </c>
      <c r="V10" s="261">
        <f t="shared" si="6"/>
        <v>320.94774652391305</v>
      </c>
      <c r="W10" s="261">
        <f t="shared" si="6"/>
        <v>333.81080464142275</v>
      </c>
      <c r="X10" s="244">
        <f>SUM(X111:X112)</f>
        <v>363.38545776915726</v>
      </c>
      <c r="Y10" s="244"/>
      <c r="Z10" s="244">
        <f>SUM(Z111:Z112)</f>
        <v>334.27</v>
      </c>
      <c r="AA10" s="244"/>
      <c r="AB10" s="968">
        <f>SUM(AB111:AB112)</f>
        <v>413.94</v>
      </c>
      <c r="AC10" s="244"/>
      <c r="AD10" s="968">
        <f>SUM(AD111:AD112)</f>
        <v>477.82</v>
      </c>
      <c r="AE10" s="244"/>
      <c r="AF10" s="969">
        <f t="shared" ref="AF10:AL10" si="7">SUM(AF111:AF112)</f>
        <v>615.37</v>
      </c>
      <c r="AG10" s="969">
        <f t="shared" si="7"/>
        <v>632.16</v>
      </c>
      <c r="AH10" s="969">
        <f t="shared" si="7"/>
        <v>640</v>
      </c>
      <c r="AI10" s="969">
        <f t="shared" si="7"/>
        <v>618.25</v>
      </c>
      <c r="AJ10" s="969">
        <f t="shared" si="7"/>
        <v>645.78</v>
      </c>
      <c r="AK10" s="969">
        <f t="shared" si="7"/>
        <v>745</v>
      </c>
      <c r="AL10" s="969">
        <f t="shared" si="7"/>
        <v>639</v>
      </c>
      <c r="AM10" s="969">
        <f>SUM(AM111:AM112)</f>
        <v>636.74333515000001</v>
      </c>
      <c r="AN10" s="969">
        <f>SUM(AN111:AN112)</f>
        <v>674.94268021000005</v>
      </c>
      <c r="AO10" s="969">
        <f>SUM(AO111:AO112)</f>
        <v>695.32</v>
      </c>
      <c r="AP10" s="969">
        <f>SUM(AP111:AP112)</f>
        <v>706.8</v>
      </c>
      <c r="AQ10" s="969"/>
    </row>
    <row r="11" spans="1:43" hidden="1" outlineLevel="1">
      <c r="D11" s="261"/>
      <c r="E11" s="261"/>
      <c r="F11" s="261"/>
      <c r="G11" s="261"/>
      <c r="H11" s="261"/>
      <c r="I11" s="261"/>
      <c r="J11" s="261"/>
      <c r="K11" s="261"/>
      <c r="L11" s="261"/>
      <c r="M11" s="261"/>
      <c r="N11" s="261"/>
      <c r="O11" s="261"/>
      <c r="P11" s="261"/>
      <c r="Q11" s="261"/>
      <c r="R11" s="261"/>
      <c r="S11" s="261"/>
      <c r="T11" s="261"/>
      <c r="U11" s="261"/>
      <c r="V11" s="261"/>
      <c r="W11" s="261"/>
      <c r="X11" s="244"/>
      <c r="Y11" s="244"/>
      <c r="Z11" s="244"/>
      <c r="AA11" s="244"/>
      <c r="AB11" s="968"/>
      <c r="AC11" s="244"/>
      <c r="AD11" s="968"/>
      <c r="AE11" s="244"/>
      <c r="AF11" s="969"/>
      <c r="AG11" s="969"/>
      <c r="AH11" s="969"/>
      <c r="AI11" s="969"/>
      <c r="AJ11" s="969"/>
      <c r="AK11" s="969"/>
      <c r="AL11" s="969"/>
      <c r="AM11" s="969"/>
      <c r="AN11" s="969"/>
      <c r="AO11" s="969"/>
      <c r="AP11" s="969"/>
      <c r="AQ11" s="969"/>
    </row>
    <row r="12" spans="1:43" hidden="1" outlineLevel="1">
      <c r="B12" s="165" t="s">
        <v>8</v>
      </c>
      <c r="D12" s="261"/>
      <c r="E12" s="261"/>
      <c r="F12" s="261"/>
      <c r="G12" s="261"/>
      <c r="H12" s="261"/>
      <c r="I12" s="261"/>
      <c r="J12" s="261"/>
      <c r="K12" s="261"/>
      <c r="L12" s="261"/>
      <c r="M12" s="261"/>
      <c r="N12" s="261"/>
      <c r="O12" s="261"/>
      <c r="P12" s="261">
        <f t="shared" ref="P12:W12" si="8">P99+P100</f>
        <v>1030.5691635328792</v>
      </c>
      <c r="Q12" s="261">
        <f t="shared" si="8"/>
        <v>1081.6668112712227</v>
      </c>
      <c r="R12" s="261">
        <f t="shared" si="8"/>
        <v>1123.5262110218418</v>
      </c>
      <c r="S12" s="261">
        <f t="shared" si="8"/>
        <v>1157.2906415236528</v>
      </c>
      <c r="T12" s="261">
        <f t="shared" si="8"/>
        <v>1179.3581850723451</v>
      </c>
      <c r="U12" s="261">
        <f t="shared" si="8"/>
        <v>1231.8840217749625</v>
      </c>
      <c r="V12" s="261">
        <f t="shared" si="8"/>
        <v>1275.3282668028396</v>
      </c>
      <c r="W12" s="261">
        <f t="shared" si="8"/>
        <v>1298.2722593469821</v>
      </c>
      <c r="X12" s="244">
        <f>X99+X100</f>
        <v>1136.6299999999999</v>
      </c>
      <c r="Y12" s="244"/>
      <c r="Z12" s="244">
        <f>Z99+Z100</f>
        <v>1218.18</v>
      </c>
      <c r="AA12" s="244"/>
      <c r="AB12" s="968">
        <f>AB99+AB100</f>
        <v>1273.6499999999999</v>
      </c>
      <c r="AC12" s="244"/>
      <c r="AD12" s="968">
        <f>AD99+AD100</f>
        <v>1335.4399999999998</v>
      </c>
      <c r="AE12" s="244"/>
      <c r="AF12" s="969">
        <f t="shared" ref="AF12:AL12" si="9">AF99+AF100</f>
        <v>1572.48</v>
      </c>
      <c r="AG12" s="969">
        <f t="shared" si="9"/>
        <v>1611.71</v>
      </c>
      <c r="AH12" s="969">
        <f t="shared" si="9"/>
        <v>1673.03</v>
      </c>
      <c r="AI12" s="969">
        <f t="shared" si="9"/>
        <v>1717.21</v>
      </c>
      <c r="AJ12" s="969">
        <f t="shared" si="9"/>
        <v>1839.73</v>
      </c>
      <c r="AK12" s="969">
        <f t="shared" si="9"/>
        <v>1678.7270000000001</v>
      </c>
      <c r="AL12" s="969">
        <f t="shared" si="9"/>
        <v>1714.67</v>
      </c>
      <c r="AM12" s="969">
        <f>AM99+AM100</f>
        <v>1632.48</v>
      </c>
      <c r="AN12" s="969">
        <f>AN99+AN100</f>
        <v>1869.0500000000002</v>
      </c>
      <c r="AO12" s="969">
        <f>AO99+AO100</f>
        <v>1868.9199999999998</v>
      </c>
      <c r="AP12" s="969">
        <f>AP99+AP100</f>
        <v>1938.45</v>
      </c>
      <c r="AQ12" s="969"/>
    </row>
    <row r="13" spans="1:43" hidden="1" outlineLevel="1">
      <c r="C13" s="165" t="s">
        <v>256</v>
      </c>
      <c r="D13" s="261"/>
      <c r="E13" s="261"/>
      <c r="F13" s="261"/>
      <c r="G13" s="261"/>
      <c r="H13" s="261"/>
      <c r="I13" s="261"/>
      <c r="J13" s="261"/>
      <c r="K13" s="261"/>
      <c r="L13" s="261"/>
      <c r="M13" s="261"/>
      <c r="N13" s="261"/>
      <c r="O13" s="261"/>
      <c r="P13" s="261"/>
      <c r="Q13" s="261"/>
      <c r="R13" s="261"/>
      <c r="S13" s="261"/>
      <c r="T13" s="261"/>
      <c r="U13" s="261"/>
      <c r="V13" s="261"/>
      <c r="W13" s="261"/>
      <c r="X13" s="244">
        <f>X99</f>
        <v>1073.33</v>
      </c>
      <c r="Y13" s="244">
        <f t="shared" ref="Y13:AP13" si="10">Y99</f>
        <v>0</v>
      </c>
      <c r="Z13" s="244">
        <f t="shared" si="10"/>
        <v>1165.99</v>
      </c>
      <c r="AA13" s="244">
        <f t="shared" si="10"/>
        <v>1279.6500000000001</v>
      </c>
      <c r="AB13" s="968">
        <f t="shared" si="10"/>
        <v>1181.5899999999999</v>
      </c>
      <c r="AC13" s="968">
        <f t="shared" si="10"/>
        <v>1270.01</v>
      </c>
      <c r="AD13" s="968">
        <f t="shared" si="10"/>
        <v>1241.83</v>
      </c>
      <c r="AE13" s="968">
        <f t="shared" si="10"/>
        <v>1233.8399999999999</v>
      </c>
      <c r="AF13" s="968">
        <f t="shared" si="10"/>
        <v>1444.16</v>
      </c>
      <c r="AG13" s="968">
        <f t="shared" si="10"/>
        <v>1474.17</v>
      </c>
      <c r="AH13" s="968">
        <f t="shared" si="10"/>
        <v>1524.35</v>
      </c>
      <c r="AI13" s="968">
        <f t="shared" si="10"/>
        <v>1577.41</v>
      </c>
      <c r="AJ13" s="968">
        <f t="shared" si="10"/>
        <v>1679.56</v>
      </c>
      <c r="AK13" s="968">
        <f t="shared" si="10"/>
        <v>1520.92</v>
      </c>
      <c r="AL13" s="968">
        <f t="shared" si="10"/>
        <v>1561.04</v>
      </c>
      <c r="AM13" s="968">
        <f t="shared" si="10"/>
        <v>1476.27</v>
      </c>
      <c r="AN13" s="968">
        <f t="shared" si="10"/>
        <v>1712.1100000000001</v>
      </c>
      <c r="AO13" s="968">
        <f t="shared" si="10"/>
        <v>1708.83</v>
      </c>
      <c r="AP13" s="968">
        <f t="shared" si="10"/>
        <v>1781.68</v>
      </c>
      <c r="AQ13" s="968"/>
    </row>
    <row r="14" spans="1:43" hidden="1" outlineLevel="1">
      <c r="C14" s="165" t="s">
        <v>257</v>
      </c>
      <c r="D14" s="261"/>
      <c r="E14" s="261"/>
      <c r="F14" s="261"/>
      <c r="G14" s="261"/>
      <c r="H14" s="261"/>
      <c r="I14" s="261"/>
      <c r="J14" s="261"/>
      <c r="K14" s="261"/>
      <c r="L14" s="261"/>
      <c r="M14" s="261"/>
      <c r="N14" s="261"/>
      <c r="O14" s="261"/>
      <c r="P14" s="261"/>
      <c r="Q14" s="261"/>
      <c r="R14" s="261"/>
      <c r="S14" s="261"/>
      <c r="T14" s="261"/>
      <c r="U14" s="261"/>
      <c r="V14" s="261"/>
      <c r="W14" s="261"/>
      <c r="X14" s="244"/>
      <c r="Y14" s="244"/>
      <c r="Z14" s="244"/>
      <c r="AA14" s="244"/>
      <c r="AB14" s="968"/>
      <c r="AC14" s="968"/>
      <c r="AD14" s="968"/>
      <c r="AE14" s="968"/>
      <c r="AF14" s="968"/>
      <c r="AG14" s="968"/>
      <c r="AH14" s="968"/>
      <c r="AI14" s="968"/>
      <c r="AJ14" s="946"/>
      <c r="AK14" s="946"/>
      <c r="AL14" s="946"/>
      <c r="AM14" s="946"/>
      <c r="AN14" s="946"/>
      <c r="AO14" s="946"/>
      <c r="AP14" s="946"/>
      <c r="AQ14" s="946"/>
    </row>
    <row r="15" spans="1:43" ht="27" customHeight="1" collapsed="1">
      <c r="B15" s="1924" t="s">
        <v>258</v>
      </c>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3">
      <c r="O16" s="168"/>
      <c r="P16" s="168"/>
      <c r="Q16" s="168"/>
      <c r="R16" s="168"/>
      <c r="S16" s="168"/>
      <c r="T16" s="168"/>
      <c r="U16" s="168"/>
      <c r="V16" s="168"/>
      <c r="W16" s="168"/>
      <c r="X16" s="169"/>
      <c r="Y16" s="166"/>
      <c r="Z16" s="166"/>
      <c r="AA16" s="166"/>
      <c r="AB16" s="970"/>
      <c r="AC16" s="166"/>
      <c r="AD16" s="970"/>
      <c r="AE16" s="166"/>
      <c r="AF16" s="950"/>
    </row>
    <row r="17" spans="2:43" collapsed="1">
      <c r="B17" s="170" t="s">
        <v>254</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945"/>
      <c r="AC17" s="171"/>
      <c r="AD17" s="945"/>
      <c r="AE17" s="171"/>
      <c r="AF17" s="971"/>
    </row>
    <row r="18" spans="2:43">
      <c r="O18" s="168"/>
      <c r="P18" s="168"/>
      <c r="Q18" s="168"/>
      <c r="R18" s="168"/>
      <c r="S18" s="168"/>
      <c r="T18" s="168"/>
      <c r="U18" s="168"/>
      <c r="V18" s="168"/>
      <c r="W18" s="168"/>
      <c r="X18" s="169"/>
      <c r="Y18" s="166"/>
      <c r="Z18" s="166"/>
      <c r="AA18" s="166"/>
      <c r="AB18" s="970"/>
      <c r="AC18" s="166"/>
      <c r="AD18" s="970"/>
      <c r="AE18" s="166"/>
      <c r="AF18" s="950"/>
    </row>
    <row r="19" spans="2:43">
      <c r="B19" s="170" t="s">
        <v>259</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945"/>
      <c r="AC19" s="945"/>
      <c r="AD19" s="945"/>
      <c r="AE19" s="972"/>
      <c r="AF19" s="971"/>
      <c r="AL19" s="158"/>
      <c r="AM19" s="158"/>
      <c r="AN19" s="158"/>
      <c r="AO19" s="158"/>
      <c r="AQ19" s="158"/>
    </row>
    <row r="20" spans="2:43">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973"/>
      <c r="AC20" s="973"/>
      <c r="AD20" s="974"/>
      <c r="AE20" s="973"/>
      <c r="AF20" s="975"/>
      <c r="AL20" s="158"/>
      <c r="AM20" s="158"/>
      <c r="AN20" s="158"/>
      <c r="AO20" s="158"/>
      <c r="AQ20" s="158"/>
    </row>
    <row r="21" spans="2:43">
      <c r="O21" s="168"/>
      <c r="P21" s="168"/>
      <c r="Q21" s="168"/>
      <c r="R21" s="168"/>
      <c r="S21" s="168"/>
      <c r="T21" s="168"/>
      <c r="U21" s="168"/>
      <c r="V21" s="168"/>
      <c r="W21" s="168"/>
      <c r="X21" s="257">
        <v>2001</v>
      </c>
      <c r="Y21" s="258">
        <v>2002</v>
      </c>
      <c r="Z21" s="257">
        <v>2003</v>
      </c>
      <c r="AA21" s="258">
        <v>2004</v>
      </c>
      <c r="AB21" s="976">
        <v>2005</v>
      </c>
      <c r="AC21" s="977">
        <v>2006</v>
      </c>
      <c r="AD21" s="977">
        <v>2007</v>
      </c>
      <c r="AE21" s="174">
        <v>2008</v>
      </c>
      <c r="AF21" s="978">
        <v>2009</v>
      </c>
      <c r="AG21" s="967">
        <v>2010</v>
      </c>
      <c r="AH21" s="967">
        <v>2011</v>
      </c>
      <c r="AI21" s="967">
        <v>2012</v>
      </c>
      <c r="AJ21" s="967">
        <v>2013</v>
      </c>
      <c r="AK21" s="967">
        <v>2014</v>
      </c>
      <c r="AL21" s="967">
        <v>2015</v>
      </c>
      <c r="AM21" s="967">
        <v>2016</v>
      </c>
      <c r="AN21" s="967">
        <v>2017</v>
      </c>
      <c r="AO21" s="967">
        <v>2018</v>
      </c>
      <c r="AP21" s="967">
        <v>2019</v>
      </c>
      <c r="AQ21" s="967">
        <v>2020</v>
      </c>
    </row>
    <row r="22" spans="2:43">
      <c r="O22" s="168"/>
      <c r="P22" s="168"/>
      <c r="Q22" s="168"/>
      <c r="R22" s="168"/>
      <c r="S22" s="168"/>
      <c r="T22" s="168"/>
      <c r="U22" s="168"/>
      <c r="V22" s="168"/>
      <c r="W22" s="168"/>
      <c r="X22" s="169"/>
      <c r="Y22" s="169"/>
      <c r="Z22" s="169"/>
      <c r="AA22" s="169"/>
      <c r="AB22" s="974"/>
      <c r="AC22" s="974"/>
      <c r="AD22" s="974"/>
      <c r="AE22" s="974"/>
      <c r="AF22" s="975"/>
    </row>
    <row r="23" spans="2:43">
      <c r="B23" s="165" t="s">
        <v>260</v>
      </c>
      <c r="D23" s="261"/>
      <c r="E23" s="261"/>
      <c r="F23" s="261"/>
      <c r="G23" s="261"/>
      <c r="H23" s="261"/>
      <c r="I23" s="261"/>
      <c r="J23" s="261"/>
      <c r="K23" s="261"/>
      <c r="L23" s="261"/>
      <c r="M23" s="261"/>
      <c r="N23" s="261"/>
      <c r="O23" s="261"/>
      <c r="P23" s="261"/>
      <c r="Q23" s="261"/>
      <c r="R23" s="261"/>
      <c r="S23" s="261"/>
      <c r="T23" s="261"/>
      <c r="U23" s="261"/>
      <c r="V23" s="261"/>
      <c r="W23" s="261"/>
      <c r="X23" s="932">
        <f>(X29-X36)*(1+X38)</f>
        <v>4093.4772252489338</v>
      </c>
      <c r="Y23" s="932"/>
      <c r="Z23" s="932">
        <f>(Z29-Z36)*(1+Z38)</f>
        <v>4370.0788907291189</v>
      </c>
      <c r="AA23" s="932"/>
      <c r="AB23" s="979">
        <f>(AB29-AB36)*(1+AB38)</f>
        <v>4079.967030982798</v>
      </c>
      <c r="AC23" s="979">
        <f t="shared" ref="AC23:AM23" si="11">(AC29-AC36)*(1+AC38)</f>
        <v>3990.906359887018</v>
      </c>
      <c r="AD23" s="979">
        <f t="shared" si="11"/>
        <v>4003.4674848393511</v>
      </c>
      <c r="AE23" s="979">
        <f t="shared" si="11"/>
        <v>4004.2516577715701</v>
      </c>
      <c r="AF23" s="979">
        <f t="shared" si="11"/>
        <v>4884.4307734551885</v>
      </c>
      <c r="AG23" s="980">
        <f t="shared" si="11"/>
        <v>5086.2321382128612</v>
      </c>
      <c r="AH23" s="980">
        <f t="shared" si="11"/>
        <v>5384.9984909053574</v>
      </c>
      <c r="AI23" s="980">
        <f t="shared" si="11"/>
        <v>5715.8347393629529</v>
      </c>
      <c r="AJ23" s="980">
        <f t="shared" si="11"/>
        <v>5721.8086989435251</v>
      </c>
      <c r="AK23" s="980">
        <f t="shared" si="11"/>
        <v>6820.3934754122893</v>
      </c>
      <c r="AL23" s="980">
        <f t="shared" si="11"/>
        <v>7057.4747658828755</v>
      </c>
      <c r="AM23" s="980">
        <f t="shared" si="11"/>
        <v>7261.3578900087286</v>
      </c>
      <c r="AN23" s="980">
        <f>(AN29-AN36)*(1+AN38)</f>
        <v>7722.7078520265022</v>
      </c>
      <c r="AO23" s="980">
        <f t="shared" ref="AO23" si="12">(AO29-AO36)*(1+AO38)</f>
        <v>7841.2184236900812</v>
      </c>
      <c r="AP23" s="980">
        <f>(AP29-AP36)*(1+AP38)</f>
        <v>8147.240644698606</v>
      </c>
      <c r="AQ23" s="980"/>
    </row>
    <row r="24" spans="2:43">
      <c r="D24" s="261"/>
      <c r="E24" s="261"/>
      <c r="F24" s="261"/>
      <c r="G24" s="261"/>
      <c r="H24" s="261"/>
      <c r="I24" s="261"/>
      <c r="J24" s="261"/>
      <c r="K24" s="261"/>
      <c r="L24" s="261"/>
      <c r="M24" s="261"/>
      <c r="N24" s="261"/>
      <c r="O24" s="261"/>
      <c r="P24" s="261"/>
      <c r="Q24" s="261"/>
      <c r="R24" s="261"/>
      <c r="S24" s="261"/>
      <c r="T24" s="261"/>
      <c r="U24" s="261"/>
      <c r="V24" s="261"/>
      <c r="W24" s="261"/>
      <c r="X24" s="932"/>
      <c r="Y24" s="932"/>
      <c r="Z24" s="932"/>
      <c r="AA24" s="932"/>
      <c r="AB24" s="979"/>
      <c r="AC24" s="979"/>
      <c r="AD24" s="979"/>
      <c r="AE24" s="979"/>
      <c r="AF24" s="981"/>
    </row>
    <row r="25" spans="2:43">
      <c r="C25" s="165" t="s">
        <v>261</v>
      </c>
      <c r="D25" s="261"/>
      <c r="E25" s="261"/>
      <c r="F25" s="261"/>
      <c r="G25" s="261"/>
      <c r="H25" s="261"/>
      <c r="I25" s="261"/>
      <c r="J25" s="261"/>
      <c r="K25" s="261"/>
      <c r="L25" s="261"/>
      <c r="M25" s="261"/>
      <c r="N25" s="261"/>
      <c r="O25" s="261"/>
      <c r="P25" s="261"/>
      <c r="Q25" s="261"/>
      <c r="R25" s="261"/>
      <c r="S25" s="261"/>
      <c r="T25" s="261"/>
      <c r="U25" s="261"/>
      <c r="V25" s="261"/>
      <c r="W25" s="261"/>
      <c r="X25" s="244">
        <v>5060.1162150381397</v>
      </c>
      <c r="Y25" s="244"/>
      <c r="Z25" s="244">
        <v>5457.8189733212339</v>
      </c>
      <c r="AA25" s="244"/>
      <c r="AB25" s="968">
        <v>5972.21</v>
      </c>
      <c r="AC25" s="968">
        <v>5973.5069999999996</v>
      </c>
      <c r="AD25" s="982">
        <v>5973.5069999999996</v>
      </c>
      <c r="AE25" s="982">
        <v>5973.5069999999996</v>
      </c>
      <c r="AF25" s="983">
        <v>6665.0179999999991</v>
      </c>
      <c r="AG25" s="983">
        <v>6933.070999999999</v>
      </c>
      <c r="AH25" s="983">
        <v>7388.384</v>
      </c>
      <c r="AI25" s="983">
        <v>7846.576</v>
      </c>
      <c r="AJ25" s="983">
        <v>7971.5619999999999</v>
      </c>
      <c r="AK25" s="983">
        <v>9017.5306174900015</v>
      </c>
      <c r="AL25" s="983">
        <v>9347.3222704399977</v>
      </c>
      <c r="AM25" s="983">
        <v>9612.2957318400004</v>
      </c>
      <c r="AN25" s="984">
        <v>10099.303188359998</v>
      </c>
      <c r="AO25" s="984">
        <v>10303.414382999999</v>
      </c>
      <c r="AP25" s="984">
        <v>10093.739052999999</v>
      </c>
      <c r="AQ25" s="984"/>
    </row>
    <row r="26" spans="2:43">
      <c r="C26" s="165" t="s">
        <v>262</v>
      </c>
      <c r="D26" s="261"/>
      <c r="E26" s="261"/>
      <c r="F26" s="261"/>
      <c r="G26" s="261"/>
      <c r="H26" s="261"/>
      <c r="I26" s="261"/>
      <c r="J26" s="261"/>
      <c r="K26" s="261"/>
      <c r="L26" s="261"/>
      <c r="M26" s="261"/>
      <c r="N26" s="261"/>
      <c r="O26" s="261"/>
      <c r="P26" s="261"/>
      <c r="Q26" s="261"/>
      <c r="R26" s="261"/>
      <c r="S26" s="261"/>
      <c r="T26" s="261"/>
      <c r="U26" s="261"/>
      <c r="V26" s="261"/>
      <c r="W26" s="261"/>
      <c r="X26" s="244">
        <v>448.96899764162475</v>
      </c>
      <c r="Y26" s="244"/>
      <c r="Z26" s="244">
        <v>495.67823823453051</v>
      </c>
      <c r="AA26" s="244"/>
      <c r="AB26" s="968">
        <v>484.88</v>
      </c>
      <c r="AC26" s="968">
        <v>483.27300000000002</v>
      </c>
      <c r="AD26" s="982">
        <v>483.27300000000002</v>
      </c>
      <c r="AE26" s="982">
        <v>483.27300000000002</v>
      </c>
      <c r="AF26" s="983">
        <v>596.904</v>
      </c>
      <c r="AG26" s="983">
        <v>651.47199999999998</v>
      </c>
      <c r="AH26" s="983">
        <v>699.52500000000009</v>
      </c>
      <c r="AI26" s="983">
        <v>735.30700000000002</v>
      </c>
      <c r="AJ26" s="983">
        <v>794.154</v>
      </c>
      <c r="AK26" s="983">
        <v>969.43131649999998</v>
      </c>
      <c r="AL26" s="983">
        <v>1028.62124027</v>
      </c>
      <c r="AM26" s="983">
        <v>1054.7936601600002</v>
      </c>
      <c r="AN26" s="984">
        <v>1097.0571562999999</v>
      </c>
      <c r="AO26" s="984">
        <v>1154.275846</v>
      </c>
      <c r="AP26" s="984">
        <v>1098.2746010000001</v>
      </c>
      <c r="AQ26" s="984"/>
    </row>
    <row r="27" spans="2:43">
      <c r="C27" s="165" t="s">
        <v>263</v>
      </c>
      <c r="D27" s="261"/>
      <c r="E27" s="261"/>
      <c r="F27" s="261"/>
      <c r="G27" s="261"/>
      <c r="H27" s="261"/>
      <c r="I27" s="261"/>
      <c r="J27" s="261"/>
      <c r="K27" s="261"/>
      <c r="L27" s="261"/>
      <c r="M27" s="261"/>
      <c r="N27" s="261"/>
      <c r="O27" s="261"/>
      <c r="P27" s="261"/>
      <c r="Q27" s="261"/>
      <c r="R27" s="261"/>
      <c r="S27" s="261"/>
      <c r="T27" s="261"/>
      <c r="U27" s="261"/>
      <c r="V27" s="261"/>
      <c r="W27" s="261"/>
      <c r="X27" s="244">
        <v>2.0564781551746329</v>
      </c>
      <c r="Y27" s="244"/>
      <c r="Z27" s="244">
        <v>0.78018798502190656</v>
      </c>
      <c r="AA27" s="244"/>
      <c r="AB27" s="968">
        <v>0</v>
      </c>
      <c r="AC27" s="968"/>
      <c r="AD27" s="982">
        <v>0</v>
      </c>
      <c r="AE27" s="982">
        <v>0</v>
      </c>
      <c r="AF27" s="983">
        <v>365.44299999999998</v>
      </c>
      <c r="AG27" s="983">
        <v>382.30099999999999</v>
      </c>
      <c r="AH27" s="983">
        <v>389.65600000000001</v>
      </c>
      <c r="AI27" s="983">
        <v>396.44600000000003</v>
      </c>
      <c r="AJ27" s="983">
        <v>399.37899999999996</v>
      </c>
      <c r="AK27" s="983">
        <v>427.81533451999996</v>
      </c>
      <c r="AL27" s="983">
        <v>402.58079148000002</v>
      </c>
      <c r="AM27" s="983">
        <v>368.54832243999994</v>
      </c>
      <c r="AN27" s="984">
        <v>332.49019125000001</v>
      </c>
      <c r="AO27" s="984">
        <v>294.75508100000002</v>
      </c>
      <c r="AP27" s="984">
        <v>219.78369599999999</v>
      </c>
      <c r="AQ27" s="984"/>
    </row>
    <row r="28" spans="2:43">
      <c r="C28" s="172" t="s">
        <v>264</v>
      </c>
      <c r="D28" s="261"/>
      <c r="E28" s="261"/>
      <c r="F28" s="261"/>
      <c r="G28" s="261"/>
      <c r="H28" s="261"/>
      <c r="I28" s="261"/>
      <c r="J28" s="261"/>
      <c r="K28" s="261"/>
      <c r="L28" s="261"/>
      <c r="M28" s="261"/>
      <c r="N28" s="261"/>
      <c r="O28" s="261"/>
      <c r="P28" s="261"/>
      <c r="Q28" s="261"/>
      <c r="R28" s="261"/>
      <c r="S28" s="261"/>
      <c r="T28" s="261"/>
      <c r="U28" s="261"/>
      <c r="V28" s="261"/>
      <c r="W28" s="261"/>
      <c r="X28" s="244">
        <v>525.23074031973545</v>
      </c>
      <c r="Y28" s="244"/>
      <c r="Z28" s="244">
        <v>581.10944018962095</v>
      </c>
      <c r="AA28" s="244"/>
      <c r="AB28" s="968">
        <v>535.53</v>
      </c>
      <c r="AC28" s="968">
        <v>482.93299999999999</v>
      </c>
      <c r="AD28" s="982">
        <v>482.93299999999999</v>
      </c>
      <c r="AE28" s="982">
        <v>482.93299999999999</v>
      </c>
      <c r="AF28" s="983">
        <v>754.2299999999999</v>
      </c>
      <c r="AG28" s="983">
        <v>706.44100000000003</v>
      </c>
      <c r="AH28" s="983">
        <v>635.98900000000003</v>
      </c>
      <c r="AI28" s="983">
        <v>673.83799999999997</v>
      </c>
      <c r="AJ28" s="983">
        <v>730.64400000000001</v>
      </c>
      <c r="AK28" s="983">
        <v>757.37732143000005</v>
      </c>
      <c r="AL28" s="983">
        <v>671.26634117999993</v>
      </c>
      <c r="AM28" s="983">
        <v>611.92113884000003</v>
      </c>
      <c r="AN28" s="983">
        <v>563.5017211600001</v>
      </c>
      <c r="AO28" s="983">
        <v>511.91189100000003</v>
      </c>
      <c r="AP28" s="983">
        <v>432.20281399999999</v>
      </c>
      <c r="AQ28" s="983"/>
    </row>
    <row r="29" spans="2:43">
      <c r="C29" s="165" t="s">
        <v>265</v>
      </c>
      <c r="D29" s="261"/>
      <c r="E29" s="261"/>
      <c r="F29" s="261"/>
      <c r="G29" s="261"/>
      <c r="H29" s="261"/>
      <c r="I29" s="261"/>
      <c r="J29" s="261"/>
      <c r="K29" s="261"/>
      <c r="L29" s="261"/>
      <c r="M29" s="261"/>
      <c r="N29" s="261"/>
      <c r="O29" s="261"/>
      <c r="P29" s="261"/>
      <c r="Q29" s="261"/>
      <c r="R29" s="261"/>
      <c r="S29" s="261"/>
      <c r="T29" s="261"/>
      <c r="U29" s="261"/>
      <c r="V29" s="261"/>
      <c r="W29" s="261"/>
      <c r="X29" s="985">
        <f>SUM(X25:X28)</f>
        <v>6036.3724311546748</v>
      </c>
      <c r="Y29" s="244"/>
      <c r="Z29" s="985">
        <f>SUM(Z25:Z28)</f>
        <v>6535.3868397304077</v>
      </c>
      <c r="AA29" s="244"/>
      <c r="AB29" s="986">
        <f>SUM(AB25:AB28)</f>
        <v>6992.62</v>
      </c>
      <c r="AC29" s="986">
        <f t="shared" ref="AC29:AP29" si="13">SUM(AC25:AC28)</f>
        <v>6939.7129999999997</v>
      </c>
      <c r="AD29" s="986">
        <f t="shared" si="13"/>
        <v>6939.7129999999997</v>
      </c>
      <c r="AE29" s="986">
        <f t="shared" si="13"/>
        <v>6939.7129999999997</v>
      </c>
      <c r="AF29" s="986">
        <f t="shared" si="13"/>
        <v>8381.5949999999993</v>
      </c>
      <c r="AG29" s="987">
        <f t="shared" si="13"/>
        <v>8673.2849999999999</v>
      </c>
      <c r="AH29" s="987">
        <f t="shared" si="13"/>
        <v>9113.5540000000001</v>
      </c>
      <c r="AI29" s="987">
        <f t="shared" si="13"/>
        <v>9652.1669999999995</v>
      </c>
      <c r="AJ29" s="987">
        <f t="shared" si="13"/>
        <v>9895.7390000000014</v>
      </c>
      <c r="AK29" s="987">
        <f t="shared" si="13"/>
        <v>11172.154589940003</v>
      </c>
      <c r="AL29" s="987">
        <f t="shared" si="13"/>
        <v>11449.790643369999</v>
      </c>
      <c r="AM29" s="987">
        <f t="shared" si="13"/>
        <v>11647.558853279999</v>
      </c>
      <c r="AN29" s="987">
        <f t="shared" si="13"/>
        <v>12092.352257069999</v>
      </c>
      <c r="AO29" s="987">
        <f t="shared" si="13"/>
        <v>12264.357200999999</v>
      </c>
      <c r="AP29" s="987">
        <f t="shared" si="13"/>
        <v>11844.000163999999</v>
      </c>
      <c r="AQ29" s="987"/>
    </row>
    <row r="30" spans="2:43">
      <c r="D30" s="261"/>
      <c r="E30" s="261"/>
      <c r="F30" s="261"/>
      <c r="G30" s="261"/>
      <c r="H30" s="261"/>
      <c r="I30" s="261"/>
      <c r="J30" s="261"/>
      <c r="K30" s="261"/>
      <c r="L30" s="261"/>
      <c r="M30" s="261"/>
      <c r="N30" s="261"/>
      <c r="O30" s="261"/>
      <c r="P30" s="261"/>
      <c r="Q30" s="261"/>
      <c r="R30" s="261"/>
      <c r="S30" s="261"/>
      <c r="T30" s="261"/>
      <c r="U30" s="261"/>
      <c r="V30" s="261"/>
      <c r="W30" s="261"/>
      <c r="X30" s="244"/>
      <c r="Y30" s="244"/>
      <c r="Z30" s="244"/>
      <c r="AA30" s="244"/>
      <c r="AB30" s="968"/>
      <c r="AC30" s="968"/>
      <c r="AD30" s="968"/>
      <c r="AE30" s="968"/>
      <c r="AF30" s="969"/>
    </row>
    <row r="31" spans="2:43">
      <c r="C31" s="165" t="s">
        <v>266</v>
      </c>
      <c r="D31" s="261"/>
      <c r="E31" s="261"/>
      <c r="F31" s="261"/>
      <c r="G31" s="261"/>
      <c r="H31" s="261"/>
      <c r="I31" s="261"/>
      <c r="J31" s="261"/>
      <c r="K31" s="261"/>
      <c r="L31" s="261"/>
      <c r="M31" s="261"/>
      <c r="N31" s="261"/>
      <c r="O31" s="261"/>
      <c r="P31" s="261"/>
      <c r="Q31" s="261"/>
      <c r="R31" s="261"/>
      <c r="S31" s="261"/>
      <c r="T31" s="261"/>
      <c r="U31" s="261"/>
      <c r="V31" s="261"/>
      <c r="W31" s="261"/>
      <c r="X31" s="244">
        <v>1722.0750696596524</v>
      </c>
      <c r="Y31" s="244"/>
      <c r="Z31" s="244">
        <v>1923.9065143539813</v>
      </c>
      <c r="AA31" s="244"/>
      <c r="AB31" s="968">
        <v>2524.7200000000003</v>
      </c>
      <c r="AC31" s="968">
        <v>2562.116</v>
      </c>
      <c r="AD31" s="988">
        <v>2562.116</v>
      </c>
      <c r="AE31" s="988">
        <v>2562.116</v>
      </c>
      <c r="AF31" s="989">
        <v>2937.3770000000004</v>
      </c>
      <c r="AG31" s="989">
        <v>3001.009</v>
      </c>
      <c r="AH31" s="989">
        <v>3131.5549999999998</v>
      </c>
      <c r="AI31" s="989">
        <v>3323.9349999999999</v>
      </c>
      <c r="AJ31" s="989">
        <v>3489.3</v>
      </c>
      <c r="AK31" s="989">
        <v>3590.6030138000001</v>
      </c>
      <c r="AL31" s="989">
        <v>3653.74234445</v>
      </c>
      <c r="AM31" s="989">
        <v>3693.52986388</v>
      </c>
      <c r="AN31" s="165">
        <v>3730.4169108900001</v>
      </c>
      <c r="AO31" s="165">
        <v>3828.9566869999999</v>
      </c>
      <c r="AP31" s="165">
        <v>3304.2222459999998</v>
      </c>
    </row>
    <row r="32" spans="2:43">
      <c r="C32" s="165" t="s">
        <v>267</v>
      </c>
      <c r="D32" s="261"/>
      <c r="E32" s="261"/>
      <c r="F32" s="261"/>
      <c r="G32" s="261"/>
      <c r="H32" s="261"/>
      <c r="I32" s="261"/>
      <c r="J32" s="261"/>
      <c r="K32" s="261"/>
      <c r="L32" s="261"/>
      <c r="M32" s="261"/>
      <c r="N32" s="261"/>
      <c r="O32" s="261"/>
      <c r="P32" s="261"/>
      <c r="Q32" s="261"/>
      <c r="R32" s="261"/>
      <c r="S32" s="261"/>
      <c r="T32" s="261"/>
      <c r="U32" s="261"/>
      <c r="V32" s="261"/>
      <c r="W32" s="261"/>
      <c r="X32" s="244">
        <v>177.18301090028712</v>
      </c>
      <c r="Y32" s="244"/>
      <c r="Z32" s="244">
        <v>213.29823027173194</v>
      </c>
      <c r="AA32" s="244"/>
      <c r="AB32" s="968">
        <v>303.87</v>
      </c>
      <c r="AC32" s="968">
        <v>308.339</v>
      </c>
      <c r="AD32" s="988">
        <v>308.339</v>
      </c>
      <c r="AE32" s="988">
        <v>308.339</v>
      </c>
      <c r="AF32" s="989">
        <v>384.13400000000001</v>
      </c>
      <c r="AG32" s="989">
        <v>413.13800000000003</v>
      </c>
      <c r="AH32" s="989">
        <v>448.51799999999997</v>
      </c>
      <c r="AI32" s="989">
        <v>476.64599999999996</v>
      </c>
      <c r="AJ32" s="989">
        <v>518.822</v>
      </c>
      <c r="AK32" s="989">
        <v>603.42211532999988</v>
      </c>
      <c r="AL32" s="989">
        <v>644.53039036999996</v>
      </c>
      <c r="AM32" s="989">
        <v>665.54737347000003</v>
      </c>
      <c r="AN32" s="165">
        <v>688.27270228999998</v>
      </c>
      <c r="AO32" s="165">
        <v>728.25128700000005</v>
      </c>
      <c r="AP32" s="165">
        <v>651.394182</v>
      </c>
    </row>
    <row r="33" spans="2:43">
      <c r="C33" s="165" t="s">
        <v>268</v>
      </c>
      <c r="D33" s="261"/>
      <c r="E33" s="261"/>
      <c r="F33" s="261"/>
      <c r="G33" s="261"/>
      <c r="H33" s="261"/>
      <c r="I33" s="261"/>
      <c r="J33" s="261"/>
      <c r="K33" s="261"/>
      <c r="L33" s="261"/>
      <c r="M33" s="261"/>
      <c r="N33" s="261"/>
      <c r="O33" s="261"/>
      <c r="P33" s="261"/>
      <c r="Q33" s="261"/>
      <c r="R33" s="261"/>
      <c r="S33" s="261"/>
      <c r="T33" s="261"/>
      <c r="U33" s="261"/>
      <c r="V33" s="261"/>
      <c r="W33" s="261"/>
      <c r="X33" s="244">
        <v>1.1615542640758434</v>
      </c>
      <c r="Y33" s="244"/>
      <c r="Z33" s="244">
        <v>0.26533427183098585</v>
      </c>
      <c r="AA33" s="244"/>
      <c r="AB33" s="968">
        <v>0</v>
      </c>
      <c r="AC33" s="968">
        <v>0</v>
      </c>
      <c r="AD33" s="988">
        <v>0</v>
      </c>
      <c r="AE33" s="988">
        <v>0</v>
      </c>
      <c r="AF33" s="989">
        <v>0</v>
      </c>
      <c r="AG33" s="989">
        <v>0</v>
      </c>
      <c r="AH33" s="989">
        <v>0</v>
      </c>
      <c r="AI33" s="989">
        <v>0</v>
      </c>
      <c r="AJ33" s="989">
        <v>0</v>
      </c>
      <c r="AK33" s="989">
        <v>0</v>
      </c>
      <c r="AL33" s="989">
        <v>0</v>
      </c>
      <c r="AM33" s="989">
        <v>0</v>
      </c>
      <c r="AN33" s="165">
        <v>0</v>
      </c>
      <c r="AO33" s="165">
        <v>0</v>
      </c>
      <c r="AP33" s="165">
        <v>0</v>
      </c>
    </row>
    <row r="34" spans="2:43">
      <c r="C34" s="165" t="s">
        <v>270</v>
      </c>
      <c r="D34" s="261"/>
      <c r="E34" s="261"/>
      <c r="F34" s="261"/>
      <c r="G34" s="261"/>
      <c r="H34" s="261"/>
      <c r="I34" s="261"/>
      <c r="J34" s="261"/>
      <c r="K34" s="261"/>
      <c r="L34" s="261"/>
      <c r="M34" s="261"/>
      <c r="N34" s="261"/>
      <c r="O34" s="261"/>
      <c r="P34" s="261"/>
      <c r="Q34" s="261"/>
      <c r="R34" s="261"/>
      <c r="S34" s="261"/>
      <c r="T34" s="261"/>
      <c r="U34" s="261"/>
      <c r="V34" s="261"/>
      <c r="W34" s="261"/>
      <c r="X34" s="244">
        <v>214.53839836256344</v>
      </c>
      <c r="Y34" s="244"/>
      <c r="Z34" s="244">
        <v>301.50056837178641</v>
      </c>
      <c r="AA34" s="244"/>
      <c r="AB34" s="968">
        <v>322.72999999999996</v>
      </c>
      <c r="AC34" s="968">
        <v>319.17399999999998</v>
      </c>
      <c r="AD34" s="988">
        <v>319.17399999999998</v>
      </c>
      <c r="AE34" s="988">
        <v>319.17399999999998</v>
      </c>
      <c r="AF34" s="989">
        <v>453.78200000000004</v>
      </c>
      <c r="AG34" s="989">
        <v>457.32900000000001</v>
      </c>
      <c r="AH34" s="989">
        <v>439.91399999999999</v>
      </c>
      <c r="AI34" s="989">
        <v>448.05999999999995</v>
      </c>
      <c r="AJ34" s="989">
        <v>477.14300000000003</v>
      </c>
      <c r="AK34" s="989">
        <v>496.90279695999999</v>
      </c>
      <c r="AL34" s="989">
        <v>446.34071536999994</v>
      </c>
      <c r="AM34" s="989">
        <v>410.1132179</v>
      </c>
      <c r="AN34" s="165">
        <v>378.54431387</v>
      </c>
      <c r="AO34" s="165">
        <v>347.35652199999998</v>
      </c>
      <c r="AP34" s="165">
        <v>267.95316300000002</v>
      </c>
    </row>
    <row r="35" spans="2:43" s="623" customFormat="1">
      <c r="C35" s="172" t="s">
        <v>271</v>
      </c>
      <c r="D35" s="990"/>
      <c r="E35" s="990"/>
      <c r="F35" s="990"/>
      <c r="G35" s="990"/>
      <c r="H35" s="990"/>
      <c r="I35" s="990"/>
      <c r="J35" s="990"/>
      <c r="K35" s="990"/>
      <c r="L35" s="990"/>
      <c r="M35" s="990"/>
      <c r="N35" s="990"/>
      <c r="O35" s="990"/>
      <c r="P35" s="990"/>
      <c r="Q35" s="990"/>
      <c r="R35" s="990"/>
      <c r="S35" s="990"/>
      <c r="T35" s="990"/>
      <c r="U35" s="990"/>
      <c r="V35" s="990"/>
      <c r="W35" s="990"/>
      <c r="X35" s="932">
        <v>98.449665813421689</v>
      </c>
      <c r="Y35" s="932"/>
      <c r="Z35" s="932">
        <v>26.399365590133417</v>
      </c>
      <c r="AA35" s="932"/>
      <c r="AB35" s="979">
        <v>31.95</v>
      </c>
      <c r="AC35" s="979">
        <v>23.782</v>
      </c>
      <c r="AD35" s="991">
        <v>23.782</v>
      </c>
      <c r="AE35" s="991">
        <v>23.782</v>
      </c>
      <c r="AF35" s="989">
        <v>54.286000000000001</v>
      </c>
      <c r="AG35" s="989">
        <v>61.997999999999998</v>
      </c>
      <c r="AH35" s="989">
        <v>82.257000000000005</v>
      </c>
      <c r="AI35" s="989">
        <v>77.983000000000004</v>
      </c>
      <c r="AJ35" s="989">
        <v>88.364000000000004</v>
      </c>
      <c r="AK35" s="989">
        <v>97.565304400000002</v>
      </c>
      <c r="AL35" s="989">
        <v>100.31770814000001</v>
      </c>
      <c r="AM35" s="989">
        <v>75.900577220000002</v>
      </c>
      <c r="AN35" s="989">
        <v>60.82564575</v>
      </c>
      <c r="AO35" s="989">
        <v>30.394988000000001</v>
      </c>
      <c r="AP35" s="989">
        <v>4.0497319999999997</v>
      </c>
      <c r="AQ35" s="989"/>
    </row>
    <row r="36" spans="2:43" s="623" customFormat="1">
      <c r="C36" s="623" t="s">
        <v>272</v>
      </c>
      <c r="D36" s="990"/>
      <c r="E36" s="990"/>
      <c r="F36" s="990"/>
      <c r="G36" s="990"/>
      <c r="H36" s="990"/>
      <c r="I36" s="990"/>
      <c r="J36" s="990"/>
      <c r="K36" s="990"/>
      <c r="L36" s="990"/>
      <c r="M36" s="990"/>
      <c r="N36" s="990"/>
      <c r="O36" s="990"/>
      <c r="P36" s="990"/>
      <c r="Q36" s="990"/>
      <c r="R36" s="990"/>
      <c r="S36" s="990"/>
      <c r="T36" s="990"/>
      <c r="U36" s="990"/>
      <c r="V36" s="990"/>
      <c r="W36" s="990"/>
      <c r="X36" s="985">
        <f>SUM(X31:X35)</f>
        <v>2213.4076990000008</v>
      </c>
      <c r="Y36" s="932"/>
      <c r="Z36" s="985">
        <f>SUM(Z31:Z35)</f>
        <v>2465.3700128594642</v>
      </c>
      <c r="AA36" s="932"/>
      <c r="AB36" s="986">
        <f>SUM(AB31:AB35)</f>
        <v>3183.27</v>
      </c>
      <c r="AC36" s="986">
        <f>SUM(AC31:AC35)</f>
        <v>3213.4110000000001</v>
      </c>
      <c r="AD36" s="992">
        <f>SUM(AD31:AD35)</f>
        <v>3213.4110000000001</v>
      </c>
      <c r="AE36" s="992">
        <f>SUM(AE31:AE35)</f>
        <v>3213.4110000000001</v>
      </c>
      <c r="AF36" s="993">
        <f t="shared" ref="AF36:AP36" si="14">SUM(AF31:AF35)</f>
        <v>3829.5790000000006</v>
      </c>
      <c r="AG36" s="993">
        <f t="shared" si="14"/>
        <v>3933.4740000000002</v>
      </c>
      <c r="AH36" s="993">
        <f t="shared" si="14"/>
        <v>4102.2439999999997</v>
      </c>
      <c r="AI36" s="993">
        <f t="shared" si="14"/>
        <v>4326.6239999999998</v>
      </c>
      <c r="AJ36" s="993">
        <f t="shared" si="14"/>
        <v>4573.6289999999999</v>
      </c>
      <c r="AK36" s="993">
        <f t="shared" si="14"/>
        <v>4788.4932304900003</v>
      </c>
      <c r="AL36" s="993">
        <f t="shared" si="14"/>
        <v>4844.9311583299996</v>
      </c>
      <c r="AM36" s="993">
        <f t="shared" si="14"/>
        <v>4845.0910324699998</v>
      </c>
      <c r="AN36" s="993">
        <f t="shared" si="14"/>
        <v>4858.0595728000008</v>
      </c>
      <c r="AO36" s="993">
        <f t="shared" si="14"/>
        <v>4934.959484</v>
      </c>
      <c r="AP36" s="993">
        <f t="shared" si="14"/>
        <v>4227.6193229999999</v>
      </c>
      <c r="AQ36" s="993"/>
    </row>
    <row r="37" spans="2:43" s="623" customFormat="1">
      <c r="D37" s="990"/>
      <c r="E37" s="990"/>
      <c r="F37" s="990"/>
      <c r="G37" s="990"/>
      <c r="H37" s="990"/>
      <c r="I37" s="990"/>
      <c r="J37" s="990"/>
      <c r="K37" s="990"/>
      <c r="L37" s="990"/>
      <c r="M37" s="990"/>
      <c r="N37" s="990"/>
      <c r="O37" s="990"/>
      <c r="P37" s="990"/>
      <c r="Q37" s="990"/>
      <c r="R37" s="990"/>
      <c r="S37" s="990"/>
      <c r="T37" s="990"/>
      <c r="U37" s="990"/>
      <c r="V37" s="990"/>
      <c r="W37" s="990"/>
      <c r="X37" s="932"/>
      <c r="Y37" s="932"/>
      <c r="Z37" s="932"/>
      <c r="AA37" s="932"/>
      <c r="AB37" s="979"/>
      <c r="AC37" s="979"/>
      <c r="AD37" s="979"/>
      <c r="AE37" s="979"/>
      <c r="AF37" s="981"/>
      <c r="AG37" s="994"/>
      <c r="AH37" s="994"/>
      <c r="AI37" s="994"/>
      <c r="AJ37" s="994"/>
    </row>
    <row r="38" spans="2:43" s="623" customFormat="1">
      <c r="C38" s="623" t="s">
        <v>273</v>
      </c>
      <c r="D38" s="990"/>
      <c r="E38" s="990"/>
      <c r="F38" s="990"/>
      <c r="G38" s="990"/>
      <c r="H38" s="990"/>
      <c r="I38" s="990"/>
      <c r="J38" s="990"/>
      <c r="K38" s="990"/>
      <c r="L38" s="990"/>
      <c r="M38" s="990"/>
      <c r="N38" s="990"/>
      <c r="O38" s="990"/>
      <c r="P38" s="990"/>
      <c r="Q38" s="990"/>
      <c r="R38" s="990"/>
      <c r="S38" s="990"/>
      <c r="T38" s="990"/>
      <c r="U38" s="990"/>
      <c r="V38" s="990"/>
      <c r="W38" s="990"/>
      <c r="X38" s="550">
        <v>7.0759871473309463E-2</v>
      </c>
      <c r="Y38" s="932"/>
      <c r="Z38" s="550">
        <v>7.372501800904481E-2</v>
      </c>
      <c r="AA38" s="932"/>
      <c r="AB38" s="995">
        <v>7.1040211842649817E-2</v>
      </c>
      <c r="AC38" s="995">
        <v>7.1009907379224191E-2</v>
      </c>
      <c r="AD38" s="996">
        <v>7.4380843216505524E-2</v>
      </c>
      <c r="AE38" s="996">
        <v>7.4591285883852276E-2</v>
      </c>
      <c r="AF38" s="997">
        <v>7.3025835905495412E-2</v>
      </c>
      <c r="AG38" s="998">
        <v>7.3087542565064598E-2</v>
      </c>
      <c r="AH38" s="998">
        <v>7.4569023050930161E-2</v>
      </c>
      <c r="AI38" s="998">
        <v>7.3286750170443199E-2</v>
      </c>
      <c r="AJ38" s="998">
        <v>7.5101547871713206E-2</v>
      </c>
      <c r="AK38" s="999">
        <v>6.8414048203821784E-2</v>
      </c>
      <c r="AL38" s="999">
        <v>6.8527616956583146E-2</v>
      </c>
      <c r="AM38" s="999">
        <v>6.7459351706876142E-2</v>
      </c>
      <c r="AN38" s="999">
        <v>6.7513879942748004E-2</v>
      </c>
      <c r="AO38" s="999">
        <v>6.9831209391591806E-2</v>
      </c>
      <c r="AP38" s="999">
        <v>6.9699745165172994E-2</v>
      </c>
    </row>
    <row r="39" spans="2:43">
      <c r="D39" s="261"/>
      <c r="E39" s="261"/>
      <c r="F39" s="261"/>
      <c r="G39" s="261"/>
      <c r="H39" s="261"/>
      <c r="I39" s="261"/>
      <c r="J39" s="261"/>
      <c r="K39" s="261"/>
      <c r="L39" s="261"/>
      <c r="M39" s="261"/>
      <c r="N39" s="261"/>
      <c r="O39" s="261"/>
      <c r="P39" s="261"/>
      <c r="Q39" s="261"/>
      <c r="R39" s="261"/>
      <c r="S39" s="261"/>
      <c r="T39" s="261"/>
      <c r="U39" s="261"/>
      <c r="V39" s="261"/>
      <c r="W39" s="261"/>
      <c r="X39" s="244"/>
      <c r="Y39" s="244"/>
      <c r="Z39" s="244"/>
      <c r="AA39" s="244"/>
      <c r="AB39" s="968"/>
      <c r="AC39" s="244"/>
      <c r="AD39" s="982"/>
      <c r="AE39" s="241"/>
      <c r="AF39" s="1000"/>
    </row>
    <row r="40" spans="2:43">
      <c r="B40" s="165" t="s">
        <v>274</v>
      </c>
      <c r="D40" s="261"/>
      <c r="E40" s="261"/>
      <c r="F40" s="261"/>
      <c r="G40" s="261"/>
      <c r="H40" s="261"/>
      <c r="I40" s="261"/>
      <c r="J40" s="261"/>
      <c r="K40" s="261"/>
      <c r="L40" s="261"/>
      <c r="M40" s="261"/>
      <c r="N40" s="261"/>
      <c r="O40" s="261"/>
      <c r="P40" s="261"/>
      <c r="Q40" s="261"/>
      <c r="R40" s="261"/>
      <c r="S40" s="261"/>
      <c r="T40" s="261"/>
      <c r="U40" s="261"/>
      <c r="V40" s="261"/>
      <c r="W40" s="261"/>
      <c r="X40" s="244">
        <v>885.1</v>
      </c>
      <c r="Y40" s="244">
        <v>951.5</v>
      </c>
      <c r="Z40" s="244">
        <v>983.9</v>
      </c>
      <c r="AA40" s="244">
        <v>1048.0999999999999</v>
      </c>
      <c r="AB40" s="968">
        <v>1109.4000000000001</v>
      </c>
      <c r="AC40" s="968">
        <v>1153.5</v>
      </c>
      <c r="AD40" s="982">
        <v>1187.2</v>
      </c>
      <c r="AE40" s="982">
        <v>1283.7</v>
      </c>
      <c r="AF40" s="1000">
        <v>1337.6</v>
      </c>
      <c r="AG40" s="547">
        <v>1295</v>
      </c>
      <c r="AH40" s="547">
        <v>1308.5</v>
      </c>
      <c r="AI40" s="547">
        <v>1390.1</v>
      </c>
      <c r="AJ40" s="547">
        <v>1432.7</v>
      </c>
      <c r="AK40" s="165">
        <v>1500.5</v>
      </c>
      <c r="AL40" s="165">
        <v>1562.3</v>
      </c>
      <c r="AM40" s="165">
        <v>1681.9</v>
      </c>
      <c r="AN40" s="165">
        <v>1768.2</v>
      </c>
      <c r="AO40" s="1001">
        <v>1864</v>
      </c>
      <c r="AP40" s="1001">
        <v>1903</v>
      </c>
    </row>
    <row r="41" spans="2:43">
      <c r="B41" s="172"/>
      <c r="C41" s="172"/>
      <c r="D41" s="261"/>
      <c r="E41" s="261"/>
      <c r="F41" s="261"/>
      <c r="G41" s="261"/>
      <c r="H41" s="261"/>
      <c r="I41" s="261"/>
      <c r="J41" s="261"/>
      <c r="K41" s="261"/>
      <c r="L41" s="261"/>
      <c r="M41" s="261"/>
      <c r="N41" s="261"/>
      <c r="O41" s="261"/>
      <c r="P41" s="261"/>
      <c r="Q41" s="261"/>
      <c r="R41" s="261"/>
      <c r="S41" s="261"/>
      <c r="T41" s="261"/>
      <c r="U41" s="261"/>
      <c r="V41" s="261"/>
      <c r="W41" s="261"/>
      <c r="X41" s="931"/>
      <c r="Y41" s="244"/>
      <c r="Z41" s="931"/>
      <c r="AA41" s="244"/>
      <c r="AB41" s="1002"/>
      <c r="AC41" s="1002"/>
      <c r="AD41" s="1002"/>
      <c r="AE41" s="1002"/>
      <c r="AF41" s="1002"/>
      <c r="AG41" s="1003"/>
      <c r="AH41" s="1003"/>
      <c r="AI41" s="1003"/>
      <c r="AJ41" s="1003"/>
      <c r="AK41" s="1003"/>
      <c r="AL41" s="1003"/>
      <c r="AM41" s="1003"/>
      <c r="AN41" s="1003"/>
      <c r="AO41" s="1003"/>
      <c r="AP41" s="1003"/>
      <c r="AQ41" s="1003"/>
    </row>
    <row r="42" spans="2:43">
      <c r="D42" s="261"/>
      <c r="E42" s="261"/>
      <c r="F42" s="261"/>
      <c r="G42" s="261"/>
      <c r="H42" s="261"/>
      <c r="I42" s="261"/>
      <c r="J42" s="261"/>
      <c r="K42" s="261"/>
      <c r="L42" s="261"/>
      <c r="M42" s="261"/>
      <c r="N42" s="261"/>
      <c r="O42" s="261"/>
      <c r="P42" s="261"/>
      <c r="Q42" s="261"/>
      <c r="R42" s="261"/>
      <c r="S42" s="261"/>
      <c r="T42" s="261"/>
      <c r="U42" s="261"/>
      <c r="V42" s="261"/>
      <c r="W42" s="261"/>
      <c r="X42" s="244"/>
      <c r="Y42" s="244"/>
      <c r="Z42" s="244"/>
      <c r="AA42" s="244"/>
      <c r="AB42" s="968"/>
      <c r="AC42" s="968"/>
      <c r="AD42" s="968"/>
      <c r="AE42" s="968"/>
      <c r="AF42" s="968"/>
      <c r="AG42" s="968"/>
      <c r="AH42" s="968"/>
      <c r="AI42" s="968"/>
      <c r="AJ42" s="968"/>
      <c r="AK42" s="968"/>
      <c r="AL42" s="968"/>
      <c r="AM42" s="968"/>
      <c r="AN42" s="968"/>
      <c r="AO42" s="968"/>
      <c r="AP42" s="968"/>
      <c r="AQ42" s="968"/>
    </row>
    <row r="43" spans="2:43">
      <c r="B43" s="165" t="s">
        <v>275</v>
      </c>
      <c r="D43" s="261"/>
      <c r="E43" s="261"/>
      <c r="F43" s="261"/>
      <c r="G43" s="261"/>
      <c r="H43" s="261"/>
      <c r="I43" s="261"/>
      <c r="J43" s="261"/>
      <c r="K43" s="261"/>
      <c r="L43" s="261"/>
      <c r="M43" s="261"/>
      <c r="N43" s="261"/>
      <c r="O43" s="261"/>
      <c r="P43" s="261"/>
      <c r="Q43" s="261"/>
      <c r="R43" s="261"/>
      <c r="S43" s="261"/>
      <c r="T43" s="261"/>
      <c r="U43" s="261"/>
      <c r="V43" s="261"/>
      <c r="W43" s="261"/>
      <c r="X43" s="244">
        <f>X40+X23</f>
        <v>4978.5772252489342</v>
      </c>
      <c r="Y43" s="244"/>
      <c r="Z43" s="244">
        <f>Z40+Z23</f>
        <v>5353.9788907291186</v>
      </c>
      <c r="AA43" s="244"/>
      <c r="AB43" s="968">
        <f>AB40+AB23</f>
        <v>5189.3670309827976</v>
      </c>
      <c r="AC43" s="968">
        <f t="shared" ref="AC43:AP43" si="15">AC40+AC23</f>
        <v>5144.406359887018</v>
      </c>
      <c r="AD43" s="968">
        <f t="shared" si="15"/>
        <v>5190.6674848393513</v>
      </c>
      <c r="AE43" s="968">
        <f t="shared" si="15"/>
        <v>5287.9516577715704</v>
      </c>
      <c r="AF43" s="968">
        <f t="shared" si="15"/>
        <v>6222.030773455188</v>
      </c>
      <c r="AG43" s="968">
        <f t="shared" si="15"/>
        <v>6381.2321382128612</v>
      </c>
      <c r="AH43" s="968">
        <f t="shared" si="15"/>
        <v>6693.4984909053574</v>
      </c>
      <c r="AI43" s="968">
        <f t="shared" si="15"/>
        <v>7105.9347393629523</v>
      </c>
      <c r="AJ43" s="968">
        <f t="shared" si="15"/>
        <v>7154.5086989435249</v>
      </c>
      <c r="AK43" s="968">
        <f t="shared" si="15"/>
        <v>8320.8934754122893</v>
      </c>
      <c r="AL43" s="968">
        <f t="shared" si="15"/>
        <v>8619.7747658828757</v>
      </c>
      <c r="AM43" s="968">
        <f t="shared" si="15"/>
        <v>8943.2578900087283</v>
      </c>
      <c r="AN43" s="968">
        <f t="shared" si="15"/>
        <v>9490.907852026503</v>
      </c>
      <c r="AO43" s="968">
        <f t="shared" si="15"/>
        <v>9705.2184236900812</v>
      </c>
      <c r="AP43" s="968">
        <f t="shared" si="15"/>
        <v>10050.240644698606</v>
      </c>
      <c r="AQ43" s="968"/>
    </row>
    <row r="44" spans="2:43">
      <c r="D44" s="261"/>
      <c r="E44" s="261"/>
      <c r="F44" s="261"/>
      <c r="G44" s="261"/>
      <c r="H44" s="261"/>
      <c r="I44" s="261"/>
      <c r="J44" s="261"/>
      <c r="K44" s="261"/>
      <c r="L44" s="261"/>
      <c r="M44" s="261"/>
      <c r="N44" s="261"/>
      <c r="O44" s="261"/>
      <c r="P44" s="261"/>
      <c r="Q44" s="261"/>
      <c r="R44" s="261"/>
      <c r="S44" s="261"/>
      <c r="T44" s="261"/>
      <c r="U44" s="261"/>
      <c r="V44" s="261"/>
      <c r="W44" s="261"/>
      <c r="X44" s="165"/>
      <c r="Y44" s="244"/>
      <c r="Z44" s="244"/>
      <c r="AA44" s="244"/>
      <c r="AB44" s="968"/>
      <c r="AC44" s="244"/>
      <c r="AD44" s="968"/>
      <c r="AE44" s="244"/>
      <c r="AF44" s="969"/>
    </row>
    <row r="45" spans="2:43">
      <c r="B45" s="172"/>
      <c r="C45" s="172"/>
      <c r="D45" s="1004"/>
      <c r="E45" s="1004"/>
      <c r="F45" s="1004"/>
      <c r="G45" s="1004"/>
      <c r="H45" s="1004"/>
      <c r="I45" s="1004"/>
      <c r="J45" s="1004"/>
      <c r="K45" s="1004"/>
      <c r="L45" s="1004"/>
      <c r="M45" s="1004"/>
      <c r="N45" s="1004"/>
      <c r="O45" s="1004"/>
      <c r="P45" s="1004"/>
      <c r="Q45" s="1004"/>
      <c r="R45" s="1004"/>
      <c r="S45" s="1004"/>
      <c r="T45" s="1004"/>
      <c r="U45" s="1004"/>
      <c r="V45" s="1004"/>
      <c r="W45" s="1004"/>
      <c r="X45" s="931"/>
      <c r="Y45" s="931"/>
      <c r="Z45" s="931"/>
      <c r="AA45" s="931"/>
      <c r="AB45" s="1002"/>
      <c r="AC45" s="931"/>
      <c r="AD45" s="1002"/>
      <c r="AE45" s="931"/>
      <c r="AF45" s="1005"/>
      <c r="AG45" s="1005"/>
      <c r="AH45" s="1005"/>
      <c r="AI45" s="1005"/>
      <c r="AJ45" s="1005"/>
      <c r="AK45" s="1005"/>
      <c r="AL45" s="1005"/>
      <c r="AM45" s="1005"/>
      <c r="AN45" s="1005"/>
      <c r="AO45" s="1005"/>
      <c r="AP45" s="1005"/>
      <c r="AQ45" s="1005"/>
    </row>
    <row r="46" spans="2:43" s="167" customFormat="1">
      <c r="O46" s="197"/>
      <c r="P46" s="198"/>
      <c r="Q46" s="199"/>
      <c r="R46" s="198"/>
      <c r="S46" s="198"/>
      <c r="T46" s="198"/>
      <c r="U46" s="198"/>
      <c r="V46" s="198"/>
      <c r="W46" s="198"/>
      <c r="X46" s="196"/>
      <c r="Y46" s="196"/>
      <c r="Z46" s="196"/>
      <c r="AA46" s="196"/>
      <c r="AB46" s="1006"/>
      <c r="AC46" s="196"/>
      <c r="AD46" s="1006"/>
      <c r="AE46" s="196"/>
      <c r="AF46" s="749"/>
      <c r="AG46" s="245"/>
      <c r="AH46" s="245"/>
      <c r="AI46" s="245"/>
      <c r="AJ46" s="245"/>
    </row>
    <row r="47" spans="2:43" s="167" customFormat="1" ht="27.75" customHeight="1">
      <c r="B47" s="1922" t="s">
        <v>276</v>
      </c>
      <c r="C47" s="1923"/>
      <c r="D47" s="1923"/>
      <c r="E47" s="1923"/>
      <c r="F47" s="1923"/>
      <c r="G47" s="1923"/>
      <c r="H47" s="1923"/>
      <c r="I47" s="1923"/>
      <c r="J47" s="1923"/>
      <c r="K47" s="1923"/>
      <c r="L47" s="1923"/>
      <c r="M47" s="1923"/>
      <c r="N47" s="1923"/>
      <c r="O47" s="1923"/>
      <c r="P47" s="1923"/>
      <c r="Q47" s="1923"/>
      <c r="R47" s="1923"/>
      <c r="S47" s="1923"/>
      <c r="T47" s="1923"/>
      <c r="U47" s="1923"/>
      <c r="V47" s="1923"/>
      <c r="W47" s="1923"/>
      <c r="X47" s="1923"/>
      <c r="Y47" s="1923"/>
      <c r="Z47" s="1923"/>
      <c r="AA47" s="1923"/>
      <c r="AB47" s="1923"/>
      <c r="AC47" s="1923"/>
      <c r="AD47" s="1923"/>
      <c r="AE47" s="1925"/>
      <c r="AF47" s="1925"/>
      <c r="AG47" s="1925"/>
      <c r="AH47" s="1925"/>
      <c r="AI47" s="1925"/>
      <c r="AJ47" s="1925"/>
      <c r="AK47" s="1925"/>
      <c r="AL47" s="1925"/>
      <c r="AM47" s="1925"/>
      <c r="AN47" s="1925"/>
      <c r="AO47" s="1925"/>
      <c r="AP47" s="1925"/>
      <c r="AQ47" s="1925"/>
    </row>
    <row r="48" spans="2:43" s="167" customFormat="1" ht="15">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25"/>
      <c r="AB48" s="1925"/>
      <c r="AC48" s="1925"/>
      <c r="AD48" s="1925"/>
      <c r="AE48" s="829"/>
      <c r="AF48" s="829"/>
      <c r="AG48" s="245"/>
      <c r="AH48" s="245"/>
      <c r="AI48" s="245"/>
      <c r="AJ48" s="245"/>
    </row>
    <row r="49" spans="2:43" s="167" customFormat="1" ht="6" hidden="1" customHeight="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925"/>
      <c r="AB49" s="1925"/>
      <c r="AC49" s="1925"/>
      <c r="AD49" s="1925"/>
      <c r="AE49" s="829"/>
      <c r="AF49" s="829"/>
      <c r="AG49" s="245"/>
      <c r="AH49" s="245"/>
      <c r="AI49" s="245"/>
      <c r="AJ49" s="245"/>
    </row>
    <row r="50" spans="2:43" s="167" customFormat="1" ht="6" hidden="1" customHeight="1">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829"/>
      <c r="AB50" s="829"/>
      <c r="AC50" s="829"/>
      <c r="AD50" s="829"/>
      <c r="AE50" s="829"/>
      <c r="AF50" s="829"/>
      <c r="AG50" s="245"/>
      <c r="AH50" s="245"/>
      <c r="AI50" s="245"/>
      <c r="AJ50" s="245"/>
    </row>
    <row r="51" spans="2:43" s="167" customFormat="1" ht="6" hidden="1" customHeight="1">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829"/>
      <c r="AB51" s="829"/>
      <c r="AC51" s="829"/>
      <c r="AD51" s="829"/>
      <c r="AE51" s="829"/>
      <c r="AF51" s="829"/>
      <c r="AG51" s="245"/>
      <c r="AH51" s="245"/>
      <c r="AI51" s="245"/>
      <c r="AJ51" s="245"/>
    </row>
    <row r="52" spans="2:43" s="167" customFormat="1" ht="6" hidden="1" customHeight="1">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829"/>
      <c r="AB52" s="829"/>
      <c r="AC52" s="829"/>
      <c r="AD52" s="829"/>
      <c r="AE52" s="829"/>
      <c r="AF52" s="829"/>
      <c r="AG52" s="245"/>
      <c r="AH52" s="245"/>
      <c r="AI52" s="245"/>
      <c r="AJ52" s="245"/>
    </row>
    <row r="53" spans="2:43" s="167" customFormat="1" ht="6" hidden="1" customHeight="1">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829"/>
      <c r="AB53" s="829"/>
      <c r="AC53" s="829"/>
      <c r="AD53" s="829"/>
      <c r="AE53" s="829"/>
      <c r="AF53" s="829"/>
      <c r="AG53" s="245"/>
      <c r="AH53" s="245"/>
      <c r="AI53" s="245"/>
      <c r="AJ53" s="245"/>
    </row>
    <row r="54" spans="2:43" s="167" customFormat="1" ht="6" hidden="1" customHeight="1">
      <c r="B54" s="266"/>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829"/>
      <c r="AB54" s="829"/>
      <c r="AC54" s="829"/>
      <c r="AD54" s="829"/>
      <c r="AE54" s="829"/>
      <c r="AF54" s="829"/>
      <c r="AG54" s="245"/>
      <c r="AH54" s="245"/>
      <c r="AI54" s="245"/>
      <c r="AJ54" s="245"/>
    </row>
    <row r="55" spans="2:43" s="167" customFormat="1" ht="6" hidden="1" customHeight="1">
      <c r="B55" s="1920"/>
      <c r="C55" s="1921"/>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96"/>
      <c r="AB55" s="1006"/>
      <c r="AC55" s="196"/>
      <c r="AD55" s="1006"/>
      <c r="AE55" s="196"/>
      <c r="AF55" s="749"/>
      <c r="AG55" s="245"/>
      <c r="AH55" s="245"/>
      <c r="AI55" s="245"/>
      <c r="AJ55" s="245"/>
    </row>
    <row r="56" spans="2:43" s="167" customFormat="1" ht="6" hidden="1" customHeight="1">
      <c r="B56" s="165"/>
      <c r="O56" s="197"/>
      <c r="P56" s="198"/>
      <c r="Q56" s="199"/>
      <c r="R56" s="198"/>
      <c r="S56" s="198"/>
      <c r="T56" s="198"/>
      <c r="U56" s="198"/>
      <c r="V56" s="198"/>
      <c r="W56" s="198"/>
      <c r="X56" s="196"/>
      <c r="Y56" s="196"/>
      <c r="Z56" s="196"/>
      <c r="AA56" s="196"/>
      <c r="AB56" s="1006"/>
      <c r="AC56" s="196"/>
      <c r="AD56" s="1006"/>
      <c r="AE56" s="196"/>
      <c r="AF56" s="749"/>
      <c r="AG56" s="245"/>
      <c r="AH56" s="245"/>
      <c r="AI56" s="245"/>
      <c r="AJ56" s="245"/>
    </row>
    <row r="57" spans="2:43" s="167" customFormat="1" ht="6" hidden="1" customHeight="1">
      <c r="B57" s="165"/>
      <c r="O57" s="197"/>
      <c r="P57" s="198"/>
      <c r="Q57" s="199"/>
      <c r="R57" s="198"/>
      <c r="S57" s="198"/>
      <c r="T57" s="198"/>
      <c r="U57" s="198"/>
      <c r="V57" s="198"/>
      <c r="W57" s="198"/>
      <c r="X57" s="196"/>
      <c r="Y57" s="196"/>
      <c r="Z57" s="196"/>
      <c r="AA57" s="196"/>
      <c r="AB57" s="1006"/>
      <c r="AC57" s="196"/>
      <c r="AD57" s="1006"/>
      <c r="AE57" s="196"/>
      <c r="AF57" s="749"/>
      <c r="AG57" s="245"/>
      <c r="AH57" s="245"/>
      <c r="AI57" s="245"/>
      <c r="AJ57" s="245"/>
    </row>
    <row r="58" spans="2:43" s="167" customFormat="1" ht="6" hidden="1" customHeight="1">
      <c r="B58" s="165"/>
      <c r="O58" s="197"/>
      <c r="P58" s="198"/>
      <c r="Q58" s="199"/>
      <c r="R58" s="198"/>
      <c r="S58" s="198"/>
      <c r="T58" s="198"/>
      <c r="U58" s="198"/>
      <c r="V58" s="198"/>
      <c r="W58" s="198"/>
      <c r="X58" s="196"/>
      <c r="Y58" s="196"/>
      <c r="Z58" s="196"/>
      <c r="AA58" s="196"/>
      <c r="AB58" s="1006"/>
      <c r="AC58" s="196"/>
      <c r="AD58" s="1006"/>
      <c r="AE58" s="196"/>
      <c r="AF58" s="749"/>
      <c r="AG58" s="245"/>
      <c r="AH58" s="245"/>
      <c r="AI58" s="245"/>
      <c r="AJ58" s="245"/>
    </row>
    <row r="59" spans="2:43" s="167" customFormat="1" ht="12" customHeight="1">
      <c r="B59" s="165"/>
      <c r="O59" s="197"/>
      <c r="P59" s="198"/>
      <c r="Q59" s="199"/>
      <c r="R59" s="198"/>
      <c r="S59" s="198"/>
      <c r="T59" s="198"/>
      <c r="U59" s="198"/>
      <c r="V59" s="198"/>
      <c r="W59" s="198"/>
      <c r="X59" s="196"/>
      <c r="Y59" s="196"/>
      <c r="Z59" s="196"/>
      <c r="AA59" s="196"/>
      <c r="AB59" s="1006"/>
      <c r="AC59" s="196"/>
      <c r="AD59" s="1006"/>
      <c r="AE59" s="196"/>
      <c r="AF59" s="749"/>
      <c r="AG59" s="245"/>
      <c r="AH59" s="245"/>
      <c r="AI59" s="245"/>
      <c r="AJ59" s="245"/>
    </row>
    <row r="60" spans="2:43" s="167" customFormat="1"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945"/>
      <c r="AC60" s="171"/>
      <c r="AD60" s="945"/>
      <c r="AE60" s="171"/>
      <c r="AF60" s="971"/>
      <c r="AG60" s="245"/>
      <c r="AH60" s="245"/>
      <c r="AI60" s="245"/>
      <c r="AJ60" s="245"/>
    </row>
    <row r="61" spans="2:43" s="167" customFormat="1" outlineLevel="1">
      <c r="B61" s="190" t="s">
        <v>27</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007"/>
      <c r="AC61" s="191"/>
      <c r="AD61" s="1007"/>
      <c r="AE61" s="191"/>
      <c r="AF61" s="245"/>
      <c r="AG61" s="245"/>
      <c r="AH61" s="245"/>
      <c r="AI61" s="245"/>
      <c r="AJ61" s="245"/>
    </row>
    <row r="62" spans="2:43" s="167" customFormat="1"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006"/>
      <c r="AC62" s="196"/>
      <c r="AD62" s="1006"/>
      <c r="AE62" s="196"/>
      <c r="AF62" s="749"/>
      <c r="AG62" s="245"/>
      <c r="AH62" s="245"/>
      <c r="AI62" s="245"/>
      <c r="AJ62" s="245"/>
    </row>
    <row r="63" spans="2:43" s="167" customFormat="1" outlineLevel="1">
      <c r="B63" s="165" t="s">
        <v>1653</v>
      </c>
      <c r="C63" s="165"/>
      <c r="D63" s="165"/>
      <c r="O63" s="197"/>
      <c r="P63" s="198"/>
      <c r="Q63" s="199"/>
      <c r="R63" s="198"/>
      <c r="S63" s="198"/>
      <c r="T63" s="198"/>
      <c r="U63" s="198"/>
      <c r="V63" s="198"/>
      <c r="W63" s="198"/>
      <c r="X63" s="200">
        <v>2001</v>
      </c>
      <c r="Y63" s="201"/>
      <c r="Z63" s="202">
        <v>2003</v>
      </c>
      <c r="AA63" s="201"/>
      <c r="AB63" s="174">
        <v>2005</v>
      </c>
      <c r="AC63" s="201"/>
      <c r="AD63" s="174">
        <v>2007</v>
      </c>
      <c r="AE63" s="201"/>
      <c r="AF63" s="967">
        <v>2009</v>
      </c>
      <c r="AG63" s="967">
        <v>2010</v>
      </c>
      <c r="AH63" s="967">
        <v>2011</v>
      </c>
      <c r="AI63" s="967">
        <v>2012</v>
      </c>
      <c r="AJ63" s="967">
        <v>2013</v>
      </c>
      <c r="AK63" s="967">
        <v>2014</v>
      </c>
      <c r="AL63" s="967">
        <v>2015</v>
      </c>
      <c r="AM63" s="967">
        <v>2016</v>
      </c>
      <c r="AN63" s="967">
        <v>2017</v>
      </c>
      <c r="AO63" s="967">
        <v>2018</v>
      </c>
      <c r="AP63" s="967">
        <v>2019</v>
      </c>
      <c r="AQ63" s="967">
        <v>2020</v>
      </c>
    </row>
    <row r="64" spans="2:43" s="167" customFormat="1" outlineLevel="1">
      <c r="B64" s="165" t="s">
        <v>1654</v>
      </c>
      <c r="C64" s="165"/>
      <c r="D64" s="165"/>
      <c r="O64" s="197"/>
      <c r="P64" s="198"/>
      <c r="Q64" s="199"/>
      <c r="R64" s="198"/>
      <c r="S64" s="198"/>
      <c r="T64" s="198"/>
      <c r="U64" s="198"/>
      <c r="V64" s="198"/>
      <c r="W64" s="198"/>
      <c r="X64" s="75"/>
      <c r="Y64" s="203"/>
      <c r="Z64" s="75"/>
      <c r="AA64" s="203"/>
      <c r="AB64" s="946"/>
      <c r="AC64" s="203"/>
      <c r="AD64" s="946"/>
      <c r="AE64" s="75"/>
      <c r="AF64" s="547"/>
      <c r="AG64" s="547"/>
      <c r="AH64" s="547"/>
      <c r="AI64" s="245"/>
      <c r="AJ64" s="245"/>
    </row>
    <row r="65" spans="2:45" s="167" customFormat="1" outlineLevel="1">
      <c r="B65" s="268" t="s">
        <v>28</v>
      </c>
      <c r="C65" s="165" t="s">
        <v>29</v>
      </c>
      <c r="D65" s="165"/>
      <c r="O65" s="197"/>
      <c r="P65" s="198"/>
      <c r="Q65" s="199"/>
      <c r="R65" s="198"/>
      <c r="S65" s="198"/>
      <c r="T65" s="198"/>
      <c r="U65" s="198"/>
      <c r="V65" s="198"/>
      <c r="W65" s="198"/>
      <c r="X65" s="970">
        <v>138526</v>
      </c>
      <c r="Y65" s="970">
        <v>140825.9</v>
      </c>
      <c r="Z65" s="970">
        <v>143956.1</v>
      </c>
      <c r="AA65" s="970">
        <v>149126.9</v>
      </c>
      <c r="AB65" s="970">
        <v>155602.70000000001</v>
      </c>
      <c r="AC65" s="970">
        <v>162732.4</v>
      </c>
      <c r="AD65" s="970">
        <v>170591.9</v>
      </c>
      <c r="AE65" s="970">
        <v>178419.20000000001</v>
      </c>
      <c r="AF65" s="970">
        <v>177992.9</v>
      </c>
      <c r="AG65" s="970">
        <v>186792.3</v>
      </c>
      <c r="AH65" s="970">
        <v>193783.7</v>
      </c>
      <c r="AI65" s="970">
        <v>200593.7</v>
      </c>
      <c r="AJ65" s="970">
        <v>206109.5</v>
      </c>
      <c r="AK65" s="970">
        <v>208800.5</v>
      </c>
      <c r="AL65" s="970">
        <v>213930.1</v>
      </c>
      <c r="AM65" s="970">
        <v>220597.4</v>
      </c>
      <c r="AN65" s="970">
        <v>229076.8</v>
      </c>
      <c r="AO65" s="970">
        <v>238209.4</v>
      </c>
      <c r="AP65" s="970">
        <v>245798.39999999999</v>
      </c>
      <c r="AQ65" s="970">
        <v>226961</v>
      </c>
      <c r="AR65" s="75"/>
      <c r="AS65" s="166"/>
    </row>
    <row r="66" spans="2:45" s="167" customFormat="1" ht="5.0999999999999996" customHeight="1" outlineLevel="1">
      <c r="B66" s="165"/>
      <c r="C66" s="165"/>
      <c r="D66" s="165"/>
      <c r="O66" s="197"/>
      <c r="P66" s="198"/>
      <c r="Q66" s="199"/>
      <c r="R66" s="198"/>
      <c r="S66" s="198"/>
      <c r="T66" s="198"/>
      <c r="U66" s="198"/>
      <c r="V66" s="198"/>
      <c r="W66" s="198"/>
      <c r="X66" s="970"/>
      <c r="Y66" s="970"/>
      <c r="Z66" s="970"/>
      <c r="AA66" s="970"/>
      <c r="AB66" s="970"/>
      <c r="AC66" s="970"/>
      <c r="AD66" s="970"/>
      <c r="AE66" s="970"/>
      <c r="AF66" s="970"/>
      <c r="AG66" s="970"/>
      <c r="AH66" s="970"/>
      <c r="AI66" s="970"/>
      <c r="AJ66" s="970"/>
      <c r="AK66" s="970"/>
      <c r="AL66" s="970"/>
      <c r="AM66" s="970"/>
      <c r="AN66" s="970"/>
      <c r="AO66" s="970"/>
      <c r="AP66" s="970"/>
      <c r="AQ66" s="970"/>
      <c r="AR66" s="75"/>
      <c r="AS66" s="166"/>
    </row>
    <row r="67" spans="2:45" s="167" customFormat="1" outlineLevel="1">
      <c r="B67" s="268" t="s">
        <v>30</v>
      </c>
      <c r="C67" s="165" t="s">
        <v>31</v>
      </c>
      <c r="D67" s="165"/>
      <c r="O67" s="197"/>
      <c r="P67" s="198"/>
      <c r="Q67" s="199"/>
      <c r="R67" s="198"/>
      <c r="S67" s="198"/>
      <c r="T67" s="198"/>
      <c r="U67" s="198"/>
      <c r="V67" s="198"/>
      <c r="W67" s="198"/>
      <c r="X67" s="970">
        <v>164760.29999999999</v>
      </c>
      <c r="Y67" s="970">
        <v>169000.90000000002</v>
      </c>
      <c r="Z67" s="970">
        <v>173529.60000000001</v>
      </c>
      <c r="AA67" s="970">
        <v>180350.19999999998</v>
      </c>
      <c r="AB67" s="970">
        <v>187632.40000000002</v>
      </c>
      <c r="AC67" s="970">
        <v>196024</v>
      </c>
      <c r="AD67" s="970">
        <v>205200.1</v>
      </c>
      <c r="AE67" s="970">
        <v>216204.30000000002</v>
      </c>
      <c r="AF67" s="970">
        <v>217834.4</v>
      </c>
      <c r="AG67" s="970">
        <v>227676.99999999994</v>
      </c>
      <c r="AH67" s="970">
        <v>237033.10000000003</v>
      </c>
      <c r="AI67" s="970">
        <v>245296.89999999997</v>
      </c>
      <c r="AJ67" s="970">
        <v>250935.3</v>
      </c>
      <c r="AK67" s="970">
        <v>254290.30000000002</v>
      </c>
      <c r="AL67" s="970">
        <v>260004.2</v>
      </c>
      <c r="AM67" s="970">
        <v>267024.59999999998</v>
      </c>
      <c r="AN67" s="970">
        <v>276272.8</v>
      </c>
      <c r="AO67" s="970">
        <v>287642.3</v>
      </c>
      <c r="AP67" s="970">
        <v>296999.59999999998</v>
      </c>
      <c r="AQ67" s="970">
        <v>279724.3</v>
      </c>
      <c r="AR67" s="75"/>
      <c r="AS67" s="166"/>
    </row>
    <row r="68" spans="2:45" s="167" customFormat="1" ht="5.0999999999999996" customHeight="1" outlineLevel="1">
      <c r="B68" s="165"/>
      <c r="C68" s="165"/>
      <c r="D68" s="165"/>
      <c r="O68" s="197"/>
      <c r="P68" s="198"/>
      <c r="Q68" s="199"/>
      <c r="R68" s="198"/>
      <c r="S68" s="198"/>
      <c r="T68" s="198"/>
      <c r="U68" s="198"/>
      <c r="V68" s="198"/>
      <c r="W68" s="198"/>
      <c r="X68" s="946"/>
      <c r="Y68" s="946"/>
      <c r="Z68" s="946"/>
      <c r="AA68" s="946"/>
      <c r="AB68" s="946"/>
      <c r="AC68" s="946"/>
      <c r="AD68" s="946"/>
      <c r="AE68" s="946"/>
      <c r="AF68" s="946"/>
      <c r="AG68" s="946"/>
      <c r="AH68" s="946"/>
      <c r="AI68" s="946"/>
      <c r="AJ68" s="946"/>
      <c r="AK68" s="946"/>
      <c r="AL68" s="946"/>
      <c r="AM68" s="946"/>
      <c r="AN68" s="946"/>
      <c r="AO68" s="946"/>
      <c r="AP68" s="946"/>
      <c r="AQ68" s="946"/>
      <c r="AR68" s="75"/>
      <c r="AS68" s="75"/>
    </row>
    <row r="69" spans="2:45" s="167" customFormat="1" outlineLevel="1">
      <c r="B69" s="268" t="s">
        <v>32</v>
      </c>
      <c r="C69" s="165" t="s">
        <v>33</v>
      </c>
      <c r="D69" s="165"/>
      <c r="O69" s="197"/>
      <c r="P69" s="198"/>
      <c r="Q69" s="199"/>
      <c r="R69" s="198"/>
      <c r="S69" s="198"/>
      <c r="T69" s="198"/>
      <c r="U69" s="198"/>
      <c r="V69" s="198"/>
      <c r="W69" s="198"/>
      <c r="X69" s="970">
        <f>SUM(X71:X72)</f>
        <v>23484</v>
      </c>
      <c r="Y69" s="970">
        <f t="shared" ref="Y69:AF69" si="16">SUM(Y71:Y72)</f>
        <v>24693.1</v>
      </c>
      <c r="Z69" s="970">
        <f t="shared" si="16"/>
        <v>25141.5</v>
      </c>
      <c r="AA69" s="970">
        <f t="shared" si="16"/>
        <v>27259.1</v>
      </c>
      <c r="AB69" s="970">
        <f t="shared" si="16"/>
        <v>28842</v>
      </c>
      <c r="AC69" s="970">
        <f t="shared" si="16"/>
        <v>29948.7</v>
      </c>
      <c r="AD69" s="970">
        <f t="shared" si="16"/>
        <v>31502</v>
      </c>
      <c r="AE69" s="970">
        <f t="shared" si="16"/>
        <v>31588.5</v>
      </c>
      <c r="AF69" s="970">
        <f t="shared" si="16"/>
        <v>31094.1</v>
      </c>
      <c r="AG69" s="970">
        <f>SUM(AG71:AG72)</f>
        <v>33297.5</v>
      </c>
      <c r="AH69" s="970">
        <f>SUM(AH71:AH72)</f>
        <v>34106.9</v>
      </c>
      <c r="AI69" s="970">
        <f>SUM(AI71:AI72)</f>
        <v>35017.4</v>
      </c>
      <c r="AJ69" s="970">
        <f>SUM(AJ71:AJ72)</f>
        <v>35526.9</v>
      </c>
      <c r="AK69" s="970">
        <f>SUM(AK71:AK72)</f>
        <v>35954.899999999994</v>
      </c>
      <c r="AL69" s="970">
        <f t="shared" ref="AL69:AQ69" si="17">SUM(AL71:AL72)</f>
        <v>36462.1</v>
      </c>
      <c r="AM69" s="970">
        <f t="shared" si="17"/>
        <v>38426.700000000004</v>
      </c>
      <c r="AN69" s="970">
        <f t="shared" si="17"/>
        <v>39863.300000000003</v>
      </c>
      <c r="AO69" s="970">
        <f t="shared" si="17"/>
        <v>41412.5</v>
      </c>
      <c r="AP69" s="970">
        <f t="shared" si="17"/>
        <v>42073.200000000004</v>
      </c>
      <c r="AQ69" s="970">
        <f t="shared" si="17"/>
        <v>38315.1</v>
      </c>
      <c r="AR69" s="75"/>
      <c r="AS69" s="166"/>
    </row>
    <row r="70" spans="2:45" s="167" customFormat="1" ht="5.0999999999999996" customHeight="1" outlineLevel="1">
      <c r="B70" s="165"/>
      <c r="C70" s="165"/>
      <c r="D70" s="165"/>
      <c r="O70" s="197"/>
      <c r="P70" s="198"/>
      <c r="Q70" s="199"/>
      <c r="R70" s="198"/>
      <c r="S70" s="198"/>
      <c r="T70" s="198"/>
      <c r="U70" s="198"/>
      <c r="V70" s="198"/>
      <c r="W70" s="198"/>
      <c r="X70" s="946"/>
      <c r="Y70" s="946"/>
      <c r="Z70" s="946"/>
      <c r="AA70" s="946"/>
      <c r="AB70" s="946"/>
      <c r="AC70" s="946"/>
      <c r="AD70" s="946"/>
      <c r="AE70" s="946"/>
      <c r="AF70" s="946"/>
      <c r="AG70" s="946"/>
      <c r="AH70" s="946"/>
      <c r="AI70" s="946"/>
      <c r="AJ70" s="946"/>
      <c r="AK70" s="946"/>
      <c r="AL70" s="946"/>
      <c r="AM70" s="946"/>
      <c r="AN70" s="946"/>
      <c r="AO70" s="946"/>
      <c r="AP70" s="946"/>
      <c r="AQ70" s="946"/>
      <c r="AR70" s="75"/>
      <c r="AS70" s="75"/>
    </row>
    <row r="71" spans="2:45" s="167" customFormat="1" outlineLevel="1">
      <c r="B71" s="165"/>
      <c r="C71" s="165" t="s">
        <v>34</v>
      </c>
      <c r="D71" s="165"/>
      <c r="O71" s="197"/>
      <c r="P71" s="198"/>
      <c r="Q71" s="199"/>
      <c r="R71" s="198"/>
      <c r="S71" s="198"/>
      <c r="T71" s="198"/>
      <c r="U71" s="198"/>
      <c r="V71" s="198"/>
      <c r="W71" s="198"/>
      <c r="X71" s="970">
        <v>17851.8</v>
      </c>
      <c r="Y71" s="970">
        <v>18763</v>
      </c>
      <c r="Z71" s="970">
        <v>18893</v>
      </c>
      <c r="AA71" s="970">
        <v>20416.899999999998</v>
      </c>
      <c r="AB71" s="970">
        <v>21712.3</v>
      </c>
      <c r="AC71" s="970">
        <v>22856.5</v>
      </c>
      <c r="AD71" s="970">
        <v>24135.3</v>
      </c>
      <c r="AE71" s="970">
        <v>24338.400000000001</v>
      </c>
      <c r="AF71" s="970">
        <v>23808.1</v>
      </c>
      <c r="AG71" s="970">
        <v>25514.9</v>
      </c>
      <c r="AH71" s="970">
        <v>26257</v>
      </c>
      <c r="AI71" s="970">
        <v>27070.3</v>
      </c>
      <c r="AJ71" s="970">
        <v>27490.5</v>
      </c>
      <c r="AK71" s="970">
        <v>27742.899999999998</v>
      </c>
      <c r="AL71" s="970">
        <v>27812.7</v>
      </c>
      <c r="AM71" s="970">
        <v>28984.9</v>
      </c>
      <c r="AN71" s="970">
        <v>29957</v>
      </c>
      <c r="AO71" s="970">
        <v>31283.3</v>
      </c>
      <c r="AP71" s="970">
        <v>32083.100000000002</v>
      </c>
      <c r="AQ71" s="970">
        <v>29308.1</v>
      </c>
      <c r="AR71" s="75"/>
      <c r="AS71" s="166"/>
    </row>
    <row r="72" spans="2:45" s="167" customFormat="1" outlineLevel="1">
      <c r="B72" s="165"/>
      <c r="C72" s="165" t="s">
        <v>35</v>
      </c>
      <c r="D72" s="165"/>
      <c r="O72" s="197"/>
      <c r="P72" s="198"/>
      <c r="Q72" s="199"/>
      <c r="R72" s="198"/>
      <c r="S72" s="198"/>
      <c r="T72" s="198"/>
      <c r="U72" s="198"/>
      <c r="V72" s="198"/>
      <c r="W72" s="198"/>
      <c r="X72" s="970">
        <v>5632.2</v>
      </c>
      <c r="Y72" s="970">
        <v>5930.1</v>
      </c>
      <c r="Z72" s="970">
        <v>6248.5</v>
      </c>
      <c r="AA72" s="970">
        <v>6842.2</v>
      </c>
      <c r="AB72" s="970">
        <v>7129.7</v>
      </c>
      <c r="AC72" s="970">
        <v>7092.2</v>
      </c>
      <c r="AD72" s="970">
        <v>7366.7</v>
      </c>
      <c r="AE72" s="970">
        <v>7250.0999999999995</v>
      </c>
      <c r="AF72" s="970">
        <v>7286</v>
      </c>
      <c r="AG72" s="970">
        <v>7782.6</v>
      </c>
      <c r="AH72" s="970">
        <v>7849.9</v>
      </c>
      <c r="AI72" s="970">
        <v>7947.0999999999995</v>
      </c>
      <c r="AJ72" s="970">
        <v>8036.4000000000005</v>
      </c>
      <c r="AK72" s="970">
        <v>8212</v>
      </c>
      <c r="AL72" s="970">
        <v>8649.4</v>
      </c>
      <c r="AM72" s="970">
        <v>9441.8000000000011</v>
      </c>
      <c r="AN72" s="970">
        <v>9906.2999999999993</v>
      </c>
      <c r="AO72" s="970">
        <v>10129.200000000001</v>
      </c>
      <c r="AP72" s="970">
        <v>9990.1</v>
      </c>
      <c r="AQ72" s="970">
        <v>9007</v>
      </c>
      <c r="AR72" s="75"/>
      <c r="AS72" s="166"/>
    </row>
    <row r="73" spans="2:45" s="167" customFormat="1" ht="5.0999999999999996" customHeight="1" outlineLevel="1">
      <c r="B73" s="165"/>
      <c r="C73" s="165"/>
      <c r="D73" s="165"/>
      <c r="O73" s="197"/>
      <c r="P73" s="198"/>
      <c r="Q73" s="199"/>
      <c r="R73" s="198"/>
      <c r="S73" s="198"/>
      <c r="T73" s="198"/>
      <c r="U73" s="198"/>
      <c r="V73" s="198"/>
      <c r="W73" s="198"/>
      <c r="X73" s="970"/>
      <c r="Y73" s="970"/>
      <c r="Z73" s="970"/>
      <c r="AA73" s="970"/>
      <c r="AB73" s="970"/>
      <c r="AC73" s="970"/>
      <c r="AD73" s="970"/>
      <c r="AE73" s="970"/>
      <c r="AF73" s="970"/>
      <c r="AG73" s="970"/>
      <c r="AH73" s="970"/>
      <c r="AI73" s="970"/>
      <c r="AJ73" s="970"/>
      <c r="AK73" s="970"/>
      <c r="AL73" s="970"/>
      <c r="AM73" s="970"/>
      <c r="AN73" s="970"/>
      <c r="AO73" s="970"/>
      <c r="AP73" s="970"/>
      <c r="AQ73" s="970"/>
      <c r="AR73" s="75"/>
      <c r="AS73" s="166"/>
    </row>
    <row r="74" spans="2:45" s="167" customFormat="1" outlineLevel="1">
      <c r="B74" s="268" t="s">
        <v>36</v>
      </c>
      <c r="C74" s="165" t="s">
        <v>37</v>
      </c>
      <c r="D74" s="165"/>
      <c r="O74" s="197"/>
      <c r="P74" s="198"/>
      <c r="Q74" s="199"/>
      <c r="R74" s="198"/>
      <c r="S74" s="198"/>
      <c r="T74" s="198"/>
      <c r="U74" s="198"/>
      <c r="V74" s="198"/>
      <c r="W74" s="198"/>
      <c r="X74" s="970">
        <v>26574.5</v>
      </c>
      <c r="Y74" s="970">
        <v>27901</v>
      </c>
      <c r="Z74" s="970">
        <v>28688</v>
      </c>
      <c r="AA74" s="970">
        <v>30923.300000000003</v>
      </c>
      <c r="AB74" s="970">
        <v>32563.3</v>
      </c>
      <c r="AC74" s="970">
        <v>34109.800000000003</v>
      </c>
      <c r="AD74" s="970">
        <v>35815.300000000003</v>
      </c>
      <c r="AE74" s="970">
        <v>36492.400000000001</v>
      </c>
      <c r="AF74" s="970">
        <v>35696.399999999994</v>
      </c>
      <c r="AG74" s="970">
        <v>38278.9</v>
      </c>
      <c r="AH74" s="970">
        <v>39321.1</v>
      </c>
      <c r="AI74" s="970">
        <v>41681.600000000006</v>
      </c>
      <c r="AJ74" s="970">
        <v>41599.200000000004</v>
      </c>
      <c r="AK74" s="970">
        <v>41952.2</v>
      </c>
      <c r="AL74" s="970">
        <v>42740.1</v>
      </c>
      <c r="AM74" s="970">
        <v>44720.3</v>
      </c>
      <c r="AN74" s="970">
        <v>46324.6</v>
      </c>
      <c r="AO74" s="970">
        <v>48238.6</v>
      </c>
      <c r="AP74" s="970">
        <v>49280.2</v>
      </c>
      <c r="AQ74" s="970">
        <v>45389.299999999996</v>
      </c>
      <c r="AR74" s="75"/>
      <c r="AS74" s="166"/>
    </row>
    <row r="75" spans="2:45" s="167" customFormat="1" ht="5.0999999999999996" customHeight="1" outlineLevel="1">
      <c r="B75" s="165"/>
      <c r="C75" s="165"/>
      <c r="D75" s="165"/>
      <c r="O75" s="197"/>
      <c r="P75" s="198"/>
      <c r="Q75" s="199"/>
      <c r="R75" s="198"/>
      <c r="S75" s="198"/>
      <c r="T75" s="198"/>
      <c r="U75" s="198"/>
      <c r="V75" s="198"/>
      <c r="W75" s="198"/>
      <c r="X75" s="970"/>
      <c r="Y75" s="970"/>
      <c r="Z75" s="970"/>
      <c r="AA75" s="970"/>
      <c r="AB75" s="970"/>
      <c r="AC75" s="970"/>
      <c r="AD75" s="970"/>
      <c r="AE75" s="970"/>
      <c r="AF75" s="970"/>
      <c r="AG75" s="970"/>
      <c r="AH75" s="970"/>
      <c r="AI75" s="970"/>
      <c r="AJ75" s="970"/>
      <c r="AK75" s="970"/>
      <c r="AL75" s="970"/>
      <c r="AM75" s="970"/>
      <c r="AN75" s="970"/>
      <c r="AO75" s="970"/>
      <c r="AP75" s="970"/>
      <c r="AQ75" s="970"/>
      <c r="AR75" s="75"/>
      <c r="AS75" s="166"/>
    </row>
    <row r="76" spans="2:45" s="167" customFormat="1" outlineLevel="1">
      <c r="B76" s="268" t="s">
        <v>38</v>
      </c>
      <c r="C76" s="165" t="s">
        <v>39</v>
      </c>
      <c r="D76" s="165"/>
      <c r="O76" s="197"/>
      <c r="P76" s="198"/>
      <c r="Q76" s="199"/>
      <c r="R76" s="198"/>
      <c r="S76" s="198"/>
      <c r="T76" s="198"/>
      <c r="U76" s="198"/>
      <c r="V76" s="198"/>
      <c r="W76" s="198"/>
      <c r="X76" s="970">
        <v>28841.8</v>
      </c>
      <c r="Y76" s="970">
        <v>30081</v>
      </c>
      <c r="Z76" s="970">
        <v>30837.800000000003</v>
      </c>
      <c r="AA76" s="970">
        <v>33142.800000000003</v>
      </c>
      <c r="AB76" s="970">
        <v>34860</v>
      </c>
      <c r="AC76" s="970">
        <v>36351.9</v>
      </c>
      <c r="AD76" s="970">
        <v>38185.800000000003</v>
      </c>
      <c r="AE76" s="970">
        <v>38811.5</v>
      </c>
      <c r="AF76" s="970">
        <v>38020.200000000004</v>
      </c>
      <c r="AG76" s="970">
        <v>40668.100000000006</v>
      </c>
      <c r="AH76" s="970">
        <v>41867.9</v>
      </c>
      <c r="AI76" s="970">
        <v>44119.9</v>
      </c>
      <c r="AJ76" s="970">
        <v>44029.299999999996</v>
      </c>
      <c r="AK76" s="970">
        <v>44414.400000000001</v>
      </c>
      <c r="AL76" s="970">
        <v>45231.7</v>
      </c>
      <c r="AM76" s="970">
        <v>47213</v>
      </c>
      <c r="AN76" s="970">
        <v>48884.700000000004</v>
      </c>
      <c r="AO76" s="970">
        <v>50871.4</v>
      </c>
      <c r="AP76" s="970">
        <v>52169.8</v>
      </c>
      <c r="AQ76" s="970">
        <v>48162</v>
      </c>
      <c r="AR76" s="75"/>
      <c r="AS76" s="166"/>
    </row>
    <row r="77" spans="2:45" s="167" customFormat="1" outlineLevel="1">
      <c r="B77" s="268"/>
      <c r="C77" s="165"/>
      <c r="D77" s="165"/>
      <c r="O77" s="197"/>
      <c r="P77" s="198"/>
      <c r="Q77" s="199"/>
      <c r="R77" s="198"/>
      <c r="S77" s="198"/>
      <c r="T77" s="198"/>
      <c r="U77" s="198"/>
      <c r="V77" s="198"/>
      <c r="W77" s="198"/>
      <c r="X77" s="970"/>
      <c r="Y77" s="970"/>
      <c r="Z77" s="970"/>
      <c r="AA77" s="970"/>
      <c r="AB77" s="970"/>
      <c r="AC77" s="970"/>
      <c r="AD77" s="970"/>
      <c r="AE77" s="970"/>
      <c r="AF77" s="970"/>
      <c r="AG77" s="970"/>
      <c r="AH77" s="970"/>
      <c r="AI77" s="970"/>
      <c r="AJ77" s="970"/>
      <c r="AK77" s="970"/>
      <c r="AL77" s="970"/>
      <c r="AM77" s="970"/>
      <c r="AN77" s="970"/>
      <c r="AO77" s="970"/>
      <c r="AP77" s="970"/>
      <c r="AQ77" s="970"/>
      <c r="AR77" s="75"/>
      <c r="AS77" s="166"/>
    </row>
    <row r="78" spans="2:45" s="167" customFormat="1" outlineLevel="1">
      <c r="B78" s="165" t="s">
        <v>40</v>
      </c>
      <c r="D78" s="165"/>
      <c r="O78" s="197"/>
      <c r="P78" s="198"/>
      <c r="Q78" s="199"/>
      <c r="R78" s="198"/>
      <c r="S78" s="198"/>
      <c r="T78" s="198"/>
      <c r="U78" s="198"/>
      <c r="V78" s="198"/>
      <c r="W78" s="198"/>
      <c r="X78" s="970"/>
      <c r="Y78" s="970"/>
      <c r="Z78" s="970"/>
      <c r="AA78" s="970"/>
      <c r="AB78" s="970"/>
      <c r="AC78" s="970"/>
      <c r="AD78" s="970"/>
      <c r="AE78" s="970"/>
      <c r="AF78" s="970"/>
      <c r="AG78" s="970"/>
      <c r="AH78" s="970"/>
      <c r="AI78" s="970"/>
      <c r="AJ78" s="970"/>
      <c r="AK78" s="970"/>
      <c r="AL78" s="970"/>
      <c r="AM78" s="970"/>
      <c r="AN78" s="970"/>
      <c r="AO78" s="970"/>
      <c r="AP78" s="970"/>
      <c r="AQ78" s="970"/>
      <c r="AR78" s="75"/>
      <c r="AS78" s="166"/>
    </row>
    <row r="79" spans="2:45" s="167" customFormat="1" ht="6" customHeight="1" outlineLevel="1">
      <c r="B79" s="165"/>
      <c r="C79" s="165"/>
      <c r="D79" s="165"/>
      <c r="O79" s="197"/>
      <c r="P79" s="198"/>
      <c r="Q79" s="199"/>
      <c r="R79" s="198"/>
      <c r="S79" s="198"/>
      <c r="T79" s="198"/>
      <c r="U79" s="198"/>
      <c r="V79" s="198"/>
      <c r="W79" s="198"/>
      <c r="X79" s="970"/>
      <c r="Y79" s="970"/>
      <c r="Z79" s="970"/>
      <c r="AA79" s="970"/>
      <c r="AB79" s="970"/>
      <c r="AC79" s="970"/>
      <c r="AD79" s="970"/>
      <c r="AE79" s="970"/>
      <c r="AF79" s="970"/>
      <c r="AG79" s="970"/>
      <c r="AH79" s="970"/>
      <c r="AI79" s="970"/>
      <c r="AJ79" s="970"/>
      <c r="AK79" s="970"/>
      <c r="AL79" s="970"/>
      <c r="AM79" s="970"/>
      <c r="AN79" s="970"/>
      <c r="AO79" s="970"/>
      <c r="AP79" s="970"/>
      <c r="AQ79" s="970"/>
      <c r="AR79" s="75"/>
      <c r="AS79" s="166"/>
    </row>
    <row r="80" spans="2:45" s="167" customFormat="1" outlineLevel="1">
      <c r="B80" s="269" t="s">
        <v>41</v>
      </c>
      <c r="C80" s="206" t="s">
        <v>42</v>
      </c>
      <c r="D80" s="206"/>
      <c r="O80" s="197"/>
      <c r="P80" s="198"/>
      <c r="Q80" s="199"/>
      <c r="R80" s="198"/>
      <c r="S80" s="198"/>
      <c r="T80" s="198"/>
      <c r="U80" s="198"/>
      <c r="V80" s="198"/>
      <c r="W80" s="198"/>
      <c r="X80" s="1008">
        <f>X69/X67</f>
        <v>0.14253433624483569</v>
      </c>
      <c r="Y80" s="1008">
        <f t="shared" ref="Y80:AF80" si="18">Y69/Y67</f>
        <v>0.14611223963896047</v>
      </c>
      <c r="Z80" s="1008">
        <f t="shared" si="18"/>
        <v>0.14488306317769417</v>
      </c>
      <c r="AA80" s="1008">
        <f t="shared" si="18"/>
        <v>0.15114538270542535</v>
      </c>
      <c r="AB80" s="1008">
        <f t="shared" si="18"/>
        <v>0.15371545639239276</v>
      </c>
      <c r="AC80" s="1008">
        <f t="shared" si="18"/>
        <v>0.15278078194506794</v>
      </c>
      <c r="AD80" s="1008">
        <f t="shared" si="18"/>
        <v>0.15351844370446213</v>
      </c>
      <c r="AE80" s="1008">
        <f t="shared" si="18"/>
        <v>0.14610486470435602</v>
      </c>
      <c r="AF80" s="1008">
        <f t="shared" si="18"/>
        <v>0.14274191771363934</v>
      </c>
      <c r="AG80" s="1008">
        <f>AG69/AG67</f>
        <v>0.14624885254109993</v>
      </c>
      <c r="AH80" s="1008">
        <f>AH69/AH67</f>
        <v>0.14389087431249051</v>
      </c>
      <c r="AI80" s="1008">
        <f>AI69/AI67</f>
        <v>0.14275516730949314</v>
      </c>
      <c r="AJ80" s="1008">
        <f>AJ69/AJ67</f>
        <v>0.14157792865332219</v>
      </c>
      <c r="AK80" s="1008">
        <f>AK69/AK67</f>
        <v>0.14139312431500531</v>
      </c>
      <c r="AL80" s="1008">
        <f t="shared" ref="AL80:AQ80" si="19">AL69/AL67</f>
        <v>0.14023658079369486</v>
      </c>
      <c r="AM80" s="1008">
        <f t="shared" si="19"/>
        <v>0.14390696587505425</v>
      </c>
      <c r="AN80" s="1008">
        <f t="shared" si="19"/>
        <v>0.14428962967038378</v>
      </c>
      <c r="AO80" s="1008">
        <f t="shared" si="19"/>
        <v>0.14397221827248635</v>
      </c>
      <c r="AP80" s="1008">
        <f t="shared" si="19"/>
        <v>0.14166079684955807</v>
      </c>
      <c r="AQ80" s="1008">
        <f t="shared" si="19"/>
        <v>0.13697451383379994</v>
      </c>
      <c r="AR80" s="171"/>
      <c r="AS80" s="207"/>
    </row>
    <row r="81" spans="2:45" s="167" customFormat="1" ht="5.0999999999999996" customHeight="1" outlineLevel="1">
      <c r="B81" s="165"/>
      <c r="C81" s="165"/>
      <c r="D81" s="165"/>
      <c r="O81" s="197"/>
      <c r="P81" s="198"/>
      <c r="Q81" s="199"/>
      <c r="R81" s="198"/>
      <c r="S81" s="198"/>
      <c r="T81" s="198"/>
      <c r="U81" s="198"/>
      <c r="V81" s="198"/>
      <c r="W81" s="198"/>
      <c r="X81" s="970"/>
      <c r="Y81" s="970"/>
      <c r="Z81" s="970"/>
      <c r="AA81" s="970"/>
      <c r="AB81" s="970"/>
      <c r="AC81" s="970"/>
      <c r="AD81" s="970"/>
      <c r="AE81" s="970"/>
      <c r="AF81" s="970"/>
      <c r="AG81" s="970"/>
      <c r="AH81" s="970"/>
      <c r="AI81" s="970"/>
      <c r="AJ81" s="970"/>
      <c r="AK81" s="970"/>
      <c r="AL81" s="970"/>
      <c r="AM81" s="970"/>
      <c r="AN81" s="970"/>
      <c r="AO81" s="970"/>
      <c r="AP81" s="970"/>
      <c r="AQ81" s="970"/>
      <c r="AR81" s="75"/>
      <c r="AS81" s="166"/>
    </row>
    <row r="82" spans="2:45" s="167" customFormat="1" outlineLevel="1">
      <c r="B82" s="268" t="s">
        <v>43</v>
      </c>
      <c r="C82" s="165" t="s">
        <v>44</v>
      </c>
      <c r="D82" s="165"/>
      <c r="O82" s="197"/>
      <c r="P82" s="198"/>
      <c r="Q82" s="199"/>
      <c r="R82" s="198"/>
      <c r="S82" s="198"/>
      <c r="T82" s="198"/>
      <c r="U82" s="198"/>
      <c r="V82" s="198"/>
      <c r="W82" s="198"/>
      <c r="X82" s="1009">
        <f>X76/X67</f>
        <v>0.17505309228011845</v>
      </c>
      <c r="Y82" s="1009">
        <f t="shared" ref="Y82:AF82" si="20">Y76/Y67</f>
        <v>0.17799313494780203</v>
      </c>
      <c r="Z82" s="1009">
        <f t="shared" si="20"/>
        <v>0.17770916316294166</v>
      </c>
      <c r="AA82" s="1009">
        <f t="shared" si="20"/>
        <v>0.18376913360783634</v>
      </c>
      <c r="AB82" s="1009">
        <f t="shared" si="20"/>
        <v>0.18578880832947825</v>
      </c>
      <c r="AC82" s="1009">
        <f t="shared" si="20"/>
        <v>0.18544616985675225</v>
      </c>
      <c r="AD82" s="1009">
        <f t="shared" si="20"/>
        <v>0.18609055258745003</v>
      </c>
      <c r="AE82" s="1009">
        <f t="shared" si="20"/>
        <v>0.17951308091467189</v>
      </c>
      <c r="AF82" s="1009">
        <f t="shared" si="20"/>
        <v>0.17453717135585567</v>
      </c>
      <c r="AG82" s="1009">
        <f>AG76/AG67</f>
        <v>0.17862190735120376</v>
      </c>
      <c r="AH82" s="1009">
        <f>AH76/AH67</f>
        <v>0.17663313689100804</v>
      </c>
      <c r="AI82" s="1009">
        <f>AI76/AI67</f>
        <v>0.17986325958460955</v>
      </c>
      <c r="AJ82" s="1009">
        <f>AJ76/AJ67</f>
        <v>0.17546076618156153</v>
      </c>
      <c r="AK82" s="1009">
        <f>AK76/AK67</f>
        <v>0.17466022101511539</v>
      </c>
      <c r="AL82" s="1009">
        <f t="shared" ref="AL82:AQ82" si="21">AL76/AL67</f>
        <v>0.17396526671492227</v>
      </c>
      <c r="AM82" s="1009">
        <f t="shared" si="21"/>
        <v>0.176811424864975</v>
      </c>
      <c r="AN82" s="1009">
        <f t="shared" si="21"/>
        <v>0.176943586194515</v>
      </c>
      <c r="AO82" s="1009">
        <f t="shared" si="21"/>
        <v>0.17685646373986025</v>
      </c>
      <c r="AP82" s="1009">
        <f t="shared" si="21"/>
        <v>0.17565612882980317</v>
      </c>
      <c r="AQ82" s="1009">
        <f t="shared" si="21"/>
        <v>0.17217667539073295</v>
      </c>
      <c r="AR82" s="75"/>
      <c r="AS82" s="208"/>
    </row>
    <row r="83" spans="2:45" s="167" customFormat="1" ht="5.0999999999999996" customHeight="1" outlineLevel="1">
      <c r="B83" s="165"/>
      <c r="C83" s="165"/>
      <c r="D83" s="165"/>
      <c r="O83" s="197"/>
      <c r="P83" s="198"/>
      <c r="Q83" s="199"/>
      <c r="R83" s="198"/>
      <c r="S83" s="198"/>
      <c r="T83" s="198"/>
      <c r="U83" s="198"/>
      <c r="V83" s="198"/>
      <c r="W83" s="198"/>
      <c r="X83" s="970"/>
      <c r="Y83" s="970"/>
      <c r="Z83" s="970"/>
      <c r="AA83" s="970"/>
      <c r="AB83" s="970"/>
      <c r="AC83" s="970"/>
      <c r="AD83" s="970"/>
      <c r="AE83" s="970"/>
      <c r="AF83" s="970"/>
      <c r="AG83" s="970"/>
      <c r="AH83" s="970"/>
      <c r="AI83" s="970"/>
      <c r="AJ83" s="970"/>
      <c r="AK83" s="970"/>
      <c r="AL83" s="970"/>
      <c r="AM83" s="970"/>
      <c r="AN83" s="970"/>
      <c r="AO83" s="970"/>
      <c r="AP83" s="970"/>
      <c r="AQ83" s="970"/>
      <c r="AR83" s="75"/>
      <c r="AS83" s="166"/>
    </row>
    <row r="84" spans="2:45" s="167" customFormat="1" outlineLevel="1">
      <c r="B84" s="268" t="s">
        <v>45</v>
      </c>
      <c r="C84" s="165" t="s">
        <v>46</v>
      </c>
      <c r="D84" s="165"/>
      <c r="O84" s="197"/>
      <c r="P84" s="198"/>
      <c r="Q84" s="199"/>
      <c r="R84" s="198"/>
      <c r="S84" s="198"/>
      <c r="T84" s="198"/>
      <c r="U84" s="198"/>
      <c r="V84" s="198"/>
      <c r="W84" s="198"/>
      <c r="X84" s="1009">
        <f>X76/X65</f>
        <v>0.20820495791403779</v>
      </c>
      <c r="Y84" s="1009">
        <f t="shared" ref="Y84:AF84" si="22">Y76/Y65</f>
        <v>0.21360417366407744</v>
      </c>
      <c r="Z84" s="1009">
        <f t="shared" si="22"/>
        <v>0.21421669522861483</v>
      </c>
      <c r="AA84" s="1009">
        <f t="shared" si="22"/>
        <v>0.22224561765851772</v>
      </c>
      <c r="AB84" s="1009">
        <f t="shared" si="22"/>
        <v>0.22403210227071893</v>
      </c>
      <c r="AC84" s="1009">
        <f t="shared" si="22"/>
        <v>0.22338452576131124</v>
      </c>
      <c r="AD84" s="1009">
        <f t="shared" si="22"/>
        <v>0.22384298433864683</v>
      </c>
      <c r="AE84" s="1009">
        <f t="shared" si="22"/>
        <v>0.21752983983786497</v>
      </c>
      <c r="AF84" s="1009">
        <f t="shared" si="22"/>
        <v>0.21360514941888134</v>
      </c>
      <c r="AG84" s="1009">
        <f>AG76/AG65</f>
        <v>0.2177182892442569</v>
      </c>
      <c r="AH84" s="1009">
        <f>AH76/AH65</f>
        <v>0.21605480749928915</v>
      </c>
      <c r="AI84" s="1009">
        <f>AI76/AI65</f>
        <v>0.21994658855188373</v>
      </c>
      <c r="AJ84" s="1009">
        <f>AJ76/AJ65</f>
        <v>0.21362091509610182</v>
      </c>
      <c r="AK84" s="1009">
        <f>AK76/AK65</f>
        <v>0.2127121343100232</v>
      </c>
      <c r="AL84" s="1009">
        <f t="shared" ref="AL84:AQ84" si="23">AL76/AL65</f>
        <v>0.21143214535962912</v>
      </c>
      <c r="AM84" s="1009">
        <f t="shared" si="23"/>
        <v>0.21402337470885877</v>
      </c>
      <c r="AN84" s="1009">
        <f t="shared" si="23"/>
        <v>0.21339873789052408</v>
      </c>
      <c r="AO84" s="1009">
        <f t="shared" si="23"/>
        <v>0.21355748345783165</v>
      </c>
      <c r="AP84" s="1009">
        <f t="shared" si="23"/>
        <v>0.21224629615164298</v>
      </c>
      <c r="AQ84" s="1009">
        <f t="shared" si="23"/>
        <v>0.21220385881274756</v>
      </c>
      <c r="AR84" s="75"/>
      <c r="AS84" s="208"/>
    </row>
    <row r="85" spans="2:45" s="167" customFormat="1" ht="5.0999999999999996" customHeight="1" outlineLevel="1">
      <c r="B85" s="172"/>
      <c r="C85" s="172"/>
      <c r="D85" s="172"/>
      <c r="O85" s="197"/>
      <c r="P85" s="198"/>
      <c r="Q85" s="199"/>
      <c r="R85" s="198"/>
      <c r="S85" s="198"/>
      <c r="T85" s="198"/>
      <c r="U85" s="198"/>
      <c r="V85" s="198"/>
      <c r="W85" s="198"/>
      <c r="X85" s="200"/>
      <c r="Y85" s="200"/>
      <c r="Z85" s="200"/>
      <c r="AA85" s="200"/>
      <c r="AB85" s="962"/>
      <c r="AC85" s="200"/>
      <c r="AD85" s="962"/>
      <c r="AE85" s="200"/>
      <c r="AF85" s="1003"/>
      <c r="AG85" s="1003"/>
      <c r="AH85" s="1003"/>
      <c r="AI85" s="1003"/>
      <c r="AJ85" s="1003"/>
      <c r="AK85" s="1003"/>
      <c r="AL85" s="1003"/>
      <c r="AM85" s="1003"/>
      <c r="AN85" s="1003"/>
      <c r="AO85" s="1003"/>
      <c r="AP85" s="1003"/>
      <c r="AQ85" s="1003"/>
    </row>
    <row r="86" spans="2:45" s="167" customFormat="1" ht="6" customHeight="1" outlineLevel="1">
      <c r="B86" s="165"/>
      <c r="C86" s="165"/>
      <c r="D86" s="165"/>
      <c r="O86" s="197"/>
      <c r="P86" s="198"/>
      <c r="Q86" s="199"/>
      <c r="R86" s="198"/>
      <c r="S86" s="198"/>
      <c r="T86" s="198"/>
      <c r="U86" s="198"/>
      <c r="V86" s="198"/>
      <c r="W86" s="198"/>
      <c r="X86" s="75"/>
      <c r="Y86" s="75"/>
      <c r="Z86" s="75"/>
      <c r="AA86" s="75"/>
      <c r="AB86" s="946"/>
      <c r="AC86" s="75"/>
      <c r="AD86" s="946"/>
      <c r="AE86" s="75"/>
      <c r="AF86" s="547"/>
      <c r="AG86" s="245"/>
      <c r="AH86" s="245"/>
      <c r="AI86" s="245"/>
      <c r="AJ86" s="245"/>
      <c r="AK86" s="245"/>
      <c r="AL86" s="245"/>
      <c r="AP86" s="545"/>
    </row>
    <row r="87" spans="2:45" s="167" customFormat="1" ht="30" customHeight="1" outlineLevel="1">
      <c r="B87" s="1922"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826"/>
      <c r="AF87" s="1010"/>
      <c r="AG87" s="245"/>
      <c r="AH87" s="245"/>
      <c r="AI87" s="245"/>
      <c r="AJ87" s="245"/>
    </row>
    <row r="88" spans="2:45" s="167" customFormat="1">
      <c r="B88" s="943"/>
      <c r="O88" s="197"/>
      <c r="P88" s="198"/>
      <c r="Q88" s="199"/>
      <c r="R88" s="198"/>
      <c r="S88" s="198"/>
      <c r="T88" s="198"/>
      <c r="U88" s="198"/>
      <c r="V88" s="198"/>
      <c r="W88" s="198"/>
      <c r="X88" s="196"/>
      <c r="Y88" s="196"/>
      <c r="Z88" s="196"/>
      <c r="AA88" s="196"/>
      <c r="AB88" s="1006"/>
      <c r="AC88" s="196"/>
      <c r="AD88" s="1006"/>
      <c r="AE88" s="196"/>
      <c r="AF88" s="749"/>
      <c r="AG88" s="245"/>
      <c r="AH88" s="245"/>
      <c r="AI88" s="245"/>
      <c r="AJ88" s="245"/>
    </row>
    <row r="89" spans="2:45" s="167" customFormat="1">
      <c r="B89" s="943"/>
      <c r="O89" s="197"/>
      <c r="P89" s="198"/>
      <c r="Q89" s="199"/>
      <c r="R89" s="198"/>
      <c r="S89" s="198"/>
      <c r="T89" s="198"/>
      <c r="U89" s="198"/>
      <c r="V89" s="198"/>
      <c r="W89" s="198"/>
      <c r="X89" s="196"/>
      <c r="Y89" s="196"/>
      <c r="Z89" s="196"/>
      <c r="AA89" s="196"/>
      <c r="AB89" s="1006"/>
      <c r="AC89" s="196"/>
      <c r="AD89" s="1006"/>
      <c r="AE89" s="196"/>
      <c r="AF89" s="749"/>
      <c r="AG89" s="245"/>
      <c r="AH89" s="245"/>
      <c r="AI89" s="245"/>
      <c r="AJ89" s="245"/>
    </row>
    <row r="90" spans="2:45">
      <c r="B90" s="170" t="s">
        <v>277</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945"/>
      <c r="AC90" s="945"/>
      <c r="AD90" s="945"/>
      <c r="AE90" s="945"/>
      <c r="AF90" s="971"/>
      <c r="AL90" s="167"/>
      <c r="AM90" s="167"/>
      <c r="AN90" s="167"/>
    </row>
    <row r="91" spans="2:45">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011"/>
      <c r="AC91" s="1011"/>
      <c r="AD91" s="1006"/>
      <c r="AE91" s="1006"/>
      <c r="AF91" s="749"/>
      <c r="AL91" s="167"/>
      <c r="AM91" s="167"/>
      <c r="AN91" s="167"/>
    </row>
    <row r="92" spans="2:45">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65">
        <v>2002</v>
      </c>
      <c r="Z92" s="211">
        <v>2003</v>
      </c>
      <c r="AA92" s="165"/>
      <c r="AB92" s="1012">
        <v>2005</v>
      </c>
      <c r="AC92" s="174">
        <v>2004</v>
      </c>
      <c r="AD92" s="1012">
        <v>2007</v>
      </c>
      <c r="AE92" s="1012">
        <v>2008</v>
      </c>
      <c r="AF92" s="752">
        <v>2009</v>
      </c>
      <c r="AG92" s="967">
        <v>2010</v>
      </c>
      <c r="AH92" s="967">
        <v>2011</v>
      </c>
      <c r="AI92" s="967">
        <v>2012</v>
      </c>
      <c r="AJ92" s="967">
        <v>2013</v>
      </c>
      <c r="AK92" s="967">
        <v>2014</v>
      </c>
      <c r="AL92" s="967">
        <v>2015</v>
      </c>
      <c r="AM92" s="967">
        <v>2016</v>
      </c>
      <c r="AN92" s="967">
        <v>2017</v>
      </c>
      <c r="AO92" s="967">
        <v>2018</v>
      </c>
      <c r="AP92" s="967">
        <v>2019</v>
      </c>
      <c r="AQ92" s="967">
        <v>2020</v>
      </c>
    </row>
    <row r="93" spans="2:45">
      <c r="D93" s="261"/>
      <c r="E93" s="261"/>
      <c r="F93" s="261"/>
      <c r="G93" s="261"/>
      <c r="H93" s="261"/>
      <c r="I93" s="261"/>
      <c r="J93" s="261"/>
      <c r="K93" s="261"/>
      <c r="L93" s="261"/>
      <c r="M93" s="261"/>
      <c r="N93" s="261"/>
      <c r="O93" s="261"/>
      <c r="P93" s="261"/>
      <c r="Q93" s="261"/>
      <c r="R93" s="261"/>
      <c r="S93" s="261"/>
      <c r="T93" s="261"/>
      <c r="U93" s="261"/>
      <c r="V93" s="261"/>
      <c r="W93" s="261"/>
      <c r="X93" s="244"/>
      <c r="Y93" s="165"/>
      <c r="Z93" s="244"/>
      <c r="AA93" s="165"/>
      <c r="AB93" s="968"/>
      <c r="AC93" s="946"/>
      <c r="AD93" s="968"/>
      <c r="AE93" s="968"/>
      <c r="AF93" s="969"/>
      <c r="AL93" s="167"/>
      <c r="AM93" s="167"/>
      <c r="AN93" s="167"/>
    </row>
    <row r="94" spans="2:45">
      <c r="B94" s="217" t="s">
        <v>49</v>
      </c>
      <c r="D94" s="261"/>
      <c r="E94" s="261"/>
      <c r="F94" s="261"/>
      <c r="G94" s="261"/>
      <c r="H94" s="261"/>
      <c r="I94" s="261"/>
      <c r="J94" s="261"/>
      <c r="K94" s="261"/>
      <c r="L94" s="261"/>
      <c r="M94" s="261"/>
      <c r="N94" s="261"/>
      <c r="O94" s="261"/>
      <c r="P94" s="1013">
        <f t="shared" ref="P94:W94" si="24">SUM(P99:P104)</f>
        <v>1030.5691635328792</v>
      </c>
      <c r="Q94" s="1013">
        <f t="shared" si="24"/>
        <v>1081.7528049164498</v>
      </c>
      <c r="R94" s="1013">
        <f t="shared" si="24"/>
        <v>1126.7207549528653</v>
      </c>
      <c r="S94" s="1013">
        <f t="shared" si="24"/>
        <v>1163.9837666925303</v>
      </c>
      <c r="T94" s="1013">
        <f t="shared" si="24"/>
        <v>1189.4226621781386</v>
      </c>
      <c r="U94" s="1013">
        <f t="shared" si="24"/>
        <v>1245.7537388540827</v>
      </c>
      <c r="V94" s="1013">
        <f t="shared" si="24"/>
        <v>1291.5446927235782</v>
      </c>
      <c r="W94" s="1013">
        <f t="shared" si="24"/>
        <v>1315.259554966133</v>
      </c>
      <c r="X94" s="1014">
        <f>SUM(X99:X104)</f>
        <v>1153.53</v>
      </c>
      <c r="Y94" s="165"/>
      <c r="Z94" s="1014">
        <f>SUM(Z99:Z104)</f>
        <v>1235.48</v>
      </c>
      <c r="AA94" s="165"/>
      <c r="AB94" s="1015">
        <f>SUM(AB99:AB104)</f>
        <v>1285.6999999999998</v>
      </c>
      <c r="AC94" s="1015">
        <f>SUM(AC99:AC104)</f>
        <v>1363.76</v>
      </c>
      <c r="AD94" s="1015">
        <f t="shared" ref="AD94:AM94" si="25">SUM(AD99:AD104)</f>
        <v>1344.08</v>
      </c>
      <c r="AE94" s="1015">
        <f t="shared" si="25"/>
        <v>1330.8799999999999</v>
      </c>
      <c r="AF94" s="1016">
        <f t="shared" si="25"/>
        <v>1580.77</v>
      </c>
      <c r="AG94" s="1016">
        <f t="shared" si="25"/>
        <v>1619.63</v>
      </c>
      <c r="AH94" s="1016">
        <f t="shared" si="25"/>
        <v>1680.3899999999999</v>
      </c>
      <c r="AI94" s="1016">
        <f t="shared" si="25"/>
        <v>1724.29</v>
      </c>
      <c r="AJ94" s="1016">
        <f t="shared" si="25"/>
        <v>1846.32</v>
      </c>
      <c r="AK94" s="1016">
        <f t="shared" si="25"/>
        <v>1681.0840000000001</v>
      </c>
      <c r="AL94" s="1016">
        <f>SUM(AL99:AL104)</f>
        <v>1716.9089507306524</v>
      </c>
      <c r="AM94" s="1016">
        <f t="shared" si="25"/>
        <v>1634.4132690000001</v>
      </c>
      <c r="AN94" s="1016">
        <f>SUM(AN99:AN104)</f>
        <v>1870.9241200000001</v>
      </c>
      <c r="AO94" s="1016">
        <f t="shared" ref="AO94:AP94" si="26">SUM(AO99:AO104)</f>
        <v>1870.82</v>
      </c>
      <c r="AP94" s="1016">
        <f t="shared" si="26"/>
        <v>1939.95</v>
      </c>
      <c r="AQ94" s="1016"/>
    </row>
    <row r="95" spans="2:45">
      <c r="B95" s="217"/>
      <c r="D95" s="261"/>
      <c r="E95" s="261"/>
      <c r="F95" s="261"/>
      <c r="G95" s="261"/>
      <c r="H95" s="261"/>
      <c r="I95" s="261"/>
      <c r="J95" s="261"/>
      <c r="K95" s="261"/>
      <c r="L95" s="261"/>
      <c r="M95" s="261"/>
      <c r="N95" s="261"/>
      <c r="O95" s="261"/>
      <c r="P95" s="1017"/>
      <c r="Q95" s="1017"/>
      <c r="R95" s="1017"/>
      <c r="S95" s="1017"/>
      <c r="T95" s="1017"/>
      <c r="U95" s="1017"/>
      <c r="V95" s="1017"/>
      <c r="W95" s="1017"/>
      <c r="X95" s="1018"/>
      <c r="Y95" s="165"/>
      <c r="Z95" s="1018"/>
      <c r="AA95" s="165"/>
      <c r="AB95" s="1019"/>
      <c r="AC95" s="946"/>
      <c r="AD95" s="1019"/>
      <c r="AE95" s="1019"/>
      <c r="AF95" s="1020"/>
      <c r="AL95" s="167"/>
      <c r="AM95" s="167"/>
      <c r="AN95" s="167"/>
      <c r="AO95" s="167"/>
      <c r="AP95" s="167"/>
      <c r="AQ95" s="167"/>
    </row>
    <row r="96" spans="2:45">
      <c r="B96" s="217"/>
      <c r="D96" s="261"/>
      <c r="E96" s="261"/>
      <c r="F96" s="261"/>
      <c r="G96" s="261"/>
      <c r="H96" s="261"/>
      <c r="I96" s="261"/>
      <c r="J96" s="261"/>
      <c r="K96" s="261"/>
      <c r="L96" s="261"/>
      <c r="M96" s="261"/>
      <c r="N96" s="261"/>
      <c r="O96" s="261"/>
      <c r="P96" s="1017"/>
      <c r="Q96" s="1017"/>
      <c r="R96" s="1017"/>
      <c r="S96" s="1017"/>
      <c r="T96" s="1017"/>
      <c r="U96" s="1017"/>
      <c r="V96" s="1017"/>
      <c r="W96" s="1017"/>
      <c r="X96" s="1018"/>
      <c r="Y96" s="165"/>
      <c r="Z96" s="1018"/>
      <c r="AA96" s="165"/>
      <c r="AB96" s="1019"/>
      <c r="AC96" s="946"/>
      <c r="AD96" s="1019"/>
      <c r="AE96" s="1019"/>
      <c r="AF96" s="1020"/>
      <c r="AL96" s="167"/>
      <c r="AM96" s="167"/>
      <c r="AN96" s="167"/>
      <c r="AO96" s="167"/>
      <c r="AP96" s="167"/>
      <c r="AQ96" s="167"/>
    </row>
    <row r="97" spans="2:43">
      <c r="B97" s="217"/>
      <c r="D97" s="261"/>
      <c r="E97" s="261"/>
      <c r="F97" s="261"/>
      <c r="G97" s="261"/>
      <c r="H97" s="261"/>
      <c r="I97" s="261"/>
      <c r="J97" s="261"/>
      <c r="K97" s="261"/>
      <c r="L97" s="261"/>
      <c r="M97" s="261"/>
      <c r="N97" s="261"/>
      <c r="O97" s="261"/>
      <c r="P97" s="1017"/>
      <c r="Q97" s="1017"/>
      <c r="R97" s="1017"/>
      <c r="S97" s="1017"/>
      <c r="T97" s="1017"/>
      <c r="U97" s="1017"/>
      <c r="V97" s="1017"/>
      <c r="W97" s="1017"/>
      <c r="X97" s="1018"/>
      <c r="Y97" s="165"/>
      <c r="Z97" s="1018"/>
      <c r="AA97" s="165"/>
      <c r="AB97" s="1019"/>
      <c r="AC97" s="946"/>
      <c r="AD97" s="1019"/>
      <c r="AE97" s="1019"/>
      <c r="AF97" s="1020"/>
      <c r="AL97" s="167"/>
      <c r="AM97" s="167"/>
      <c r="AN97" s="167"/>
      <c r="AO97" s="167"/>
      <c r="AP97" s="167"/>
      <c r="AQ97" s="167"/>
    </row>
    <row r="98" spans="2:43">
      <c r="B98" s="217"/>
      <c r="C98" s="206" t="s">
        <v>50</v>
      </c>
      <c r="D98" s="261"/>
      <c r="E98" s="261"/>
      <c r="F98" s="261"/>
      <c r="G98" s="261"/>
      <c r="H98" s="261"/>
      <c r="I98" s="261"/>
      <c r="J98" s="261"/>
      <c r="K98" s="261"/>
      <c r="L98" s="261"/>
      <c r="M98" s="261"/>
      <c r="N98" s="261"/>
      <c r="O98" s="261"/>
      <c r="P98" s="1017"/>
      <c r="Q98" s="1017"/>
      <c r="R98" s="1017"/>
      <c r="S98" s="1017"/>
      <c r="T98" s="1017"/>
      <c r="U98" s="1017"/>
      <c r="V98" s="1017"/>
      <c r="W98" s="1017"/>
      <c r="X98" s="1018"/>
      <c r="Y98" s="165"/>
      <c r="Z98" s="1018"/>
      <c r="AA98" s="165"/>
      <c r="AB98" s="1019"/>
      <c r="AC98" s="946"/>
      <c r="AD98" s="1019"/>
      <c r="AE98" s="1019"/>
      <c r="AF98" s="1020"/>
      <c r="AL98" s="167"/>
      <c r="AM98" s="167"/>
      <c r="AN98" s="167"/>
      <c r="AO98" s="167"/>
      <c r="AP98" s="167"/>
      <c r="AQ98" s="167"/>
    </row>
    <row r="99" spans="2:43">
      <c r="B99" s="261"/>
      <c r="C99" s="261" t="s">
        <v>278</v>
      </c>
      <c r="D99" s="261" t="s">
        <v>279</v>
      </c>
      <c r="E99" s="261">
        <v>727.24523362725245</v>
      </c>
      <c r="F99" s="261">
        <v>718.74248572753027</v>
      </c>
      <c r="G99" s="261">
        <v>713.51193235481492</v>
      </c>
      <c r="H99" s="261">
        <v>726.50155305293276</v>
      </c>
      <c r="I99" s="261">
        <v>718.37064544037048</v>
      </c>
      <c r="J99" s="261">
        <v>708.85153408907809</v>
      </c>
      <c r="K99" s="261">
        <v>713.11530271517779</v>
      </c>
      <c r="L99" s="261">
        <v>858.3913197603365</v>
      </c>
      <c r="M99" s="261">
        <v>892.52030867701694</v>
      </c>
      <c r="N99" s="261">
        <v>922.19239512244701</v>
      </c>
      <c r="O99" s="261">
        <v>966.17294539649333</v>
      </c>
      <c r="P99" s="261">
        <v>999.92952387090691</v>
      </c>
      <c r="Q99" s="261">
        <v>1047.6806090248117</v>
      </c>
      <c r="R99" s="261">
        <v>1087.8543328069727</v>
      </c>
      <c r="S99" s="261">
        <v>1120.3049276274855</v>
      </c>
      <c r="T99" s="261">
        <v>1141.1825822572662</v>
      </c>
      <c r="U99" s="261">
        <v>1190.2717966578948</v>
      </c>
      <c r="V99" s="261">
        <v>1223.9941782205674</v>
      </c>
      <c r="W99" s="261">
        <v>1239.6022545000008</v>
      </c>
      <c r="X99" s="244">
        <v>1073.33</v>
      </c>
      <c r="Y99" s="261"/>
      <c r="Z99" s="244">
        <v>1165.99</v>
      </c>
      <c r="AA99" s="261">
        <v>1279.6500000000001</v>
      </c>
      <c r="AB99" s="968">
        <v>1181.5899999999999</v>
      </c>
      <c r="AC99" s="968">
        <v>1270.01</v>
      </c>
      <c r="AD99" s="968">
        <v>1241.83</v>
      </c>
      <c r="AE99" s="968">
        <v>1233.8399999999999</v>
      </c>
      <c r="AF99" s="969">
        <v>1444.16</v>
      </c>
      <c r="AG99" s="969">
        <v>1474.17</v>
      </c>
      <c r="AH99" s="969">
        <v>1524.35</v>
      </c>
      <c r="AI99" s="969">
        <v>1577.41</v>
      </c>
      <c r="AJ99" s="969">
        <v>1679.56</v>
      </c>
      <c r="AK99" s="261">
        <v>1520.92</v>
      </c>
      <c r="AL99" s="199">
        <v>1561.04</v>
      </c>
      <c r="AM99" s="199">
        <v>1476.27</v>
      </c>
      <c r="AN99" s="199">
        <v>1712.1100000000001</v>
      </c>
      <c r="AO99" s="199">
        <v>1708.83</v>
      </c>
      <c r="AP99" s="199">
        <v>1781.68</v>
      </c>
      <c r="AQ99" s="199"/>
    </row>
    <row r="100" spans="2:43">
      <c r="B100" s="261"/>
      <c r="C100" s="261" t="s">
        <v>280</v>
      </c>
      <c r="D100" s="261">
        <v>0</v>
      </c>
      <c r="E100" s="261">
        <v>0</v>
      </c>
      <c r="F100" s="261">
        <v>0</v>
      </c>
      <c r="G100" s="261">
        <v>0</v>
      </c>
      <c r="H100" s="261">
        <v>0</v>
      </c>
      <c r="I100" s="261">
        <v>0</v>
      </c>
      <c r="J100" s="261">
        <v>0</v>
      </c>
      <c r="K100" s="261">
        <v>0</v>
      </c>
      <c r="L100" s="261">
        <v>16.328747819488974</v>
      </c>
      <c r="M100" s="261">
        <v>20.724885495819901</v>
      </c>
      <c r="N100" s="261">
        <v>24.194408017868167</v>
      </c>
      <c r="O100" s="261">
        <v>27.119551610192389</v>
      </c>
      <c r="P100" s="261">
        <v>30.639639661972389</v>
      </c>
      <c r="Q100" s="261">
        <v>33.986202246411125</v>
      </c>
      <c r="R100" s="261">
        <v>35.671878214869146</v>
      </c>
      <c r="S100" s="261">
        <v>36.985713896167319</v>
      </c>
      <c r="T100" s="261">
        <v>38.175602815078868</v>
      </c>
      <c r="U100" s="261">
        <v>41.612225117067716</v>
      </c>
      <c r="V100" s="261">
        <v>51.334088582272138</v>
      </c>
      <c r="W100" s="261">
        <v>58.670004846981335</v>
      </c>
      <c r="X100" s="244">
        <v>63.3</v>
      </c>
      <c r="Y100" s="261"/>
      <c r="Z100" s="244">
        <v>52.19</v>
      </c>
      <c r="AA100" s="261">
        <v>65.239999999999995</v>
      </c>
      <c r="AB100" s="968">
        <v>92.06</v>
      </c>
      <c r="AC100" s="968">
        <v>93.75</v>
      </c>
      <c r="AD100" s="968">
        <v>93.61</v>
      </c>
      <c r="AE100" s="968">
        <v>97.04</v>
      </c>
      <c r="AF100" s="969">
        <v>128.32</v>
      </c>
      <c r="AG100" s="969">
        <v>137.54</v>
      </c>
      <c r="AH100" s="969">
        <v>148.68</v>
      </c>
      <c r="AI100" s="969">
        <v>139.80000000000001</v>
      </c>
      <c r="AJ100" s="969">
        <v>160.16999999999999</v>
      </c>
      <c r="AK100" s="261">
        <v>157.80699999999999</v>
      </c>
      <c r="AL100" s="199">
        <v>153.63</v>
      </c>
      <c r="AM100" s="199">
        <v>156.21</v>
      </c>
      <c r="AN100" s="199">
        <v>156.94</v>
      </c>
      <c r="AO100" s="199">
        <v>160.09</v>
      </c>
      <c r="AP100" s="199">
        <v>156.77000000000001</v>
      </c>
      <c r="AQ100" s="199"/>
    </row>
    <row r="101" spans="2:43">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44"/>
      <c r="Y101" s="261"/>
      <c r="Z101" s="244"/>
      <c r="AA101" s="261"/>
      <c r="AB101" s="968"/>
      <c r="AC101" s="968"/>
      <c r="AD101" s="968"/>
      <c r="AE101" s="968"/>
      <c r="AF101" s="969"/>
      <c r="AG101" s="969"/>
      <c r="AH101" s="969"/>
      <c r="AI101" s="969"/>
      <c r="AJ101" s="969"/>
      <c r="AK101" s="261"/>
      <c r="AL101" s="199"/>
      <c r="AM101" s="199"/>
      <c r="AN101" s="199"/>
      <c r="AO101" s="199"/>
      <c r="AP101" s="199"/>
      <c r="AQ101" s="199"/>
    </row>
    <row r="102" spans="2:43">
      <c r="B102" s="261"/>
      <c r="C102" s="1021" t="s">
        <v>56</v>
      </c>
      <c r="D102" s="261"/>
      <c r="E102" s="261"/>
      <c r="F102" s="261"/>
      <c r="G102" s="261"/>
      <c r="H102" s="261"/>
      <c r="I102" s="261"/>
      <c r="J102" s="261"/>
      <c r="K102" s="261"/>
      <c r="L102" s="261"/>
      <c r="M102" s="261"/>
      <c r="N102" s="261"/>
      <c r="O102" s="261"/>
      <c r="P102" s="261"/>
      <c r="Q102" s="261"/>
      <c r="R102" s="261"/>
      <c r="S102" s="261"/>
      <c r="T102" s="261"/>
      <c r="U102" s="261"/>
      <c r="V102" s="261"/>
      <c r="W102" s="261"/>
      <c r="X102" s="244"/>
      <c r="Y102" s="261"/>
      <c r="Z102" s="244"/>
      <c r="AA102" s="261"/>
      <c r="AB102" s="968"/>
      <c r="AC102" s="968"/>
      <c r="AD102" s="968"/>
      <c r="AE102" s="968"/>
      <c r="AF102" s="969"/>
      <c r="AG102" s="969"/>
      <c r="AH102" s="969"/>
      <c r="AI102" s="969"/>
      <c r="AJ102" s="969"/>
      <c r="AK102" s="261"/>
      <c r="AL102" s="199"/>
      <c r="AM102" s="199"/>
      <c r="AN102" s="199"/>
      <c r="AO102" s="199"/>
      <c r="AP102" s="199"/>
      <c r="AQ102" s="199"/>
    </row>
    <row r="103" spans="2:43">
      <c r="B103" s="261"/>
      <c r="C103" s="261" t="s">
        <v>281</v>
      </c>
      <c r="D103" s="261">
        <v>73.252536570492239</v>
      </c>
      <c r="E103" s="261">
        <v>85.077057702175765</v>
      </c>
      <c r="F103" s="261">
        <v>91.596657403711959</v>
      </c>
      <c r="G103" s="261">
        <v>98.165835810202807</v>
      </c>
      <c r="H103" s="261">
        <v>43.556258173602785</v>
      </c>
      <c r="I103" s="261">
        <v>46.191609683774487</v>
      </c>
      <c r="J103" s="261">
        <v>51.119288252158277</v>
      </c>
      <c r="K103" s="261">
        <v>0</v>
      </c>
      <c r="L103" s="261">
        <v>0</v>
      </c>
      <c r="M103" s="261">
        <v>0</v>
      </c>
      <c r="N103" s="261">
        <v>0</v>
      </c>
      <c r="O103" s="261">
        <v>0</v>
      </c>
      <c r="P103" s="261">
        <v>0</v>
      </c>
      <c r="Q103" s="261">
        <v>0</v>
      </c>
      <c r="R103" s="261">
        <v>0</v>
      </c>
      <c r="S103" s="261">
        <v>0</v>
      </c>
      <c r="T103" s="261">
        <v>0</v>
      </c>
      <c r="U103" s="261">
        <v>0</v>
      </c>
      <c r="V103" s="261">
        <v>0</v>
      </c>
      <c r="W103" s="261">
        <v>0</v>
      </c>
      <c r="X103" s="244">
        <v>0</v>
      </c>
      <c r="Y103" s="261"/>
      <c r="Z103" s="244">
        <v>0</v>
      </c>
      <c r="AA103" s="261"/>
      <c r="AB103" s="968">
        <v>0</v>
      </c>
      <c r="AC103" s="968"/>
      <c r="AD103" s="968">
        <v>0</v>
      </c>
      <c r="AE103" s="968"/>
      <c r="AF103" s="969">
        <v>0</v>
      </c>
      <c r="AG103" s="969">
        <v>0</v>
      </c>
      <c r="AH103" s="969">
        <v>0</v>
      </c>
      <c r="AI103" s="969">
        <v>0</v>
      </c>
      <c r="AJ103" s="969">
        <v>0</v>
      </c>
      <c r="AK103" s="261">
        <v>0</v>
      </c>
      <c r="AL103" s="199">
        <v>0</v>
      </c>
      <c r="AM103" s="199">
        <v>0</v>
      </c>
      <c r="AN103" s="199">
        <v>0</v>
      </c>
      <c r="AO103" s="199">
        <v>0</v>
      </c>
      <c r="AP103" s="199">
        <v>0</v>
      </c>
      <c r="AQ103" s="199"/>
    </row>
    <row r="104" spans="2:43">
      <c r="B104" s="261"/>
      <c r="C104" s="261" t="s">
        <v>282</v>
      </c>
      <c r="D104" s="261">
        <v>0</v>
      </c>
      <c r="E104" s="261">
        <v>0</v>
      </c>
      <c r="F104" s="261">
        <v>0</v>
      </c>
      <c r="G104" s="261">
        <v>0</v>
      </c>
      <c r="H104" s="261">
        <v>0</v>
      </c>
      <c r="I104" s="261">
        <v>0</v>
      </c>
      <c r="J104" s="261">
        <v>0</v>
      </c>
      <c r="K104" s="261">
        <v>0</v>
      </c>
      <c r="L104" s="261">
        <v>0</v>
      </c>
      <c r="M104" s="261">
        <v>0</v>
      </c>
      <c r="N104" s="261">
        <v>0</v>
      </c>
      <c r="O104" s="261">
        <v>0</v>
      </c>
      <c r="P104" s="261">
        <v>0</v>
      </c>
      <c r="Q104" s="261">
        <v>8.5993645227032858E-2</v>
      </c>
      <c r="R104" s="261">
        <v>3.1945439310234418</v>
      </c>
      <c r="S104" s="261">
        <v>6.6931251688774633</v>
      </c>
      <c r="T104" s="261">
        <v>10.06447710579352</v>
      </c>
      <c r="U104" s="261">
        <v>13.869717079120177</v>
      </c>
      <c r="V104" s="261">
        <v>16.216425920738523</v>
      </c>
      <c r="W104" s="261">
        <v>16.987295619150999</v>
      </c>
      <c r="X104" s="244">
        <v>16.899999999999999</v>
      </c>
      <c r="Y104" s="261"/>
      <c r="Z104" s="244">
        <v>17.3</v>
      </c>
      <c r="AA104" s="261"/>
      <c r="AB104" s="968">
        <v>12.05</v>
      </c>
      <c r="AC104" s="968"/>
      <c r="AD104" s="968">
        <v>8.64</v>
      </c>
      <c r="AE104" s="968"/>
      <c r="AF104" s="969">
        <v>8.2899999999999991</v>
      </c>
      <c r="AG104" s="969">
        <v>7.92</v>
      </c>
      <c r="AH104" s="969">
        <v>7.36</v>
      </c>
      <c r="AI104" s="969">
        <v>7.08</v>
      </c>
      <c r="AJ104" s="969">
        <v>6.59</v>
      </c>
      <c r="AK104" s="261">
        <v>2.3570000000000002</v>
      </c>
      <c r="AL104" s="199">
        <v>2.2389507306522751</v>
      </c>
      <c r="AM104" s="199">
        <v>1.9332689999999999</v>
      </c>
      <c r="AN104" s="199">
        <v>1.87412</v>
      </c>
      <c r="AO104" s="199">
        <v>1.9</v>
      </c>
      <c r="AP104" s="199">
        <v>1.5</v>
      </c>
      <c r="AQ104" s="199"/>
    </row>
    <row r="105" spans="2:43">
      <c r="X105" s="165"/>
      <c r="Y105" s="165"/>
      <c r="Z105" s="165"/>
      <c r="AA105" s="165"/>
      <c r="AC105" s="946"/>
      <c r="AE105" s="946"/>
      <c r="AG105" s="969"/>
      <c r="AH105" s="969"/>
      <c r="AL105" s="167"/>
      <c r="AM105" s="167"/>
      <c r="AN105" s="167"/>
      <c r="AO105" s="167"/>
      <c r="AP105" s="167"/>
      <c r="AQ105" s="167"/>
    </row>
    <row r="106" spans="2:43">
      <c r="D106" s="261"/>
      <c r="E106" s="261"/>
      <c r="F106" s="261"/>
      <c r="G106" s="261"/>
      <c r="H106" s="261"/>
      <c r="I106" s="261"/>
      <c r="J106" s="261"/>
      <c r="K106" s="261"/>
      <c r="L106" s="261"/>
      <c r="M106" s="261"/>
      <c r="N106" s="261"/>
      <c r="O106" s="261"/>
      <c r="P106" s="261"/>
      <c r="Q106" s="261"/>
      <c r="R106" s="261"/>
      <c r="S106" s="261"/>
      <c r="T106" s="261"/>
      <c r="U106" s="261"/>
      <c r="V106" s="261"/>
      <c r="W106" s="261"/>
      <c r="X106" s="244"/>
      <c r="Y106" s="165"/>
      <c r="Z106" s="244"/>
      <c r="AA106" s="165"/>
      <c r="AB106" s="968"/>
      <c r="AC106" s="946"/>
      <c r="AD106" s="968"/>
      <c r="AE106" s="968"/>
      <c r="AF106" s="969"/>
      <c r="AG106" s="969"/>
      <c r="AH106" s="969"/>
      <c r="AL106" s="167"/>
      <c r="AM106" s="167"/>
      <c r="AN106" s="167"/>
      <c r="AO106" s="167"/>
      <c r="AP106" s="167"/>
      <c r="AQ106" s="167"/>
    </row>
    <row r="107" spans="2:43">
      <c r="B107" s="217" t="s">
        <v>78</v>
      </c>
      <c r="D107" s="261"/>
      <c r="E107" s="261"/>
      <c r="F107" s="261"/>
      <c r="G107" s="261"/>
      <c r="H107" s="261"/>
      <c r="I107" s="261"/>
      <c r="J107" s="261"/>
      <c r="K107" s="261"/>
      <c r="L107" s="261"/>
      <c r="M107" s="261"/>
      <c r="N107" s="261"/>
      <c r="O107" s="261"/>
      <c r="P107" s="1013">
        <v>0</v>
      </c>
      <c r="Q107" s="1013">
        <v>0</v>
      </c>
      <c r="R107" s="1013">
        <v>0</v>
      </c>
      <c r="S107" s="1013">
        <v>0</v>
      </c>
      <c r="T107" s="1013">
        <v>0</v>
      </c>
      <c r="U107" s="1013">
        <v>0</v>
      </c>
      <c r="V107" s="1013">
        <v>0</v>
      </c>
      <c r="W107" s="1013">
        <v>0</v>
      </c>
      <c r="X107" s="1014">
        <v>0</v>
      </c>
      <c r="Y107" s="165"/>
      <c r="Z107" s="1014">
        <v>0</v>
      </c>
      <c r="AA107" s="165"/>
      <c r="AB107" s="1015">
        <v>0</v>
      </c>
      <c r="AC107" s="1015">
        <v>0</v>
      </c>
      <c r="AD107" s="1015">
        <v>0</v>
      </c>
      <c r="AE107" s="1015">
        <v>0</v>
      </c>
      <c r="AF107" s="1015">
        <v>0</v>
      </c>
      <c r="AG107" s="1015">
        <v>0</v>
      </c>
      <c r="AH107" s="1016">
        <v>0</v>
      </c>
      <c r="AI107" s="1016">
        <v>0</v>
      </c>
      <c r="AJ107" s="1016">
        <v>0</v>
      </c>
      <c r="AK107" s="1016">
        <v>0</v>
      </c>
      <c r="AL107" s="1016">
        <v>0</v>
      </c>
      <c r="AM107" s="1016">
        <v>0</v>
      </c>
      <c r="AN107" s="1016">
        <v>0</v>
      </c>
      <c r="AO107" s="1016">
        <v>0</v>
      </c>
      <c r="AP107" s="1016">
        <v>0</v>
      </c>
      <c r="AQ107" s="1016"/>
    </row>
    <row r="108" spans="2:43">
      <c r="D108" s="261"/>
      <c r="E108" s="261"/>
      <c r="F108" s="261"/>
      <c r="G108" s="261"/>
      <c r="H108" s="261"/>
      <c r="I108" s="261"/>
      <c r="J108" s="261"/>
      <c r="K108" s="261"/>
      <c r="L108" s="261"/>
      <c r="M108" s="261"/>
      <c r="N108" s="261"/>
      <c r="O108" s="261"/>
      <c r="P108" s="261"/>
      <c r="Q108" s="261"/>
      <c r="R108" s="261"/>
      <c r="S108" s="261"/>
      <c r="T108" s="261"/>
      <c r="U108" s="261"/>
      <c r="V108" s="261"/>
      <c r="W108" s="261"/>
      <c r="X108" s="244"/>
      <c r="Y108" s="165"/>
      <c r="Z108" s="244"/>
      <c r="AA108" s="165"/>
      <c r="AB108" s="968"/>
      <c r="AC108" s="946"/>
      <c r="AD108" s="968"/>
      <c r="AE108" s="968"/>
      <c r="AF108" s="969"/>
      <c r="AG108" s="969"/>
      <c r="AH108" s="969"/>
      <c r="AI108" s="969"/>
      <c r="AJ108" s="969"/>
      <c r="AL108" s="167"/>
    </row>
    <row r="109" spans="2:43" ht="13.5">
      <c r="B109" s="925" t="s">
        <v>90</v>
      </c>
      <c r="D109" s="261"/>
      <c r="E109" s="261"/>
      <c r="F109" s="261"/>
      <c r="G109" s="261"/>
      <c r="H109" s="261"/>
      <c r="I109" s="261"/>
      <c r="J109" s="261"/>
      <c r="K109" s="261"/>
      <c r="L109" s="261"/>
      <c r="M109" s="261"/>
      <c r="N109" s="261"/>
      <c r="O109" s="261"/>
      <c r="P109" s="261"/>
      <c r="Q109" s="261"/>
      <c r="R109" s="261"/>
      <c r="S109" s="261"/>
      <c r="T109" s="261"/>
      <c r="U109" s="261"/>
      <c r="V109" s="261"/>
      <c r="W109" s="261"/>
      <c r="X109" s="244"/>
      <c r="Y109" s="165"/>
      <c r="Z109" s="244"/>
      <c r="AA109" s="165"/>
      <c r="AB109" s="968"/>
      <c r="AC109" s="946"/>
      <c r="AD109" s="968"/>
      <c r="AE109" s="968"/>
      <c r="AF109" s="969"/>
      <c r="AG109" s="969"/>
      <c r="AH109" s="969"/>
      <c r="AI109" s="969"/>
      <c r="AJ109" s="969"/>
      <c r="AL109" s="167"/>
    </row>
    <row r="110" spans="2:43">
      <c r="B110" s="206" t="s">
        <v>91</v>
      </c>
      <c r="D110" s="261"/>
      <c r="E110" s="261"/>
      <c r="F110" s="261"/>
      <c r="G110" s="261"/>
      <c r="H110" s="261"/>
      <c r="I110" s="261"/>
      <c r="J110" s="261"/>
      <c r="K110" s="261"/>
      <c r="L110" s="261"/>
      <c r="M110" s="261"/>
      <c r="N110" s="261"/>
      <c r="O110" s="261"/>
      <c r="P110" s="1013">
        <f>SUM(P111:P112)</f>
        <v>206.29699131628982</v>
      </c>
      <c r="Q110" s="1013">
        <f t="shared" ref="Q110:W110" si="27">SUM(Q111:Q112)</f>
        <v>218.02235503806406</v>
      </c>
      <c r="R110" s="1013">
        <f t="shared" si="27"/>
        <v>244.19991125411812</v>
      </c>
      <c r="S110" s="1013">
        <f t="shared" si="27"/>
        <v>258.15631669885153</v>
      </c>
      <c r="T110" s="1013">
        <f t="shared" si="27"/>
        <v>270.25352070778558</v>
      </c>
      <c r="U110" s="1013">
        <f t="shared" si="27"/>
        <v>299.92637562314235</v>
      </c>
      <c r="V110" s="1013">
        <f t="shared" si="27"/>
        <v>320.94774652391305</v>
      </c>
      <c r="W110" s="1013">
        <f t="shared" si="27"/>
        <v>333.81080464142275</v>
      </c>
      <c r="X110" s="1014">
        <f>SUM(X111:X112)</f>
        <v>363.38545776915726</v>
      </c>
      <c r="Y110" s="1014">
        <f>SUM(Y111:Y112)</f>
        <v>332.05</v>
      </c>
      <c r="Z110" s="1014">
        <f>SUM(Z111:Z112)</f>
        <v>334.27</v>
      </c>
      <c r="AA110" s="165"/>
      <c r="AB110" s="1015">
        <f>SUM(AB111:AB112)</f>
        <v>413.94</v>
      </c>
      <c r="AC110" s="1015">
        <f>SUM(AC111:AC112)</f>
        <v>468.59</v>
      </c>
      <c r="AD110" s="1015">
        <f t="shared" ref="AD110:AP110" si="28">SUM(AD111:AD112)</f>
        <v>477.82</v>
      </c>
      <c r="AE110" s="1015">
        <f t="shared" si="28"/>
        <v>498.16</v>
      </c>
      <c r="AF110" s="1015">
        <f t="shared" si="28"/>
        <v>615.37</v>
      </c>
      <c r="AG110" s="1015">
        <f t="shared" si="28"/>
        <v>632.16</v>
      </c>
      <c r="AH110" s="1016">
        <f t="shared" si="28"/>
        <v>640</v>
      </c>
      <c r="AI110" s="1016">
        <f t="shared" si="28"/>
        <v>618.25</v>
      </c>
      <c r="AJ110" s="1016">
        <f t="shared" si="28"/>
        <v>645.78</v>
      </c>
      <c r="AK110" s="1016">
        <f t="shared" si="28"/>
        <v>745</v>
      </c>
      <c r="AL110" s="1016">
        <f t="shared" si="28"/>
        <v>639</v>
      </c>
      <c r="AM110" s="1016">
        <f t="shared" si="28"/>
        <v>636.74333515000001</v>
      </c>
      <c r="AN110" s="1016">
        <f t="shared" si="28"/>
        <v>674.94268021000005</v>
      </c>
      <c r="AO110" s="1016">
        <f t="shared" si="28"/>
        <v>695.32</v>
      </c>
      <c r="AP110" s="1016">
        <f t="shared" si="28"/>
        <v>706.8</v>
      </c>
      <c r="AQ110" s="1016"/>
    </row>
    <row r="111" spans="2:43">
      <c r="C111" s="165" t="s">
        <v>283</v>
      </c>
      <c r="D111" s="261">
        <v>0</v>
      </c>
      <c r="E111" s="261">
        <v>0</v>
      </c>
      <c r="F111" s="261">
        <v>0</v>
      </c>
      <c r="G111" s="261">
        <v>0</v>
      </c>
      <c r="H111" s="261">
        <v>0</v>
      </c>
      <c r="I111" s="261">
        <v>186.11845839974814</v>
      </c>
      <c r="J111" s="261">
        <v>205.70204685683404</v>
      </c>
      <c r="K111" s="261">
        <v>205.70204685683404</v>
      </c>
      <c r="L111" s="261">
        <v>199.35597262263911</v>
      </c>
      <c r="M111" s="261">
        <v>211.57712339395982</v>
      </c>
      <c r="N111" s="261">
        <v>226.42594552787688</v>
      </c>
      <c r="O111" s="261">
        <v>142.41482998222602</v>
      </c>
      <c r="P111" s="261">
        <v>143.25766796645505</v>
      </c>
      <c r="Q111" s="261">
        <v>149.35584867587673</v>
      </c>
      <c r="R111" s="261">
        <v>163.38662217804207</v>
      </c>
      <c r="S111" s="261">
        <v>172.88094417685716</v>
      </c>
      <c r="T111" s="261">
        <v>181.87947912612574</v>
      </c>
      <c r="U111" s="261">
        <v>208.45366498181701</v>
      </c>
      <c r="V111" s="261">
        <v>226.69862840512744</v>
      </c>
      <c r="W111" s="261">
        <v>238.4137168088553</v>
      </c>
      <c r="X111" s="244">
        <v>262.84784536245979</v>
      </c>
      <c r="Y111" s="165">
        <v>246.46</v>
      </c>
      <c r="Z111" s="244">
        <v>272.74</v>
      </c>
      <c r="AA111" s="165">
        <v>285.52999999999997</v>
      </c>
      <c r="AB111" s="968">
        <v>326.89999999999998</v>
      </c>
      <c r="AC111" s="946">
        <v>376.65</v>
      </c>
      <c r="AD111" s="968">
        <v>387.9</v>
      </c>
      <c r="AE111" s="968">
        <v>405.49</v>
      </c>
      <c r="AF111" s="969">
        <v>496</v>
      </c>
      <c r="AG111" s="969">
        <v>514.41</v>
      </c>
      <c r="AH111" s="969">
        <v>522</v>
      </c>
      <c r="AI111" s="547">
        <v>512.04</v>
      </c>
      <c r="AJ111" s="547">
        <v>541.92999999999995</v>
      </c>
      <c r="AK111" s="1022">
        <v>639</v>
      </c>
      <c r="AL111" s="1023">
        <v>534</v>
      </c>
      <c r="AM111" s="1023">
        <v>532</v>
      </c>
      <c r="AN111" s="1023">
        <v>568.81123190000005</v>
      </c>
      <c r="AO111" s="1023">
        <v>578.72</v>
      </c>
      <c r="AP111" s="1023">
        <v>585.39</v>
      </c>
      <c r="AQ111" s="1023"/>
    </row>
    <row r="112" spans="2:43">
      <c r="C112" s="165" t="s">
        <v>284</v>
      </c>
      <c r="D112" s="261">
        <v>66.832094278865341</v>
      </c>
      <c r="E112" s="261">
        <v>71.244599019828996</v>
      </c>
      <c r="F112" s="261">
        <v>71.120652257442387</v>
      </c>
      <c r="G112" s="261">
        <v>74.095374554721261</v>
      </c>
      <c r="H112" s="261">
        <v>77.020518147045479</v>
      </c>
      <c r="I112" s="261">
        <v>85.895106333927458</v>
      </c>
      <c r="J112" s="261">
        <v>88.423620286614494</v>
      </c>
      <c r="K112" s="261">
        <v>88.423620286614494</v>
      </c>
      <c r="L112" s="261">
        <v>0</v>
      </c>
      <c r="M112" s="261">
        <v>0</v>
      </c>
      <c r="N112" s="261">
        <v>0</v>
      </c>
      <c r="O112" s="261">
        <v>0</v>
      </c>
      <c r="P112" s="261">
        <v>63.039323349834781</v>
      </c>
      <c r="Q112" s="261">
        <v>68.66650636218732</v>
      </c>
      <c r="R112" s="261">
        <v>80.813289076076046</v>
      </c>
      <c r="S112" s="261">
        <v>85.275372521994356</v>
      </c>
      <c r="T112" s="261">
        <v>88.374041581659839</v>
      </c>
      <c r="U112" s="261">
        <v>91.472710641325335</v>
      </c>
      <c r="V112" s="261">
        <v>94.249118118785617</v>
      </c>
      <c r="W112" s="261">
        <v>95.397087832567465</v>
      </c>
      <c r="X112" s="244">
        <v>100.53761240669748</v>
      </c>
      <c r="Y112" s="165">
        <v>85.59</v>
      </c>
      <c r="Z112" s="244">
        <v>61.53</v>
      </c>
      <c r="AA112" s="165">
        <v>93.95</v>
      </c>
      <c r="AB112" s="968">
        <v>87.04</v>
      </c>
      <c r="AC112" s="946">
        <v>91.94</v>
      </c>
      <c r="AD112" s="968">
        <v>89.92</v>
      </c>
      <c r="AE112" s="968">
        <v>92.67</v>
      </c>
      <c r="AF112" s="969">
        <v>119.37</v>
      </c>
      <c r="AG112" s="969">
        <v>117.75</v>
      </c>
      <c r="AH112" s="969">
        <v>118</v>
      </c>
      <c r="AI112" s="547">
        <v>106.21</v>
      </c>
      <c r="AJ112" s="547">
        <v>103.85</v>
      </c>
      <c r="AK112" s="1022">
        <v>106</v>
      </c>
      <c r="AL112" s="1023">
        <v>105</v>
      </c>
      <c r="AM112" s="1023">
        <v>104.74333515000001</v>
      </c>
      <c r="AN112" s="1023">
        <v>106.13144831</v>
      </c>
      <c r="AO112" s="1023">
        <v>116.6</v>
      </c>
      <c r="AP112" s="1023">
        <v>121.41</v>
      </c>
      <c r="AQ112" s="1023"/>
    </row>
    <row r="113" spans="2:43">
      <c r="B113" s="172"/>
      <c r="C113" s="172"/>
      <c r="D113" s="1004"/>
      <c r="E113" s="1004"/>
      <c r="F113" s="1004"/>
      <c r="G113" s="1004"/>
      <c r="H113" s="1004"/>
      <c r="I113" s="1004"/>
      <c r="J113" s="1004"/>
      <c r="K113" s="1004"/>
      <c r="L113" s="1004"/>
      <c r="M113" s="1004"/>
      <c r="N113" s="1004"/>
      <c r="O113" s="1004"/>
      <c r="P113" s="1004"/>
      <c r="Q113" s="1004"/>
      <c r="R113" s="1004"/>
      <c r="S113" s="1004"/>
      <c r="T113" s="1004"/>
      <c r="U113" s="1004"/>
      <c r="V113" s="1004"/>
      <c r="W113" s="1004"/>
      <c r="X113" s="931"/>
      <c r="Y113" s="931"/>
      <c r="Z113" s="931"/>
      <c r="AA113" s="931"/>
      <c r="AB113" s="1002"/>
      <c r="AC113" s="1002"/>
      <c r="AD113" s="1002"/>
      <c r="AE113" s="1002"/>
      <c r="AF113" s="1005"/>
      <c r="AG113" s="1005"/>
      <c r="AH113" s="1005"/>
      <c r="AI113" s="1005"/>
      <c r="AJ113" s="1005"/>
      <c r="AK113" s="1005"/>
      <c r="AL113" s="1005"/>
      <c r="AM113" s="1005"/>
      <c r="AN113" s="1005"/>
      <c r="AO113" s="1005"/>
      <c r="AP113" s="1005"/>
      <c r="AQ113" s="1005"/>
    </row>
    <row r="114" spans="2:43">
      <c r="D114" s="261"/>
      <c r="E114" s="261"/>
      <c r="F114" s="261"/>
      <c r="G114" s="261"/>
      <c r="H114" s="261"/>
      <c r="I114" s="261"/>
      <c r="J114" s="261"/>
      <c r="K114" s="261"/>
      <c r="L114" s="261"/>
      <c r="M114" s="261"/>
      <c r="N114" s="261"/>
      <c r="O114" s="261"/>
      <c r="P114" s="261"/>
      <c r="Q114" s="261"/>
      <c r="R114" s="261"/>
      <c r="S114" s="261"/>
      <c r="T114" s="261"/>
      <c r="U114" s="261"/>
      <c r="V114" s="261"/>
      <c r="W114" s="261"/>
      <c r="X114" s="244"/>
      <c r="Y114" s="244"/>
      <c r="Z114" s="244"/>
      <c r="AA114" s="244"/>
      <c r="AB114" s="968"/>
      <c r="AC114" s="244"/>
      <c r="AD114" s="968"/>
      <c r="AE114" s="244"/>
      <c r="AF114" s="969"/>
      <c r="AL114" s="167"/>
      <c r="AM114" s="167"/>
      <c r="AN114" s="167"/>
    </row>
    <row r="115" spans="2:43" ht="15" customHeight="1">
      <c r="B115" s="165" t="s">
        <v>285</v>
      </c>
      <c r="D115" s="261"/>
      <c r="E115" s="261"/>
      <c r="F115" s="261"/>
      <c r="G115" s="261"/>
      <c r="H115" s="261"/>
      <c r="I115" s="261"/>
      <c r="J115" s="261"/>
      <c r="K115" s="261"/>
      <c r="L115" s="261"/>
      <c r="M115" s="261"/>
      <c r="N115" s="261"/>
      <c r="O115" s="261"/>
      <c r="P115" s="261"/>
      <c r="Q115" s="261"/>
      <c r="R115" s="261"/>
      <c r="S115" s="261"/>
      <c r="T115" s="261"/>
      <c r="U115" s="261"/>
      <c r="V115" s="261"/>
      <c r="W115" s="261"/>
      <c r="X115" s="244"/>
      <c r="Y115" s="165"/>
      <c r="Z115" s="244"/>
      <c r="AA115" s="165"/>
      <c r="AC115" s="165"/>
      <c r="AD115" s="968"/>
      <c r="AE115" s="244"/>
      <c r="AF115" s="969"/>
      <c r="AL115" s="167"/>
      <c r="AM115" s="167"/>
      <c r="AN115" s="167"/>
    </row>
    <row r="116" spans="2:43">
      <c r="D116" s="261"/>
      <c r="E116" s="261"/>
      <c r="F116" s="261"/>
      <c r="G116" s="261"/>
      <c r="H116" s="261"/>
      <c r="I116" s="261"/>
      <c r="J116" s="261"/>
      <c r="K116" s="261"/>
      <c r="L116" s="261"/>
      <c r="M116" s="261"/>
      <c r="N116" s="261"/>
      <c r="O116" s="261"/>
      <c r="P116" s="261"/>
      <c r="Q116" s="261"/>
      <c r="R116" s="261"/>
      <c r="S116" s="261"/>
      <c r="T116" s="261"/>
      <c r="U116" s="261"/>
      <c r="V116" s="261"/>
      <c r="W116" s="261"/>
      <c r="X116" s="244"/>
      <c r="Y116" s="165"/>
      <c r="Z116" s="244"/>
      <c r="AA116" s="165"/>
      <c r="AC116" s="165"/>
      <c r="AD116" s="968"/>
      <c r="AE116" s="244"/>
      <c r="AF116" s="969"/>
      <c r="AL116" s="244"/>
      <c r="AM116" s="244"/>
      <c r="AN116" s="244"/>
    </row>
    <row r="117" spans="2:43">
      <c r="D117" s="261"/>
      <c r="E117" s="261"/>
      <c r="F117" s="261"/>
      <c r="G117" s="261"/>
      <c r="H117" s="261"/>
      <c r="I117" s="261"/>
      <c r="J117" s="261"/>
      <c r="K117" s="261"/>
      <c r="L117" s="261"/>
      <c r="M117" s="261"/>
      <c r="N117" s="261"/>
      <c r="O117" s="261"/>
      <c r="P117" s="261"/>
      <c r="Q117" s="261"/>
      <c r="R117" s="261"/>
      <c r="S117" s="261"/>
      <c r="T117" s="261"/>
      <c r="U117" s="261"/>
      <c r="V117" s="261"/>
      <c r="W117" s="261"/>
      <c r="X117" s="244"/>
      <c r="Y117" s="244"/>
      <c r="Z117" s="244"/>
      <c r="AA117" s="244"/>
      <c r="AB117" s="968"/>
      <c r="AC117" s="244"/>
      <c r="AD117" s="968"/>
      <c r="AE117" s="244"/>
      <c r="AF117" s="969"/>
    </row>
    <row r="118" spans="2:43">
      <c r="D118" s="261"/>
      <c r="E118" s="261"/>
      <c r="F118" s="261"/>
      <c r="G118" s="261"/>
      <c r="H118" s="261"/>
      <c r="I118" s="261"/>
      <c r="J118" s="261"/>
      <c r="K118" s="261"/>
      <c r="L118" s="261"/>
      <c r="M118" s="261"/>
      <c r="N118" s="261"/>
      <c r="O118" s="261"/>
      <c r="P118" s="261"/>
      <c r="Q118" s="261"/>
      <c r="R118" s="261"/>
      <c r="S118" s="261"/>
      <c r="T118" s="261"/>
      <c r="U118" s="261"/>
      <c r="V118" s="261"/>
      <c r="W118" s="261"/>
      <c r="X118" s="244"/>
      <c r="Y118" s="244"/>
      <c r="Z118" s="244"/>
      <c r="AA118" s="244"/>
      <c r="AB118" s="968"/>
      <c r="AC118" s="244"/>
      <c r="AD118" s="968"/>
      <c r="AE118" s="244"/>
      <c r="AF118" s="969"/>
    </row>
    <row r="119" spans="2:43">
      <c r="D119" s="261"/>
      <c r="E119" s="261"/>
      <c r="F119" s="261"/>
      <c r="G119" s="261"/>
      <c r="H119" s="261"/>
      <c r="I119" s="261"/>
      <c r="J119" s="261"/>
      <c r="K119" s="261"/>
      <c r="L119" s="261"/>
      <c r="M119" s="261"/>
      <c r="N119" s="261"/>
      <c r="O119" s="261"/>
      <c r="P119" s="261"/>
      <c r="Q119" s="261"/>
      <c r="R119" s="261"/>
      <c r="S119" s="261"/>
      <c r="T119" s="261"/>
      <c r="U119" s="261"/>
      <c r="V119" s="261"/>
      <c r="W119" s="261"/>
      <c r="X119" s="244"/>
      <c r="Y119" s="244"/>
      <c r="Z119" s="244"/>
      <c r="AA119" s="244"/>
      <c r="AB119" s="968"/>
      <c r="AC119" s="244"/>
      <c r="AD119" s="968"/>
      <c r="AE119" s="244"/>
      <c r="AF119" s="969"/>
    </row>
    <row r="120" spans="2:43">
      <c r="B120" s="206"/>
      <c r="D120" s="261"/>
      <c r="E120" s="261"/>
      <c r="F120" s="261"/>
      <c r="G120" s="261"/>
      <c r="H120" s="261"/>
      <c r="I120" s="261"/>
      <c r="J120" s="261"/>
      <c r="K120" s="261"/>
      <c r="L120" s="261"/>
      <c r="M120" s="261"/>
      <c r="N120" s="261"/>
      <c r="O120" s="261"/>
      <c r="P120" s="261"/>
      <c r="Q120" s="261"/>
      <c r="R120" s="261"/>
      <c r="S120" s="261"/>
      <c r="T120" s="261"/>
      <c r="U120" s="261"/>
      <c r="V120" s="261"/>
      <c r="W120" s="261"/>
      <c r="X120" s="244"/>
      <c r="Y120" s="244"/>
      <c r="Z120" s="244"/>
      <c r="AA120" s="244"/>
      <c r="AB120" s="968"/>
      <c r="AC120" s="244"/>
      <c r="AD120" s="968"/>
      <c r="AE120" s="244"/>
      <c r="AF120" s="969"/>
    </row>
    <row r="121" spans="2:43">
      <c r="D121" s="261"/>
      <c r="E121" s="261"/>
      <c r="F121" s="261"/>
      <c r="G121" s="261"/>
      <c r="H121" s="261"/>
      <c r="I121" s="261"/>
      <c r="J121" s="261"/>
      <c r="K121" s="261"/>
      <c r="L121" s="261"/>
      <c r="M121" s="261"/>
      <c r="N121" s="261"/>
      <c r="O121" s="261"/>
      <c r="P121" s="261"/>
      <c r="Q121" s="261"/>
      <c r="R121" s="261"/>
      <c r="S121" s="261"/>
      <c r="T121" s="261"/>
      <c r="U121" s="261"/>
      <c r="V121" s="261"/>
      <c r="W121" s="261"/>
      <c r="X121" s="244"/>
      <c r="Y121" s="244"/>
      <c r="Z121" s="244"/>
      <c r="AA121" s="244"/>
      <c r="AB121" s="968"/>
      <c r="AC121" s="244"/>
      <c r="AD121" s="968"/>
      <c r="AE121" s="244"/>
      <c r="AF121" s="969"/>
    </row>
    <row r="122" spans="2:43">
      <c r="D122" s="261"/>
      <c r="E122" s="261"/>
      <c r="F122" s="261"/>
      <c r="G122" s="261"/>
      <c r="H122" s="261"/>
      <c r="I122" s="261"/>
      <c r="J122" s="261"/>
      <c r="K122" s="261"/>
      <c r="L122" s="261"/>
      <c r="M122" s="261"/>
      <c r="N122" s="261"/>
      <c r="O122" s="261"/>
      <c r="P122" s="261"/>
      <c r="Q122" s="261"/>
      <c r="R122" s="261"/>
      <c r="S122" s="261"/>
      <c r="T122" s="261"/>
      <c r="U122" s="261"/>
      <c r="V122" s="261"/>
      <c r="W122" s="261"/>
      <c r="X122" s="244"/>
      <c r="Y122" s="244"/>
      <c r="Z122" s="244"/>
      <c r="AA122" s="244"/>
      <c r="AB122" s="968"/>
      <c r="AC122" s="244"/>
      <c r="AD122" s="968"/>
      <c r="AE122" s="244"/>
      <c r="AF122" s="969"/>
    </row>
  </sheetData>
  <mergeCells count="6">
    <mergeCell ref="B87:AD87"/>
    <mergeCell ref="B48:AD48"/>
    <mergeCell ref="B49:AD49"/>
    <mergeCell ref="B55:Z55"/>
    <mergeCell ref="B15:AQ15"/>
    <mergeCell ref="B47:AQ47"/>
  </mergeCells>
  <pageMargins left="0.70866141732283472" right="0.70866141732283472" top="0.74803149606299213" bottom="0.74803149606299213" header="0.31496062992125984" footer="0.31496062992125984"/>
  <pageSetup paperSize="9" scale="47"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Y197"/>
  <sheetViews>
    <sheetView topLeftCell="B15" zoomScale="85" zoomScaleNormal="85" workbookViewId="0">
      <selection activeCell="AS130" sqref="AS130"/>
    </sheetView>
  </sheetViews>
  <sheetFormatPr defaultColWidth="8.88671875" defaultRowHeight="12.75" outlineLevelRow="1"/>
  <cols>
    <col min="1" max="1" width="8.5546875" style="158" hidden="1" customWidth="1"/>
    <col min="2" max="2" width="7.109375" style="158" customWidth="1"/>
    <col min="3" max="3" width="58.44140625" style="158" customWidth="1"/>
    <col min="4" max="14" width="0.77734375" style="158" customWidth="1"/>
    <col min="15" max="23" width="6.109375" style="158" hidden="1" customWidth="1"/>
    <col min="24" max="24" width="8" style="743" bestFit="1" customWidth="1"/>
    <col min="25" max="25" width="3.77734375" style="743" customWidth="1"/>
    <col min="26" max="26" width="7.21875" style="743" bestFit="1" customWidth="1"/>
    <col min="27" max="27" width="3.77734375" style="743" customWidth="1"/>
    <col min="28" max="28" width="7.5546875" style="743" bestFit="1" customWidth="1"/>
    <col min="29" max="29" width="4.44140625" style="743" customWidth="1"/>
    <col min="30" max="30" width="7.21875" style="743" bestFit="1" customWidth="1"/>
    <col min="31" max="31" width="2.5546875" style="743" customWidth="1"/>
    <col min="32" max="35" width="7.44140625" style="743" customWidth="1"/>
    <col min="36" max="43" width="7.44140625" style="158" customWidth="1"/>
    <col min="44" max="44" width="8.109375" style="158" customWidth="1"/>
    <col min="45" max="45" width="8.88671875" style="158" customWidth="1"/>
    <col min="46" max="46" width="2.6640625" style="158" customWidth="1"/>
    <col min="47" max="47" width="8.88671875" style="158" customWidth="1"/>
    <col min="48" max="48" width="2.109375" style="158" customWidth="1"/>
    <col min="49" max="51" width="8.88671875" style="158" customWidth="1"/>
    <col min="52" max="16384" width="8.88671875" style="158"/>
  </cols>
  <sheetData>
    <row r="1" spans="1:44" hidden="1" outlineLevel="1">
      <c r="B1" s="158" t="s">
        <v>286</v>
      </c>
    </row>
    <row r="2" spans="1:44" hidden="1" outlineLevel="1"/>
    <row r="3" spans="1:44" hidden="1" outlineLevel="1"/>
    <row r="4" spans="1:44" hidden="1" outlineLevel="1">
      <c r="B4" s="570" t="s">
        <v>287</v>
      </c>
      <c r="C4" s="570"/>
      <c r="D4" s="559"/>
      <c r="E4" s="559"/>
      <c r="F4" s="559"/>
      <c r="G4" s="559"/>
      <c r="H4" s="559"/>
      <c r="I4" s="559"/>
      <c r="J4" s="559"/>
      <c r="K4" s="559"/>
      <c r="L4" s="559"/>
      <c r="M4" s="559"/>
      <c r="N4" s="559"/>
      <c r="O4" s="559">
        <v>1992</v>
      </c>
      <c r="P4" s="559">
        <v>1993</v>
      </c>
      <c r="Q4" s="559">
        <v>1994</v>
      </c>
      <c r="R4" s="559">
        <v>1995</v>
      </c>
      <c r="S4" s="559">
        <v>1996</v>
      </c>
      <c r="T4" s="559">
        <v>1997</v>
      </c>
      <c r="U4" s="559">
        <v>1998</v>
      </c>
      <c r="V4" s="559">
        <v>1999</v>
      </c>
      <c r="W4" s="559">
        <v>2000</v>
      </c>
      <c r="X4" s="745">
        <v>2001</v>
      </c>
      <c r="Y4" s="745"/>
      <c r="Z4" s="745">
        <v>2003</v>
      </c>
      <c r="AA4" s="745"/>
      <c r="AB4" s="745">
        <v>2005</v>
      </c>
      <c r="AC4" s="745"/>
      <c r="AD4" s="745">
        <v>2007</v>
      </c>
      <c r="AE4" s="745"/>
      <c r="AF4" s="745">
        <v>2009</v>
      </c>
      <c r="AG4" s="745">
        <v>2010</v>
      </c>
      <c r="AH4" s="745">
        <v>2011</v>
      </c>
      <c r="AI4" s="745">
        <v>2012</v>
      </c>
      <c r="AJ4" s="745">
        <v>2013</v>
      </c>
      <c r="AK4" s="745">
        <v>2014</v>
      </c>
      <c r="AL4" s="745">
        <v>2015</v>
      </c>
      <c r="AM4" s="745">
        <v>2016</v>
      </c>
      <c r="AN4" s="745">
        <v>2017</v>
      </c>
      <c r="AO4" s="745">
        <v>2018</v>
      </c>
      <c r="AP4" s="745">
        <v>2019</v>
      </c>
      <c r="AQ4" s="745">
        <v>2020</v>
      </c>
      <c r="AR4" s="745">
        <v>2021</v>
      </c>
    </row>
    <row r="5" spans="1:44" hidden="1" outlineLevel="1">
      <c r="AJ5" s="743"/>
      <c r="AK5" s="743"/>
      <c r="AL5" s="743"/>
      <c r="AM5" s="743"/>
      <c r="AN5" s="743"/>
      <c r="AO5" s="743"/>
      <c r="AP5" s="743"/>
      <c r="AQ5" s="743"/>
      <c r="AR5" s="743"/>
    </row>
    <row r="6" spans="1:44" hidden="1" outlineLevel="1">
      <c r="A6" s="311" t="s">
        <v>2</v>
      </c>
      <c r="B6" s="158" t="s">
        <v>3</v>
      </c>
      <c r="O6" s="1024">
        <v>490</v>
      </c>
      <c r="P6" s="1024">
        <v>530</v>
      </c>
      <c r="Q6" s="1024">
        <v>535</v>
      </c>
      <c r="R6" s="1024">
        <v>575</v>
      </c>
      <c r="S6" s="1024">
        <v>595</v>
      </c>
      <c r="T6" s="1024">
        <v>620</v>
      </c>
      <c r="U6" s="1024">
        <v>670</v>
      </c>
      <c r="V6" s="1024">
        <v>765</v>
      </c>
      <c r="W6" s="1024">
        <v>855</v>
      </c>
      <c r="X6" s="1025">
        <f t="shared" ref="X6:AO6" si="0">X94</f>
        <v>5328</v>
      </c>
      <c r="Y6" s="1025"/>
      <c r="Z6" s="1025">
        <f t="shared" si="0"/>
        <v>5621</v>
      </c>
      <c r="AA6" s="1025"/>
      <c r="AB6" s="1025">
        <f t="shared" si="0"/>
        <v>6079</v>
      </c>
      <c r="AC6" s="1025"/>
      <c r="AD6" s="1025">
        <f t="shared" si="0"/>
        <v>8129</v>
      </c>
      <c r="AE6" s="1025"/>
      <c r="AF6" s="1025">
        <f t="shared" si="0"/>
        <v>8547</v>
      </c>
      <c r="AG6" s="1025">
        <f t="shared" si="0"/>
        <v>8811</v>
      </c>
      <c r="AH6" s="1025">
        <f t="shared" si="0"/>
        <v>9122</v>
      </c>
      <c r="AI6" s="1025">
        <f t="shared" si="0"/>
        <v>9573</v>
      </c>
      <c r="AJ6" s="1025">
        <f t="shared" si="0"/>
        <v>9790</v>
      </c>
      <c r="AK6" s="1025">
        <f t="shared" si="0"/>
        <v>11972</v>
      </c>
      <c r="AL6" s="1025">
        <f t="shared" si="0"/>
        <v>11010</v>
      </c>
      <c r="AM6" s="1025">
        <f t="shared" si="0"/>
        <v>9430</v>
      </c>
      <c r="AN6" s="1025">
        <f t="shared" si="0"/>
        <v>9565</v>
      </c>
      <c r="AO6" s="1025">
        <f t="shared" si="0"/>
        <v>9920</v>
      </c>
      <c r="AP6" s="1025">
        <f>AP94</f>
        <v>10350</v>
      </c>
      <c r="AQ6" s="1025">
        <f>AQ94</f>
        <v>15769</v>
      </c>
      <c r="AR6" s="1025">
        <f>AR94</f>
        <v>10650</v>
      </c>
    </row>
    <row r="7" spans="1:44" hidden="1" outlineLevel="1">
      <c r="A7" s="311" t="s">
        <v>4</v>
      </c>
      <c r="B7" s="158" t="s">
        <v>5</v>
      </c>
      <c r="O7" s="859">
        <v>1990</v>
      </c>
      <c r="P7" s="859">
        <v>2080</v>
      </c>
      <c r="Q7" s="859">
        <v>2170</v>
      </c>
      <c r="R7" s="859">
        <v>2415</v>
      </c>
      <c r="S7" s="859">
        <v>2610</v>
      </c>
      <c r="T7" s="859">
        <v>2805</v>
      </c>
      <c r="U7" s="859">
        <v>2950</v>
      </c>
      <c r="V7" s="859">
        <v>3085</v>
      </c>
      <c r="W7" s="859">
        <v>3200</v>
      </c>
      <c r="X7" s="1026">
        <f t="shared" ref="X7:Z7" si="1">X130</f>
        <v>2165</v>
      </c>
      <c r="Y7" s="1025"/>
      <c r="Z7" s="1026">
        <f t="shared" si="1"/>
        <v>2244.9971340000002</v>
      </c>
      <c r="AA7" s="1025"/>
      <c r="AB7" s="1026">
        <f>AB130</f>
        <v>2826</v>
      </c>
      <c r="AC7" s="1025"/>
      <c r="AD7" s="1026">
        <f t="shared" ref="AD7" si="2">AD130</f>
        <v>3245</v>
      </c>
      <c r="AE7" s="1025"/>
      <c r="AF7" s="1026">
        <f t="shared" ref="AF7:AN7" si="3">AF130</f>
        <v>4753</v>
      </c>
      <c r="AG7" s="1026">
        <f t="shared" si="3"/>
        <v>5165</v>
      </c>
      <c r="AH7" s="1026">
        <f t="shared" si="3"/>
        <v>5290</v>
      </c>
      <c r="AI7" s="1026">
        <f t="shared" si="3"/>
        <v>5375</v>
      </c>
      <c r="AJ7" s="1026">
        <f t="shared" si="3"/>
        <v>5600</v>
      </c>
      <c r="AK7" s="1026">
        <f t="shared" si="3"/>
        <v>5969</v>
      </c>
      <c r="AL7" s="1026">
        <f t="shared" si="3"/>
        <v>5929</v>
      </c>
      <c r="AM7" s="1026">
        <f t="shared" si="3"/>
        <v>5934</v>
      </c>
      <c r="AN7" s="1026">
        <f t="shared" si="3"/>
        <v>6769</v>
      </c>
      <c r="AO7" s="1026">
        <f>AO130</f>
        <v>7095</v>
      </c>
      <c r="AP7" s="1026">
        <f t="shared" ref="AP7:AQ7" si="4">AP130</f>
        <v>7575</v>
      </c>
      <c r="AQ7" s="1026">
        <f t="shared" si="4"/>
        <v>7520</v>
      </c>
      <c r="AR7" s="1026">
        <f>AR130</f>
        <v>7980</v>
      </c>
    </row>
    <row r="8" spans="1:44" hidden="1" outlineLevel="1">
      <c r="A8" s="311" t="s">
        <v>6</v>
      </c>
      <c r="O8" s="1024">
        <v>2480</v>
      </c>
      <c r="P8" s="1024">
        <v>2610</v>
      </c>
      <c r="Q8" s="1024">
        <v>2705</v>
      </c>
      <c r="R8" s="1024">
        <v>2990</v>
      </c>
      <c r="S8" s="1024">
        <v>3205</v>
      </c>
      <c r="T8" s="1024">
        <v>3425</v>
      </c>
      <c r="U8" s="1024">
        <v>3620</v>
      </c>
      <c r="V8" s="1024">
        <v>3850</v>
      </c>
      <c r="W8" s="1024">
        <v>4055</v>
      </c>
      <c r="X8" s="1025">
        <f t="shared" ref="X8" si="5">SUM(X6:X7)</f>
        <v>7493</v>
      </c>
      <c r="Y8" s="1025"/>
      <c r="Z8" s="1025">
        <f t="shared" ref="Z8" si="6">SUM(Z6:Z7)</f>
        <v>7865.9971340000002</v>
      </c>
      <c r="AA8" s="1025"/>
      <c r="AB8" s="1025">
        <f t="shared" ref="AB8" si="7">SUM(AB6:AB7)</f>
        <v>8905</v>
      </c>
      <c r="AC8" s="1025"/>
      <c r="AD8" s="1025">
        <f t="shared" ref="AD8" si="8">SUM(AD6:AD7)</f>
        <v>11374</v>
      </c>
      <c r="AE8" s="1025"/>
      <c r="AF8" s="1025">
        <f t="shared" ref="AF8:AQ8" si="9">SUM(AF6:AF7)</f>
        <v>13300</v>
      </c>
      <c r="AG8" s="1025">
        <f t="shared" si="9"/>
        <v>13976</v>
      </c>
      <c r="AH8" s="1025">
        <f t="shared" si="9"/>
        <v>14412</v>
      </c>
      <c r="AI8" s="1025">
        <f t="shared" si="9"/>
        <v>14948</v>
      </c>
      <c r="AJ8" s="1025">
        <f t="shared" si="9"/>
        <v>15390</v>
      </c>
      <c r="AK8" s="1025">
        <f t="shared" si="9"/>
        <v>17941</v>
      </c>
      <c r="AL8" s="1025">
        <f t="shared" si="9"/>
        <v>16939</v>
      </c>
      <c r="AM8" s="1025">
        <f t="shared" si="9"/>
        <v>15364</v>
      </c>
      <c r="AN8" s="1025">
        <f t="shared" si="9"/>
        <v>16334</v>
      </c>
      <c r="AO8" s="1025">
        <f t="shared" si="9"/>
        <v>17015</v>
      </c>
      <c r="AP8" s="1025">
        <f t="shared" si="9"/>
        <v>17925</v>
      </c>
      <c r="AQ8" s="1025">
        <f t="shared" si="9"/>
        <v>23289</v>
      </c>
      <c r="AR8" s="1025">
        <f>SUM(AR6:AR7)</f>
        <v>18630</v>
      </c>
    </row>
    <row r="9" spans="1:44" hidden="1" outlineLevel="1">
      <c r="O9" s="283"/>
      <c r="P9" s="283"/>
      <c r="Q9" s="283"/>
      <c r="R9" s="283"/>
      <c r="S9" s="283"/>
      <c r="T9" s="283"/>
      <c r="U9" s="283"/>
      <c r="V9" s="283"/>
      <c r="W9" s="283"/>
      <c r="X9" s="747"/>
      <c r="Y9" s="747"/>
      <c r="Z9" s="747"/>
      <c r="AA9" s="747"/>
      <c r="AB9" s="747"/>
      <c r="AC9" s="747"/>
      <c r="AD9" s="747"/>
      <c r="AE9" s="747"/>
      <c r="AF9" s="747"/>
      <c r="AG9" s="747"/>
      <c r="AH9" s="747"/>
      <c r="AI9" s="747"/>
      <c r="AJ9" s="747"/>
      <c r="AK9" s="747"/>
      <c r="AL9" s="747"/>
      <c r="AM9" s="747"/>
      <c r="AN9" s="747"/>
      <c r="AO9" s="747"/>
      <c r="AP9" s="747"/>
      <c r="AQ9" s="747"/>
      <c r="AR9" s="747"/>
    </row>
    <row r="10" spans="1:44" hidden="1" outlineLevel="1">
      <c r="B10" s="158" t="s">
        <v>110</v>
      </c>
      <c r="O10" s="283"/>
      <c r="P10" s="283"/>
      <c r="Q10" s="283"/>
      <c r="R10" s="283"/>
      <c r="S10" s="283"/>
      <c r="T10" s="283"/>
      <c r="U10" s="283"/>
      <c r="V10" s="283"/>
      <c r="W10" s="283"/>
      <c r="X10" s="747">
        <f t="shared" ref="X10:AB10" si="10">X154</f>
        <v>5390</v>
      </c>
      <c r="Y10" s="747"/>
      <c r="Z10" s="747">
        <f t="shared" si="10"/>
        <v>13980</v>
      </c>
      <c r="AA10" s="747"/>
      <c r="AB10" s="747">
        <f t="shared" si="10"/>
        <v>22535</v>
      </c>
      <c r="AC10" s="747"/>
      <c r="AD10" s="747">
        <f>AD154</f>
        <v>30765</v>
      </c>
      <c r="AE10" s="747"/>
      <c r="AF10" s="747">
        <f t="shared" ref="AF10" si="11">AF154</f>
        <v>21030</v>
      </c>
      <c r="AG10" s="747">
        <f>AG154</f>
        <v>27885</v>
      </c>
      <c r="AH10" s="747">
        <f t="shared" ref="AH10:AN10" si="12">AH154</f>
        <v>28050</v>
      </c>
      <c r="AI10" s="747">
        <f t="shared" si="12"/>
        <v>33330</v>
      </c>
      <c r="AJ10" s="747">
        <f t="shared" si="12"/>
        <v>36190</v>
      </c>
      <c r="AK10" s="747">
        <f t="shared" si="12"/>
        <v>42030</v>
      </c>
      <c r="AL10" s="747">
        <f t="shared" si="12"/>
        <v>42230</v>
      </c>
      <c r="AM10" s="747">
        <f t="shared" si="12"/>
        <v>43900</v>
      </c>
      <c r="AN10" s="747">
        <f t="shared" si="12"/>
        <v>47935</v>
      </c>
      <c r="AO10" s="747">
        <f>AO154</f>
        <v>42380</v>
      </c>
      <c r="AP10" s="747">
        <f t="shared" ref="AP10:AQ10" si="13">AP154</f>
        <v>49420</v>
      </c>
      <c r="AQ10" s="747">
        <f t="shared" si="13"/>
        <v>42490</v>
      </c>
      <c r="AR10" s="747">
        <f>AR154</f>
        <v>45945</v>
      </c>
    </row>
    <row r="11" spans="1:44" hidden="1" outlineLevel="1">
      <c r="O11" s="283"/>
      <c r="P11" s="283"/>
      <c r="Q11" s="283"/>
      <c r="R11" s="283"/>
      <c r="S11" s="283"/>
      <c r="T11" s="283"/>
      <c r="U11" s="283"/>
      <c r="V11" s="283"/>
      <c r="W11" s="283"/>
      <c r="X11" s="747"/>
      <c r="Y11" s="747"/>
      <c r="Z11" s="747"/>
      <c r="AA11" s="747"/>
      <c r="AB11" s="747"/>
      <c r="AC11" s="747"/>
      <c r="AD11" s="747"/>
      <c r="AE11" s="747"/>
      <c r="AF11" s="747"/>
      <c r="AG11" s="747"/>
      <c r="AH11" s="747"/>
      <c r="AI11" s="747"/>
      <c r="AJ11" s="747"/>
      <c r="AK11" s="747"/>
      <c r="AL11" s="747"/>
      <c r="AM11" s="747"/>
      <c r="AN11" s="747"/>
      <c r="AO11" s="747"/>
      <c r="AP11" s="747"/>
      <c r="AQ11" s="747"/>
      <c r="AR11" s="747"/>
    </row>
    <row r="12" spans="1:44" hidden="1" outlineLevel="1">
      <c r="B12" s="158" t="s">
        <v>8</v>
      </c>
      <c r="O12" s="283"/>
      <c r="P12" s="283"/>
      <c r="Q12" s="283"/>
      <c r="R12" s="283"/>
      <c r="S12" s="283"/>
      <c r="T12" s="283"/>
      <c r="U12" s="283"/>
      <c r="V12" s="283"/>
      <c r="W12" s="283"/>
      <c r="X12" s="747">
        <f t="shared" ref="X12:AD12" si="14">SUM(X97:X108)</f>
        <v>1209</v>
      </c>
      <c r="Y12" s="747"/>
      <c r="Z12" s="747">
        <f t="shared" si="14"/>
        <v>1280</v>
      </c>
      <c r="AA12" s="747"/>
      <c r="AB12" s="747">
        <f t="shared" si="14"/>
        <v>1327</v>
      </c>
      <c r="AC12" s="747"/>
      <c r="AD12" s="747">
        <f t="shared" si="14"/>
        <v>3137</v>
      </c>
      <c r="AE12" s="747"/>
      <c r="AF12" s="747">
        <f t="shared" ref="AF12:AQ12" si="15">SUM(AF97:AF108)</f>
        <v>3280</v>
      </c>
      <c r="AG12" s="747">
        <f t="shared" si="15"/>
        <v>3320</v>
      </c>
      <c r="AH12" s="747">
        <f t="shared" si="15"/>
        <v>3440</v>
      </c>
      <c r="AI12" s="747">
        <f t="shared" si="15"/>
        <v>3651</v>
      </c>
      <c r="AJ12" s="747">
        <f t="shared" si="15"/>
        <v>3684</v>
      </c>
      <c r="AK12" s="747">
        <f t="shared" si="15"/>
        <v>5609</v>
      </c>
      <c r="AL12" s="747">
        <f t="shared" si="15"/>
        <v>4332</v>
      </c>
      <c r="AM12" s="747">
        <f t="shared" si="15"/>
        <v>2522</v>
      </c>
      <c r="AN12" s="747">
        <f>SUM(AN97:AN108)</f>
        <v>2372</v>
      </c>
      <c r="AO12" s="747">
        <f t="shared" si="15"/>
        <v>2472</v>
      </c>
      <c r="AP12" s="747">
        <f t="shared" si="15"/>
        <v>2512</v>
      </c>
      <c r="AQ12" s="747">
        <f t="shared" si="15"/>
        <v>2316</v>
      </c>
      <c r="AR12" s="747">
        <f>SUM(AR97:AR108)</f>
        <v>2492</v>
      </c>
    </row>
    <row r="13" spans="1:44" hidden="1" outlineLevel="1">
      <c r="C13" s="158" t="s">
        <v>256</v>
      </c>
      <c r="O13" s="283"/>
      <c r="P13" s="283"/>
      <c r="Q13" s="283"/>
      <c r="R13" s="283"/>
      <c r="S13" s="283"/>
      <c r="T13" s="283"/>
      <c r="U13" s="283"/>
      <c r="V13" s="283"/>
      <c r="W13" s="283"/>
      <c r="X13" s="747">
        <f t="shared" ref="X13:AQ13" si="16">X98</f>
        <v>530</v>
      </c>
      <c r="Y13" s="747"/>
      <c r="Z13" s="747">
        <f t="shared" si="16"/>
        <v>535</v>
      </c>
      <c r="AA13" s="747"/>
      <c r="AB13" s="747">
        <f t="shared" si="16"/>
        <v>570</v>
      </c>
      <c r="AC13" s="747"/>
      <c r="AD13" s="747">
        <f t="shared" si="16"/>
        <v>750</v>
      </c>
      <c r="AE13" s="747"/>
      <c r="AF13" s="747">
        <f t="shared" si="16"/>
        <v>810</v>
      </c>
      <c r="AG13" s="747">
        <f t="shared" si="16"/>
        <v>850</v>
      </c>
      <c r="AH13" s="747">
        <f t="shared" si="16"/>
        <v>900</v>
      </c>
      <c r="AI13" s="747">
        <f t="shared" si="16"/>
        <v>990</v>
      </c>
      <c r="AJ13" s="747">
        <f t="shared" si="16"/>
        <v>960</v>
      </c>
      <c r="AK13" s="747">
        <f t="shared" si="16"/>
        <v>1080</v>
      </c>
      <c r="AL13" s="747">
        <f>AL98</f>
        <v>1345</v>
      </c>
      <c r="AM13" s="747">
        <f t="shared" si="16"/>
        <v>1215</v>
      </c>
      <c r="AN13" s="747">
        <f t="shared" si="16"/>
        <v>1240</v>
      </c>
      <c r="AO13" s="747">
        <f t="shared" si="16"/>
        <v>1270</v>
      </c>
      <c r="AP13" s="747">
        <f t="shared" si="16"/>
        <v>1270</v>
      </c>
      <c r="AQ13" s="747">
        <f t="shared" si="16"/>
        <v>900</v>
      </c>
      <c r="AR13" s="747">
        <f>AR98</f>
        <v>1040</v>
      </c>
    </row>
    <row r="14" spans="1:44" hidden="1" outlineLevel="1">
      <c r="C14" s="158" t="s">
        <v>257</v>
      </c>
      <c r="O14" s="283"/>
      <c r="P14" s="283"/>
      <c r="Q14" s="283"/>
      <c r="R14" s="283"/>
      <c r="S14" s="283"/>
      <c r="T14" s="283"/>
      <c r="U14" s="283"/>
      <c r="V14" s="283"/>
      <c r="W14" s="283"/>
      <c r="X14" s="747"/>
      <c r="Y14" s="747"/>
      <c r="Z14" s="747"/>
      <c r="AA14" s="747"/>
      <c r="AB14" s="747"/>
      <c r="AC14" s="747"/>
      <c r="AD14" s="747"/>
      <c r="AE14" s="747"/>
      <c r="AF14" s="747"/>
      <c r="AG14" s="747"/>
    </row>
    <row r="15" spans="1:44" ht="32.25" customHeight="1" collapsed="1">
      <c r="B15" s="1917" t="s">
        <v>9</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c r="AR15" s="1917"/>
    </row>
    <row r="16" spans="1:44">
      <c r="O16" s="283"/>
      <c r="P16" s="283"/>
      <c r="Q16" s="283"/>
      <c r="R16" s="283"/>
      <c r="S16" s="283"/>
      <c r="T16" s="283"/>
      <c r="U16" s="283"/>
      <c r="V16" s="283"/>
      <c r="W16" s="283"/>
      <c r="X16" s="747"/>
      <c r="Y16" s="747"/>
      <c r="Z16" s="747"/>
      <c r="AA16" s="747"/>
      <c r="AB16" s="747"/>
      <c r="AC16" s="747"/>
      <c r="AD16" s="747"/>
      <c r="AE16" s="747"/>
      <c r="AF16" s="747"/>
      <c r="AG16" s="747"/>
    </row>
    <row r="17" spans="2:44">
      <c r="B17" s="286" t="s">
        <v>286</v>
      </c>
      <c r="C17" s="287"/>
      <c r="D17" s="287"/>
      <c r="E17" s="287"/>
      <c r="F17" s="287"/>
      <c r="G17" s="287"/>
      <c r="H17" s="287"/>
      <c r="I17" s="287"/>
      <c r="J17" s="287"/>
      <c r="K17" s="287"/>
      <c r="L17" s="287"/>
      <c r="M17" s="287"/>
      <c r="N17" s="287"/>
      <c r="O17" s="287"/>
      <c r="P17" s="287"/>
      <c r="Q17" s="287"/>
      <c r="R17" s="287"/>
      <c r="S17" s="287"/>
      <c r="T17" s="287"/>
      <c r="U17" s="287"/>
      <c r="V17" s="287"/>
      <c r="W17" s="287"/>
      <c r="X17" s="748"/>
      <c r="Y17" s="748"/>
      <c r="Z17" s="748"/>
      <c r="AA17" s="748"/>
      <c r="AB17" s="748"/>
      <c r="AC17" s="748"/>
      <c r="AD17" s="748"/>
      <c r="AE17" s="748"/>
      <c r="AF17" s="748"/>
      <c r="AG17" s="747"/>
    </row>
    <row r="18" spans="2:44">
      <c r="O18" s="283"/>
      <c r="P18" s="283"/>
      <c r="Q18" s="283"/>
      <c r="R18" s="283"/>
      <c r="S18" s="283"/>
      <c r="T18" s="283"/>
      <c r="U18" s="283"/>
      <c r="V18" s="283"/>
      <c r="W18" s="283"/>
      <c r="X18" s="747"/>
      <c r="Y18" s="747"/>
      <c r="Z18" s="747"/>
      <c r="AA18" s="747"/>
      <c r="AB18" s="747"/>
      <c r="AC18" s="747"/>
      <c r="AD18" s="747"/>
      <c r="AE18" s="747"/>
      <c r="AF18" s="747"/>
      <c r="AG18" s="747"/>
    </row>
    <row r="19" spans="2:44">
      <c r="B19" s="286" t="s">
        <v>243</v>
      </c>
      <c r="C19" s="287"/>
      <c r="D19" s="287"/>
      <c r="E19" s="287"/>
      <c r="F19" s="287"/>
      <c r="G19" s="287"/>
      <c r="H19" s="287"/>
      <c r="I19" s="287"/>
      <c r="J19" s="287"/>
      <c r="K19" s="287"/>
      <c r="L19" s="287"/>
      <c r="M19" s="287"/>
      <c r="N19" s="287"/>
      <c r="O19" s="287"/>
      <c r="P19" s="287"/>
      <c r="Q19" s="287"/>
      <c r="R19" s="287"/>
      <c r="S19" s="287"/>
      <c r="T19" s="287"/>
      <c r="U19" s="287"/>
      <c r="V19" s="287"/>
      <c r="W19" s="287"/>
      <c r="X19" s="748"/>
      <c r="Y19" s="748"/>
      <c r="Z19" s="748"/>
      <c r="AA19" s="748"/>
      <c r="AB19" s="748"/>
      <c r="AC19" s="748"/>
      <c r="AD19" s="748"/>
      <c r="AE19" s="748"/>
      <c r="AF19" s="748"/>
      <c r="AG19" s="747"/>
    </row>
    <row r="20" spans="2:44">
      <c r="B20" s="226"/>
      <c r="C20" s="226"/>
      <c r="D20" s="226"/>
      <c r="E20" s="226"/>
      <c r="F20" s="226"/>
      <c r="G20" s="226"/>
      <c r="H20" s="226"/>
      <c r="I20" s="226"/>
      <c r="J20" s="226"/>
      <c r="K20" s="226"/>
      <c r="L20" s="226"/>
      <c r="M20" s="226"/>
      <c r="N20" s="226"/>
      <c r="O20" s="859"/>
      <c r="P20" s="859"/>
      <c r="Q20" s="859"/>
      <c r="R20" s="859"/>
      <c r="S20" s="859"/>
      <c r="T20" s="859"/>
      <c r="U20" s="859"/>
      <c r="V20" s="859"/>
      <c r="W20" s="859"/>
      <c r="X20" s="1026"/>
      <c r="Y20" s="1026"/>
      <c r="Z20" s="1026"/>
      <c r="AA20" s="1026"/>
      <c r="AB20" s="1026"/>
      <c r="AC20" s="1026"/>
      <c r="AD20" s="1026"/>
      <c r="AE20" s="1026"/>
      <c r="AF20" s="1026"/>
      <c r="AG20" s="747"/>
    </row>
    <row r="21" spans="2:44">
      <c r="O21" s="283"/>
      <c r="P21" s="283"/>
      <c r="Q21" s="283"/>
      <c r="R21" s="283"/>
      <c r="S21" s="283"/>
      <c r="T21" s="283"/>
      <c r="U21" s="283"/>
      <c r="V21" s="283"/>
      <c r="W21" s="283"/>
      <c r="X21" s="1027">
        <v>2001</v>
      </c>
      <c r="Y21" s="1028"/>
      <c r="Z21" s="1027">
        <v>2003</v>
      </c>
      <c r="AA21" s="1028"/>
      <c r="AB21" s="1027">
        <v>2005</v>
      </c>
      <c r="AC21" s="1029"/>
      <c r="AD21" s="1027">
        <v>2007</v>
      </c>
      <c r="AE21" s="1029"/>
      <c r="AF21" s="1027">
        <v>2009</v>
      </c>
      <c r="AG21" s="290">
        <v>2010</v>
      </c>
      <c r="AH21" s="290">
        <v>2011</v>
      </c>
      <c r="AI21" s="290">
        <v>2012</v>
      </c>
      <c r="AJ21" s="290">
        <v>2013</v>
      </c>
      <c r="AK21" s="290">
        <v>2014</v>
      </c>
      <c r="AL21" s="290">
        <v>2015</v>
      </c>
      <c r="AM21" s="290">
        <v>2016</v>
      </c>
      <c r="AN21" s="290">
        <v>2017</v>
      </c>
      <c r="AO21" s="290">
        <v>2018</v>
      </c>
      <c r="AP21" s="290">
        <v>2019</v>
      </c>
      <c r="AQ21" s="290">
        <v>2020</v>
      </c>
      <c r="AR21" s="290">
        <v>2021</v>
      </c>
    </row>
    <row r="22" spans="2:44" ht="6" customHeight="1">
      <c r="O22" s="283"/>
      <c r="P22" s="283"/>
      <c r="Q22" s="283"/>
      <c r="R22" s="283"/>
      <c r="S22" s="283"/>
      <c r="T22" s="283"/>
      <c r="U22" s="283"/>
      <c r="V22" s="283"/>
      <c r="W22" s="283"/>
      <c r="X22" s="285"/>
      <c r="Y22" s="285"/>
      <c r="Z22" s="285"/>
      <c r="AA22" s="285"/>
      <c r="AB22" s="285"/>
      <c r="AC22" s="285"/>
      <c r="AD22" s="285"/>
      <c r="AE22" s="285"/>
      <c r="AF22" s="285"/>
      <c r="AG22" s="285"/>
      <c r="AH22" s="276"/>
      <c r="AI22" s="276"/>
      <c r="AJ22" s="276"/>
      <c r="AK22" s="276"/>
      <c r="AL22" s="276"/>
      <c r="AM22" s="276"/>
      <c r="AN22" s="276"/>
      <c r="AO22" s="276"/>
    </row>
    <row r="23" spans="2:44">
      <c r="B23" s="1030">
        <v>1</v>
      </c>
      <c r="C23" s="158" t="s">
        <v>288</v>
      </c>
      <c r="O23" s="283"/>
      <c r="P23" s="283"/>
      <c r="Q23" s="283"/>
      <c r="R23" s="283"/>
      <c r="S23" s="283"/>
      <c r="T23" s="283"/>
      <c r="U23" s="283"/>
      <c r="V23" s="283"/>
      <c r="W23" s="283"/>
      <c r="X23" s="1031">
        <v>14.822589866953951</v>
      </c>
      <c r="Y23" s="1031"/>
      <c r="Z23" s="1031">
        <v>14.204267916501816</v>
      </c>
      <c r="AA23" s="1031"/>
      <c r="AB23" s="1031">
        <v>14.473999640037102</v>
      </c>
      <c r="AC23" s="1031"/>
      <c r="AD23" s="1031">
        <v>12.716234669871332</v>
      </c>
      <c r="AE23" s="1031"/>
      <c r="AF23" s="634">
        <v>11.704683278150396</v>
      </c>
      <c r="AG23" s="1031">
        <v>11.934447585794285</v>
      </c>
      <c r="AH23" s="1031">
        <v>12.373457113341058</v>
      </c>
      <c r="AI23" s="1032">
        <v>12</v>
      </c>
      <c r="AJ23" s="1032">
        <v>12</v>
      </c>
      <c r="AK23" s="1032">
        <v>12.1</v>
      </c>
      <c r="AL23" s="1032">
        <v>12.47</v>
      </c>
      <c r="AM23" s="1032">
        <v>12.01</v>
      </c>
      <c r="AN23" s="1032">
        <v>11.238414190937338</v>
      </c>
      <c r="AO23" s="1032">
        <v>11.213283356978042</v>
      </c>
      <c r="AP23" s="1032">
        <v>11.279087130862642</v>
      </c>
      <c r="AQ23" s="1032">
        <v>11.371420256255732</v>
      </c>
      <c r="AR23" s="1032">
        <v>11.24583638042583</v>
      </c>
    </row>
    <row r="24" spans="2:44">
      <c r="B24" s="1030" t="s">
        <v>289</v>
      </c>
      <c r="C24" s="158" t="s">
        <v>290</v>
      </c>
      <c r="O24" s="283"/>
      <c r="P24" s="283"/>
      <c r="Q24" s="283"/>
      <c r="R24" s="283"/>
      <c r="S24" s="283"/>
      <c r="T24" s="283"/>
      <c r="U24" s="283"/>
      <c r="V24" s="283"/>
      <c r="W24" s="283"/>
      <c r="X24" s="1031">
        <v>7.0308500524803863</v>
      </c>
      <c r="Y24" s="1031"/>
      <c r="Z24" s="1031">
        <v>6.6865606554343495</v>
      </c>
      <c r="AA24" s="1031"/>
      <c r="AB24" s="1031">
        <v>6.7498036832802519</v>
      </c>
      <c r="AC24" s="1031"/>
      <c r="AD24" s="1031">
        <v>5.9065648451522446</v>
      </c>
      <c r="AE24" s="1031"/>
      <c r="AF24" s="634">
        <v>5.5451904653716948</v>
      </c>
      <c r="AG24" s="1031">
        <v>5.6668715823978948</v>
      </c>
      <c r="AH24" s="1031">
        <v>5.9395647439516752</v>
      </c>
      <c r="AI24" s="1032">
        <v>6.1</v>
      </c>
      <c r="AJ24" s="1032">
        <v>6</v>
      </c>
      <c r="AK24" s="1032">
        <v>6</v>
      </c>
      <c r="AL24" s="1032">
        <v>6.33</v>
      </c>
      <c r="AM24" s="1032">
        <v>6.12</v>
      </c>
      <c r="AN24" s="1032">
        <v>6.1726803913024746</v>
      </c>
      <c r="AO24" s="1032">
        <v>6.1891536943923331</v>
      </c>
      <c r="AP24" s="1032">
        <v>6.1914469854180645</v>
      </c>
      <c r="AQ24" s="1032">
        <v>6.2888210241143128</v>
      </c>
      <c r="AR24" s="1032">
        <v>6.3018466911155242</v>
      </c>
    </row>
    <row r="25" spans="2:44">
      <c r="B25" s="1030" t="s">
        <v>291</v>
      </c>
      <c r="C25" s="158" t="s">
        <v>292</v>
      </c>
      <c r="O25" s="283"/>
      <c r="P25" s="283"/>
      <c r="Q25" s="283"/>
      <c r="R25" s="283"/>
      <c r="S25" s="283"/>
      <c r="T25" s="283"/>
      <c r="U25" s="283"/>
      <c r="V25" s="283"/>
      <c r="W25" s="283"/>
      <c r="X25" s="1031">
        <v>17.838226806559181</v>
      </c>
      <c r="Y25" s="1031"/>
      <c r="Z25" s="1031">
        <v>17.088303874865382</v>
      </c>
      <c r="AA25" s="1031"/>
      <c r="AB25" s="1031">
        <v>17.21311212502334</v>
      </c>
      <c r="AC25" s="1031"/>
      <c r="AD25" s="1031">
        <v>15.044578306775987</v>
      </c>
      <c r="AE25" s="1031"/>
      <c r="AF25" s="634">
        <v>13.993967057636111</v>
      </c>
      <c r="AG25" s="1031">
        <v>14.213835825983479</v>
      </c>
      <c r="AH25" s="1031">
        <v>14.661515980092979</v>
      </c>
      <c r="AI25" s="1032">
        <v>14.1</v>
      </c>
      <c r="AJ25" s="1032">
        <v>14.1</v>
      </c>
      <c r="AK25" s="1032">
        <v>14.4</v>
      </c>
      <c r="AL25" s="1032">
        <v>12.63</v>
      </c>
      <c r="AM25" s="1032">
        <v>14.15</v>
      </c>
      <c r="AN25" s="1032">
        <v>13.143343301105736</v>
      </c>
      <c r="AO25" s="1032">
        <v>13.117816193365286</v>
      </c>
      <c r="AP25" s="1032">
        <v>13.190207353935111</v>
      </c>
      <c r="AQ25" s="1032">
        <v>13.240667844931561</v>
      </c>
      <c r="AR25" s="1032">
        <v>13.143591084994959</v>
      </c>
    </row>
    <row r="26" spans="2:44" ht="6" customHeight="1">
      <c r="B26" s="1030"/>
      <c r="O26" s="283"/>
      <c r="P26" s="283"/>
      <c r="Q26" s="283"/>
      <c r="R26" s="283"/>
      <c r="S26" s="283"/>
      <c r="T26" s="283"/>
      <c r="U26" s="283"/>
      <c r="V26" s="283"/>
      <c r="W26" s="283"/>
      <c r="X26" s="1031"/>
      <c r="Y26" s="1031"/>
      <c r="Z26" s="1031"/>
      <c r="AA26" s="1031"/>
      <c r="AB26" s="1031"/>
      <c r="AC26" s="1031"/>
      <c r="AD26" s="1031"/>
      <c r="AE26" s="1031"/>
      <c r="AF26" s="1031"/>
      <c r="AG26" s="1031"/>
      <c r="AH26" s="1031"/>
      <c r="AI26" s="1032"/>
      <c r="AJ26" s="1032"/>
      <c r="AK26" s="1032"/>
      <c r="AL26" s="1032"/>
      <c r="AM26" s="1032"/>
      <c r="AN26" s="1032"/>
      <c r="AO26" s="1032"/>
      <c r="AP26" s="1032"/>
      <c r="AQ26" s="1032"/>
      <c r="AR26" s="1032"/>
    </row>
    <row r="27" spans="2:44">
      <c r="B27" s="1030">
        <v>2</v>
      </c>
      <c r="C27" s="158" t="s">
        <v>293</v>
      </c>
      <c r="O27" s="283"/>
      <c r="P27" s="283"/>
      <c r="Q27" s="283"/>
      <c r="R27" s="283"/>
      <c r="S27" s="283"/>
      <c r="T27" s="283"/>
      <c r="U27" s="283"/>
      <c r="V27" s="283"/>
      <c r="W27" s="283"/>
      <c r="X27" s="1031">
        <v>9.7428910679284133</v>
      </c>
      <c r="Y27" s="1031"/>
      <c r="Z27" s="1031">
        <v>9.3121570829958031</v>
      </c>
      <c r="AA27" s="1031"/>
      <c r="AB27" s="1031">
        <v>9.3799058885590263</v>
      </c>
      <c r="AC27" s="1031"/>
      <c r="AD27" s="1031">
        <v>8.3104054675511669</v>
      </c>
      <c r="AE27" s="1031"/>
      <c r="AF27" s="634">
        <v>7.7689016799534691</v>
      </c>
      <c r="AG27" s="1031">
        <v>7.9504370794991095</v>
      </c>
      <c r="AH27" s="1031">
        <v>8.1605177902172255</v>
      </c>
      <c r="AI27" s="1032">
        <v>8.3000000000000007</v>
      </c>
      <c r="AJ27" s="1032">
        <v>8.3000000000000007</v>
      </c>
      <c r="AK27" s="1032">
        <v>8.4</v>
      </c>
      <c r="AL27" s="1032">
        <v>8.73</v>
      </c>
      <c r="AM27" s="1032">
        <v>8.4499999999999993</v>
      </c>
      <c r="AN27" s="1032">
        <v>8.4578625896686681</v>
      </c>
      <c r="AO27" s="1032">
        <v>8.4786519851907851</v>
      </c>
      <c r="AP27" s="1032">
        <v>8.4112675892966191</v>
      </c>
      <c r="AQ27" s="1032">
        <v>8.5128600016085603</v>
      </c>
      <c r="AR27" s="1032">
        <v>8.5044511449188711</v>
      </c>
    </row>
    <row r="28" spans="2:44" ht="6" customHeight="1">
      <c r="B28" s="1030"/>
      <c r="O28" s="283"/>
      <c r="P28" s="283"/>
      <c r="Q28" s="283"/>
      <c r="R28" s="283"/>
      <c r="S28" s="283"/>
      <c r="T28" s="283"/>
      <c r="U28" s="283"/>
      <c r="V28" s="283"/>
      <c r="W28" s="283"/>
      <c r="X28" s="1031"/>
      <c r="Y28" s="1031"/>
      <c r="Z28" s="1031"/>
      <c r="AA28" s="1031"/>
      <c r="AB28" s="1031"/>
      <c r="AC28" s="1031"/>
      <c r="AD28" s="1031"/>
      <c r="AE28" s="1031"/>
      <c r="AF28" s="1031"/>
      <c r="AG28" s="1031"/>
      <c r="AH28" s="1031"/>
      <c r="AI28" s="1032"/>
      <c r="AJ28" s="1032"/>
      <c r="AK28" s="1032"/>
      <c r="AL28" s="1032"/>
      <c r="AM28" s="1032"/>
      <c r="AN28" s="1032"/>
      <c r="AO28" s="1032"/>
      <c r="AP28" s="1032"/>
      <c r="AQ28" s="1032"/>
      <c r="AR28" s="1032"/>
    </row>
    <row r="29" spans="2:44">
      <c r="B29" s="1030">
        <v>3</v>
      </c>
      <c r="C29" s="158" t="s">
        <v>294</v>
      </c>
      <c r="O29" s="283"/>
      <c r="P29" s="283"/>
      <c r="Q29" s="283"/>
      <c r="R29" s="283"/>
      <c r="S29" s="283"/>
      <c r="T29" s="283"/>
      <c r="U29" s="283"/>
      <c r="V29" s="283"/>
      <c r="W29" s="283"/>
      <c r="X29" s="1031">
        <v>5.6430733511694626</v>
      </c>
      <c r="Y29" s="1031"/>
      <c r="Z29" s="1031">
        <v>5.0084502788960927</v>
      </c>
      <c r="AA29" s="1031"/>
      <c r="AB29" s="1031">
        <v>5.1216390377858776</v>
      </c>
      <c r="AC29" s="1031"/>
      <c r="AD29" s="1031">
        <v>4.480680124020143</v>
      </c>
      <c r="AE29" s="1031"/>
      <c r="AF29" s="634">
        <v>4.2334274143629518</v>
      </c>
      <c r="AG29" s="1031">
        <v>4.1260490199187618</v>
      </c>
      <c r="AH29" s="1031">
        <v>3.8177634149070458</v>
      </c>
      <c r="AI29" s="1032">
        <v>4.3</v>
      </c>
      <c r="AJ29" s="1032">
        <v>4.4000000000000004</v>
      </c>
      <c r="AK29" s="1032">
        <v>4.4000000000000004</v>
      </c>
      <c r="AL29" s="1032">
        <v>4.57</v>
      </c>
      <c r="AM29" s="1032">
        <v>4.47</v>
      </c>
      <c r="AN29" s="1032">
        <v>4.5006061795994547</v>
      </c>
      <c r="AO29" s="1032">
        <v>4.517044423352135</v>
      </c>
      <c r="AP29" s="1032">
        <v>4.3187418608587578</v>
      </c>
      <c r="AQ29" s="1032">
        <v>5.1303173422330968</v>
      </c>
      <c r="AR29" s="1032">
        <v>4.4585544492497213</v>
      </c>
    </row>
    <row r="30" spans="2:44" ht="6" customHeight="1">
      <c r="B30" s="1030"/>
      <c r="O30" s="283"/>
      <c r="P30" s="283"/>
      <c r="Q30" s="283"/>
      <c r="R30" s="283"/>
      <c r="S30" s="283"/>
      <c r="T30" s="283"/>
      <c r="U30" s="283"/>
      <c r="V30" s="283"/>
      <c r="W30" s="283"/>
      <c r="X30" s="1031"/>
      <c r="Y30" s="1031"/>
      <c r="Z30" s="1031"/>
      <c r="AA30" s="1031"/>
      <c r="AB30" s="1031"/>
      <c r="AC30" s="1031"/>
      <c r="AD30" s="1031"/>
      <c r="AE30" s="1031"/>
      <c r="AF30" s="1031"/>
      <c r="AG30" s="1031"/>
      <c r="AH30" s="1031"/>
      <c r="AI30" s="1032"/>
      <c r="AJ30" s="1032"/>
      <c r="AK30" s="1032"/>
      <c r="AL30" s="1032"/>
      <c r="AM30" s="1032"/>
      <c r="AN30" s="1032"/>
      <c r="AO30" s="1032"/>
      <c r="AP30" s="1032"/>
      <c r="AQ30" s="1032"/>
      <c r="AR30" s="1032"/>
    </row>
    <row r="31" spans="2:44">
      <c r="B31" s="1030">
        <v>4</v>
      </c>
      <c r="C31" s="158" t="s">
        <v>295</v>
      </c>
      <c r="O31" s="283"/>
      <c r="P31" s="283"/>
      <c r="Q31" s="283"/>
      <c r="R31" s="283"/>
      <c r="S31" s="283"/>
      <c r="T31" s="283"/>
      <c r="U31" s="283"/>
      <c r="V31" s="283"/>
      <c r="W31" s="283"/>
      <c r="X31" s="1031">
        <v>11.229000782960378</v>
      </c>
      <c r="Y31" s="1031"/>
      <c r="Z31" s="1031">
        <v>10.907795400712372</v>
      </c>
      <c r="AA31" s="1031"/>
      <c r="AB31" s="1031">
        <v>10.133325957320068</v>
      </c>
      <c r="AC31" s="1031"/>
      <c r="AD31" s="1031">
        <v>9.1904859107644032</v>
      </c>
      <c r="AE31" s="1031"/>
      <c r="AF31" s="634">
        <v>9.1088632485292127</v>
      </c>
      <c r="AG31" s="1031">
        <v>9.1140013310866461</v>
      </c>
      <c r="AH31" s="1031">
        <v>9.425141841235293</v>
      </c>
      <c r="AI31" s="1032">
        <v>9.6</v>
      </c>
      <c r="AJ31" s="1032">
        <v>9.6999999999999993</v>
      </c>
      <c r="AK31" s="1032">
        <v>9.9</v>
      </c>
      <c r="AL31" s="1032">
        <v>10.69</v>
      </c>
      <c r="AM31" s="1032">
        <v>10.54</v>
      </c>
      <c r="AN31" s="1032">
        <v>11.28419456672146</v>
      </c>
      <c r="AO31" s="1032">
        <v>11.18387583438183</v>
      </c>
      <c r="AP31" s="1032">
        <v>11.090369306649999</v>
      </c>
      <c r="AQ31" s="1032">
        <v>11.277823478572669</v>
      </c>
      <c r="AR31" s="1032">
        <v>11.273891934058183</v>
      </c>
    </row>
    <row r="32" spans="2:44">
      <c r="B32" s="1030" t="s">
        <v>296</v>
      </c>
      <c r="C32" s="158" t="s">
        <v>297</v>
      </c>
      <c r="O32" s="283"/>
      <c r="P32" s="283"/>
      <c r="Q32" s="283"/>
      <c r="R32" s="283"/>
      <c r="S32" s="283"/>
      <c r="T32" s="283"/>
      <c r="U32" s="283"/>
      <c r="V32" s="283"/>
      <c r="W32" s="283"/>
      <c r="X32" s="1031" t="s">
        <v>269</v>
      </c>
      <c r="Y32" s="1031"/>
      <c r="Z32" s="1031">
        <v>11.315858937201085</v>
      </c>
      <c r="AA32" s="1031"/>
      <c r="AB32" s="1031">
        <v>10.576567445990372</v>
      </c>
      <c r="AC32" s="1031"/>
      <c r="AD32" s="1031">
        <v>9.5574573958851143</v>
      </c>
      <c r="AE32" s="1031"/>
      <c r="AF32" s="634">
        <v>9.4444275316915078</v>
      </c>
      <c r="AG32" s="1031">
        <v>9.3322301845138576</v>
      </c>
      <c r="AH32" s="1031">
        <v>9.7949269035500883</v>
      </c>
      <c r="AI32" s="1032">
        <v>10</v>
      </c>
      <c r="AJ32" s="1032">
        <v>10</v>
      </c>
      <c r="AK32" s="1032">
        <v>10.199999999999999</v>
      </c>
      <c r="AL32" s="1032">
        <v>11.15</v>
      </c>
      <c r="AM32" s="1032">
        <v>11.05</v>
      </c>
      <c r="AN32" s="1032">
        <v>11.563430012622856</v>
      </c>
      <c r="AO32" s="1032">
        <v>11.495082306010245</v>
      </c>
      <c r="AP32" s="1032">
        <v>11.497402306331196</v>
      </c>
      <c r="AQ32" s="1032">
        <v>11.657371616025397</v>
      </c>
      <c r="AR32" s="1032">
        <v>12.04625107679961</v>
      </c>
    </row>
    <row r="33" spans="2:44">
      <c r="B33" s="1030" t="s">
        <v>298</v>
      </c>
      <c r="C33" s="158" t="s">
        <v>299</v>
      </c>
      <c r="O33" s="283"/>
      <c r="P33" s="283"/>
      <c r="Q33" s="283"/>
      <c r="R33" s="283"/>
      <c r="S33" s="283"/>
      <c r="T33" s="283"/>
      <c r="U33" s="283"/>
      <c r="V33" s="283"/>
      <c r="W33" s="283"/>
      <c r="X33" s="1031" t="s">
        <v>269</v>
      </c>
      <c r="Y33" s="1031"/>
      <c r="Z33" s="1031" t="s">
        <v>300</v>
      </c>
      <c r="AA33" s="1031"/>
      <c r="AB33" s="1031" t="s">
        <v>300</v>
      </c>
      <c r="AC33" s="1031"/>
      <c r="AD33" s="1031" t="s">
        <v>300</v>
      </c>
      <c r="AE33" s="1031"/>
      <c r="AF33" s="634" t="s">
        <v>300</v>
      </c>
      <c r="AG33" s="1031" t="s">
        <v>300</v>
      </c>
      <c r="AH33" s="1031" t="s">
        <v>300</v>
      </c>
      <c r="AI33" s="1032" t="s">
        <v>300</v>
      </c>
      <c r="AJ33" s="1032" t="s">
        <v>300</v>
      </c>
      <c r="AK33" s="1032" t="s">
        <v>279</v>
      </c>
      <c r="AL33" s="1032" t="s">
        <v>279</v>
      </c>
      <c r="AM33" s="1032" t="s">
        <v>279</v>
      </c>
      <c r="AN33" s="1032">
        <v>10.964614788653236</v>
      </c>
      <c r="AO33" s="1032">
        <v>10.785750015928489</v>
      </c>
      <c r="AP33" s="1032">
        <v>12.68837862988134</v>
      </c>
      <c r="AQ33" s="1032">
        <v>13.954615229786164</v>
      </c>
      <c r="AR33" s="1032">
        <v>13.357959483836567</v>
      </c>
    </row>
    <row r="34" spans="2:44">
      <c r="B34" s="1030" t="s">
        <v>301</v>
      </c>
      <c r="C34" s="158" t="s">
        <v>302</v>
      </c>
      <c r="O34" s="283"/>
      <c r="P34" s="283"/>
      <c r="Q34" s="283"/>
      <c r="R34" s="283"/>
      <c r="S34" s="283"/>
      <c r="T34" s="283"/>
      <c r="U34" s="283"/>
      <c r="V34" s="283"/>
      <c r="W34" s="283"/>
      <c r="X34" s="1031" t="s">
        <v>269</v>
      </c>
      <c r="Y34" s="1031"/>
      <c r="Z34" s="1031">
        <v>0</v>
      </c>
      <c r="AA34" s="1031"/>
      <c r="AB34" s="1031">
        <v>0</v>
      </c>
      <c r="AC34" s="1031"/>
      <c r="AD34" s="1031">
        <v>0</v>
      </c>
      <c r="AE34" s="1031"/>
      <c r="AF34" s="634">
        <v>0</v>
      </c>
      <c r="AG34" s="1031">
        <v>0</v>
      </c>
      <c r="AH34" s="1031">
        <v>0</v>
      </c>
      <c r="AI34" s="1032">
        <v>0</v>
      </c>
      <c r="AJ34" s="1032">
        <v>0</v>
      </c>
      <c r="AK34" s="1032">
        <v>0</v>
      </c>
      <c r="AL34" s="1032">
        <v>0</v>
      </c>
      <c r="AM34" s="1032">
        <v>0</v>
      </c>
      <c r="AN34" s="1032">
        <v>0</v>
      </c>
      <c r="AO34" s="1032">
        <v>0</v>
      </c>
      <c r="AP34" s="1032">
        <v>0</v>
      </c>
      <c r="AQ34" s="1032">
        <v>0</v>
      </c>
      <c r="AR34" s="1032">
        <v>0</v>
      </c>
    </row>
    <row r="35" spans="2:44" ht="6" customHeight="1">
      <c r="B35" s="1030"/>
      <c r="O35" s="283"/>
      <c r="P35" s="283"/>
      <c r="Q35" s="283"/>
      <c r="R35" s="283"/>
      <c r="S35" s="283"/>
      <c r="T35" s="283"/>
      <c r="U35" s="283"/>
      <c r="V35" s="283"/>
      <c r="W35" s="283"/>
      <c r="X35" s="1031"/>
      <c r="Y35" s="1031"/>
      <c r="Z35" s="1031"/>
      <c r="AA35" s="1031"/>
      <c r="AB35" s="1031"/>
      <c r="AC35" s="1031"/>
      <c r="AD35" s="1031"/>
      <c r="AE35" s="1031"/>
      <c r="AF35" s="1031"/>
      <c r="AG35" s="1031"/>
      <c r="AH35" s="1031"/>
      <c r="AI35" s="1032"/>
      <c r="AJ35" s="1032"/>
      <c r="AK35" s="1032"/>
      <c r="AL35" s="1032"/>
      <c r="AM35" s="1032"/>
      <c r="AN35" s="1032"/>
      <c r="AO35" s="1032"/>
      <c r="AP35" s="1032"/>
      <c r="AQ35" s="1032"/>
      <c r="AR35" s="1032"/>
    </row>
    <row r="36" spans="2:44">
      <c r="B36" s="1030">
        <v>5</v>
      </c>
      <c r="C36" s="158" t="s">
        <v>303</v>
      </c>
      <c r="O36" s="283"/>
      <c r="P36" s="283"/>
      <c r="Q36" s="283"/>
      <c r="R36" s="283"/>
      <c r="S36" s="283"/>
      <c r="T36" s="283"/>
      <c r="U36" s="283"/>
      <c r="V36" s="283"/>
      <c r="W36" s="283"/>
      <c r="X36" s="1033">
        <v>0</v>
      </c>
      <c r="Y36" s="1033"/>
      <c r="Z36" s="1033">
        <v>0</v>
      </c>
      <c r="AA36" s="1033"/>
      <c r="AB36" s="1033">
        <v>0</v>
      </c>
      <c r="AC36" s="1033"/>
      <c r="AD36" s="1033">
        <v>0</v>
      </c>
      <c r="AE36" s="1033"/>
      <c r="AF36" s="1033">
        <v>0</v>
      </c>
      <c r="AG36" s="1033">
        <v>0</v>
      </c>
      <c r="AH36" s="1033">
        <v>0</v>
      </c>
      <c r="AI36" s="1032">
        <v>0</v>
      </c>
      <c r="AJ36" s="1032">
        <v>0</v>
      </c>
      <c r="AK36" s="1032">
        <v>0</v>
      </c>
      <c r="AL36" s="1032">
        <v>0</v>
      </c>
      <c r="AM36" s="1032">
        <v>0</v>
      </c>
      <c r="AN36" s="1032">
        <v>0</v>
      </c>
      <c r="AO36" s="1032">
        <v>0</v>
      </c>
      <c r="AP36" s="1032">
        <v>0</v>
      </c>
      <c r="AQ36" s="1032">
        <v>0</v>
      </c>
      <c r="AR36" s="1032">
        <v>0</v>
      </c>
    </row>
    <row r="37" spans="2:44" ht="6" customHeight="1">
      <c r="B37" s="1030"/>
      <c r="O37" s="283"/>
      <c r="P37" s="283"/>
      <c r="Q37" s="283"/>
      <c r="R37" s="283"/>
      <c r="S37" s="283"/>
      <c r="T37" s="283"/>
      <c r="U37" s="283"/>
      <c r="V37" s="283"/>
      <c r="W37" s="283"/>
      <c r="X37" s="1031"/>
      <c r="Y37" s="1031"/>
      <c r="Z37" s="1031"/>
      <c r="AA37" s="1031"/>
      <c r="AB37" s="1031"/>
      <c r="AC37" s="1031"/>
      <c r="AD37" s="1031"/>
      <c r="AE37" s="1031"/>
      <c r="AF37" s="1031"/>
      <c r="AG37" s="1031"/>
      <c r="AH37" s="1031"/>
      <c r="AI37" s="1032"/>
      <c r="AJ37" s="1032"/>
      <c r="AK37" s="1032"/>
      <c r="AL37" s="1032"/>
      <c r="AM37" s="1032"/>
      <c r="AN37" s="1032"/>
      <c r="AO37" s="1032"/>
      <c r="AP37" s="1032"/>
      <c r="AQ37" s="1032"/>
      <c r="AR37" s="1032"/>
    </row>
    <row r="38" spans="2:44">
      <c r="B38" s="1030">
        <v>6</v>
      </c>
      <c r="C38" s="158" t="s">
        <v>304</v>
      </c>
      <c r="O38" s="283"/>
      <c r="P38" s="283"/>
      <c r="Q38" s="283"/>
      <c r="R38" s="283"/>
      <c r="S38" s="283"/>
      <c r="T38" s="283"/>
      <c r="U38" s="283"/>
      <c r="V38" s="283"/>
      <c r="W38" s="283"/>
      <c r="X38" s="1031">
        <v>0</v>
      </c>
      <c r="Y38" s="1031"/>
      <c r="Z38" s="1031">
        <v>0</v>
      </c>
      <c r="AA38" s="1031"/>
      <c r="AB38" s="1031">
        <v>0</v>
      </c>
      <c r="AC38" s="1031"/>
      <c r="AD38" s="1031">
        <v>0</v>
      </c>
      <c r="AE38" s="1031"/>
      <c r="AF38" s="634">
        <v>0</v>
      </c>
      <c r="AG38" s="1031">
        <v>0</v>
      </c>
      <c r="AH38" s="1031">
        <v>0</v>
      </c>
      <c r="AI38" s="1032">
        <v>0</v>
      </c>
      <c r="AJ38" s="1032">
        <v>0</v>
      </c>
      <c r="AK38" s="1032">
        <v>0</v>
      </c>
      <c r="AL38" s="1032">
        <v>0</v>
      </c>
      <c r="AM38" s="1032">
        <v>0</v>
      </c>
      <c r="AN38" s="1032">
        <v>0</v>
      </c>
      <c r="AO38" s="1032">
        <v>0</v>
      </c>
      <c r="AP38" s="1032">
        <v>0</v>
      </c>
      <c r="AQ38" s="1032">
        <v>0</v>
      </c>
      <c r="AR38" s="1032">
        <v>0</v>
      </c>
    </row>
    <row r="39" spans="2:44" ht="6" customHeight="1">
      <c r="B39" s="1030"/>
      <c r="O39" s="283"/>
      <c r="P39" s="283"/>
      <c r="Q39" s="283"/>
      <c r="R39" s="283"/>
      <c r="S39" s="283"/>
      <c r="T39" s="283"/>
      <c r="U39" s="283"/>
      <c r="V39" s="283"/>
      <c r="W39" s="283"/>
      <c r="X39" s="1031"/>
      <c r="Y39" s="1031"/>
      <c r="Z39" s="1031"/>
      <c r="AA39" s="1031"/>
      <c r="AB39" s="1031"/>
      <c r="AC39" s="1031"/>
      <c r="AD39" s="1031"/>
      <c r="AE39" s="1031"/>
      <c r="AF39" s="1031"/>
      <c r="AG39" s="1031"/>
      <c r="AH39" s="1031"/>
      <c r="AI39" s="1032"/>
      <c r="AJ39" s="1032"/>
      <c r="AK39" s="1032"/>
      <c r="AL39" s="1032"/>
      <c r="AM39" s="1032"/>
      <c r="AN39" s="1032"/>
      <c r="AO39" s="1032"/>
      <c r="AP39" s="1032"/>
      <c r="AQ39" s="1032"/>
      <c r="AR39" s="1032"/>
    </row>
    <row r="40" spans="2:44">
      <c r="B40" s="1030">
        <v>7</v>
      </c>
      <c r="C40" s="158" t="s">
        <v>305</v>
      </c>
      <c r="O40" s="283"/>
      <c r="P40" s="283"/>
      <c r="Q40" s="283"/>
      <c r="R40" s="283"/>
      <c r="S40" s="283"/>
      <c r="T40" s="283"/>
      <c r="U40" s="283"/>
      <c r="V40" s="283"/>
      <c r="W40" s="283"/>
      <c r="X40" s="1031">
        <v>0</v>
      </c>
      <c r="Y40" s="1031"/>
      <c r="Z40" s="1031">
        <v>0</v>
      </c>
      <c r="AA40" s="1031"/>
      <c r="AB40" s="1031">
        <v>0</v>
      </c>
      <c r="AC40" s="1031"/>
      <c r="AD40" s="1031">
        <v>0</v>
      </c>
      <c r="AE40" s="1031"/>
      <c r="AF40" s="634">
        <v>0</v>
      </c>
      <c r="AG40" s="1031">
        <v>0</v>
      </c>
      <c r="AH40" s="1031">
        <v>0</v>
      </c>
      <c r="AI40" s="1032">
        <v>0</v>
      </c>
      <c r="AJ40" s="1032">
        <v>0</v>
      </c>
      <c r="AK40" s="1032">
        <v>0</v>
      </c>
      <c r="AL40" s="1032">
        <v>0</v>
      </c>
      <c r="AM40" s="1032">
        <v>0</v>
      </c>
      <c r="AN40" s="1032">
        <v>0</v>
      </c>
      <c r="AO40" s="1032">
        <v>0</v>
      </c>
      <c r="AP40" s="1032">
        <v>0</v>
      </c>
      <c r="AQ40" s="1032">
        <v>0</v>
      </c>
      <c r="AR40" s="1032">
        <v>0</v>
      </c>
    </row>
    <row r="41" spans="2:44" ht="6" customHeight="1">
      <c r="B41" s="1030"/>
      <c r="O41" s="283"/>
      <c r="P41" s="283"/>
      <c r="Q41" s="283"/>
      <c r="R41" s="283"/>
      <c r="S41" s="283"/>
      <c r="T41" s="283"/>
      <c r="U41" s="283"/>
      <c r="V41" s="283"/>
      <c r="W41" s="283"/>
      <c r="X41" s="1031"/>
      <c r="Y41" s="1031"/>
      <c r="Z41" s="1031"/>
      <c r="AA41" s="1031"/>
      <c r="AB41" s="1031"/>
      <c r="AC41" s="1031"/>
      <c r="AD41" s="1031"/>
      <c r="AE41" s="1031"/>
      <c r="AF41" s="634"/>
      <c r="AG41" s="1031"/>
      <c r="AH41" s="1031"/>
      <c r="AI41" s="1032"/>
      <c r="AJ41" s="1032"/>
      <c r="AK41" s="1032"/>
      <c r="AL41" s="1032"/>
      <c r="AM41" s="1032"/>
      <c r="AN41" s="1032"/>
      <c r="AO41" s="1032"/>
      <c r="AP41" s="1032"/>
      <c r="AQ41" s="1032"/>
      <c r="AR41" s="1032"/>
    </row>
    <row r="42" spans="2:44">
      <c r="B42" s="1030">
        <v>8</v>
      </c>
      <c r="C42" s="158" t="s">
        <v>306</v>
      </c>
      <c r="O42" s="283"/>
      <c r="P42" s="283"/>
      <c r="Q42" s="283"/>
      <c r="R42" s="283"/>
      <c r="S42" s="283"/>
      <c r="T42" s="283"/>
      <c r="U42" s="283"/>
      <c r="V42" s="283"/>
      <c r="W42" s="283"/>
      <c r="X42" s="1031" t="s">
        <v>269</v>
      </c>
      <c r="Y42" s="1031"/>
      <c r="Z42" s="1031" t="s">
        <v>269</v>
      </c>
      <c r="AA42" s="1031"/>
      <c r="AB42" s="1031" t="s">
        <v>269</v>
      </c>
      <c r="AC42" s="1031"/>
      <c r="AD42" s="1034">
        <v>10.207699436799</v>
      </c>
      <c r="AE42" s="1031"/>
      <c r="AF42" s="634">
        <v>9.57691981107779</v>
      </c>
      <c r="AG42" s="1031">
        <v>9.7727569548995703</v>
      </c>
      <c r="AH42" s="1031">
        <v>10.0261828973814</v>
      </c>
      <c r="AI42" s="1032">
        <v>10.039999999999999</v>
      </c>
      <c r="AJ42" s="1032">
        <v>10.29</v>
      </c>
      <c r="AK42" s="1032">
        <v>10.59</v>
      </c>
      <c r="AL42" s="1032">
        <v>12.64</v>
      </c>
      <c r="AM42" s="1032">
        <v>12.03</v>
      </c>
      <c r="AN42" s="1032" t="s">
        <v>269</v>
      </c>
      <c r="AO42" s="1032" t="s">
        <v>269</v>
      </c>
      <c r="AP42" s="1032" t="s">
        <v>269</v>
      </c>
      <c r="AQ42" s="1032" t="s">
        <v>269</v>
      </c>
      <c r="AR42" s="1032" t="s">
        <v>269</v>
      </c>
    </row>
    <row r="43" spans="2:44" ht="15" customHeight="1">
      <c r="B43" s="1030"/>
      <c r="O43" s="283"/>
      <c r="P43" s="283"/>
      <c r="Q43" s="283"/>
      <c r="R43" s="283"/>
      <c r="S43" s="283"/>
      <c r="T43" s="283"/>
      <c r="U43" s="283"/>
      <c r="V43" s="283"/>
      <c r="W43" s="283"/>
      <c r="X43" s="1031"/>
      <c r="Y43" s="1031"/>
      <c r="Z43" s="1031"/>
      <c r="AA43" s="1031"/>
      <c r="AB43" s="1031"/>
      <c r="AC43" s="1031"/>
      <c r="AD43" s="1031"/>
      <c r="AE43" s="1031"/>
      <c r="AF43" s="1031"/>
      <c r="AG43" s="1031"/>
      <c r="AH43" s="1031"/>
      <c r="AI43" s="1032"/>
      <c r="AJ43" s="1032"/>
      <c r="AK43" s="1032"/>
      <c r="AL43" s="1032"/>
      <c r="AM43" s="1032"/>
      <c r="AN43" s="1032"/>
      <c r="AO43" s="1032"/>
      <c r="AP43" s="1032"/>
      <c r="AQ43" s="1032"/>
      <c r="AR43" s="1032"/>
    </row>
    <row r="44" spans="2:44">
      <c r="B44" s="1030">
        <v>9</v>
      </c>
      <c r="C44" s="158" t="s">
        <v>307</v>
      </c>
      <c r="O44" s="283"/>
      <c r="P44" s="283"/>
      <c r="Q44" s="283"/>
      <c r="R44" s="283"/>
      <c r="S44" s="283"/>
      <c r="T44" s="283"/>
      <c r="U44" s="283"/>
      <c r="V44" s="283"/>
      <c r="W44" s="283"/>
      <c r="X44" s="1031">
        <v>19.477691642626759</v>
      </c>
      <c r="Y44" s="1031"/>
      <c r="Z44" s="1031">
        <v>19.206227606468396</v>
      </c>
      <c r="AA44" s="1031"/>
      <c r="AB44" s="1031">
        <v>19.145488811787164</v>
      </c>
      <c r="AC44" s="1031"/>
      <c r="AD44" s="1031">
        <v>18.396416531349143</v>
      </c>
      <c r="AE44" s="1031"/>
      <c r="AF44" s="633">
        <v>17.793480905037608</v>
      </c>
      <c r="AG44" s="1031">
        <v>17.974702378640455</v>
      </c>
      <c r="AH44" s="1031">
        <v>18.177643131565933</v>
      </c>
      <c r="AI44" s="1032">
        <v>18.2</v>
      </c>
      <c r="AJ44" s="1032">
        <v>18.3</v>
      </c>
      <c r="AK44" s="1032">
        <v>18.5</v>
      </c>
      <c r="AL44" s="1032">
        <v>18.82</v>
      </c>
      <c r="AM44" s="1032">
        <v>18.48</v>
      </c>
      <c r="AN44" s="1032">
        <v>18.930786213481706</v>
      </c>
      <c r="AO44" s="1032">
        <v>19.355950410171115</v>
      </c>
      <c r="AP44" s="1032">
        <v>18.98399185617685</v>
      </c>
      <c r="AQ44" s="1032">
        <v>19.375554872660835</v>
      </c>
      <c r="AR44" s="1032">
        <v>19.081798354220155</v>
      </c>
    </row>
    <row r="45" spans="2:44" ht="6" customHeight="1">
      <c r="B45" s="563"/>
      <c r="C45" s="226"/>
      <c r="D45" s="226"/>
      <c r="E45" s="226"/>
      <c r="F45" s="226"/>
      <c r="G45" s="226"/>
      <c r="H45" s="226"/>
      <c r="I45" s="226"/>
      <c r="J45" s="226"/>
      <c r="K45" s="226"/>
      <c r="L45" s="226"/>
      <c r="M45" s="226"/>
      <c r="N45" s="226"/>
      <c r="O45" s="859"/>
      <c r="P45" s="859"/>
      <c r="Q45" s="859"/>
      <c r="R45" s="859"/>
      <c r="S45" s="859"/>
      <c r="T45" s="859"/>
      <c r="U45" s="859"/>
      <c r="V45" s="859"/>
      <c r="W45" s="859"/>
      <c r="X45" s="1035"/>
      <c r="Y45" s="1035"/>
      <c r="Z45" s="1035"/>
      <c r="AA45" s="1035"/>
      <c r="AB45" s="1035"/>
      <c r="AC45" s="1035"/>
      <c r="AD45" s="1035"/>
      <c r="AE45" s="1035"/>
      <c r="AF45" s="1035"/>
      <c r="AG45" s="1026"/>
      <c r="AH45" s="760"/>
      <c r="AO45" s="226"/>
      <c r="AP45" s="226"/>
      <c r="AQ45" s="226"/>
      <c r="AR45" s="226"/>
    </row>
    <row r="46" spans="2:44">
      <c r="B46" s="276"/>
      <c r="O46" s="283"/>
      <c r="P46" s="283"/>
      <c r="Q46" s="283"/>
      <c r="R46" s="283"/>
      <c r="S46" s="283"/>
      <c r="T46" s="283"/>
      <c r="U46" s="283"/>
      <c r="V46" s="283"/>
      <c r="W46" s="283"/>
      <c r="X46" s="1036"/>
      <c r="Y46" s="1036"/>
      <c r="Z46" s="1036"/>
      <c r="AA46" s="1036"/>
      <c r="AB46" s="1036"/>
      <c r="AC46" s="1036"/>
      <c r="AD46" s="1036"/>
      <c r="AE46" s="1036"/>
      <c r="AF46" s="1036"/>
      <c r="AG46" s="747"/>
      <c r="AH46" s="1037"/>
      <c r="AI46" s="1037"/>
      <c r="AJ46" s="1037"/>
      <c r="AK46" s="1037"/>
      <c r="AL46" s="1037"/>
      <c r="AM46" s="1037"/>
      <c r="AN46" s="1037"/>
      <c r="AO46" s="760"/>
    </row>
    <row r="47" spans="2:44" ht="29.25" customHeight="1">
      <c r="B47" s="1928" t="s">
        <v>1701</v>
      </c>
      <c r="C47" s="1928"/>
      <c r="D47" s="1928"/>
      <c r="E47" s="1928"/>
      <c r="F47" s="1928"/>
      <c r="G47" s="1928"/>
      <c r="H47" s="1928"/>
      <c r="I47" s="1928"/>
      <c r="J47" s="1928"/>
      <c r="K47" s="1928"/>
      <c r="L47" s="1928"/>
      <c r="M47" s="1928"/>
      <c r="N47" s="1928"/>
      <c r="O47" s="1928"/>
      <c r="P47" s="1928"/>
      <c r="Q47" s="1928"/>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28"/>
      <c r="AM47" s="1928"/>
      <c r="AN47" s="1928"/>
      <c r="AO47" s="1928"/>
      <c r="AP47" s="1928"/>
      <c r="AQ47" s="1928"/>
      <c r="AR47" s="1928"/>
    </row>
    <row r="48" spans="2:44" s="309" customFormat="1">
      <c r="O48" s="1038"/>
      <c r="P48" s="1038"/>
      <c r="Q48" s="1038"/>
      <c r="R48" s="1038"/>
      <c r="S48" s="1038"/>
      <c r="T48" s="1038"/>
      <c r="U48" s="1038"/>
      <c r="V48" s="1038"/>
      <c r="W48" s="1038"/>
      <c r="X48" s="1036"/>
      <c r="Y48" s="1036"/>
      <c r="Z48" s="1036"/>
      <c r="AA48" s="1036"/>
      <c r="AB48" s="1036"/>
      <c r="AC48" s="1036"/>
      <c r="AD48" s="1036"/>
      <c r="AE48" s="1036"/>
      <c r="AF48" s="1036"/>
      <c r="AG48" s="747"/>
      <c r="AH48" s="743"/>
      <c r="AI48" s="743"/>
    </row>
    <row r="49" spans="2:44" s="309" customFormat="1" hidden="1">
      <c r="O49" s="1038"/>
      <c r="P49" s="1038"/>
      <c r="Q49" s="1038"/>
      <c r="R49" s="1038"/>
      <c r="S49" s="1038"/>
      <c r="T49" s="1038"/>
      <c r="U49" s="1038"/>
      <c r="V49" s="1038"/>
      <c r="W49" s="1038"/>
      <c r="X49" s="1036"/>
      <c r="Y49" s="1036"/>
      <c r="Z49" s="1036"/>
      <c r="AA49" s="1036"/>
      <c r="AB49" s="1036"/>
      <c r="AC49" s="1036"/>
      <c r="AD49" s="1036"/>
      <c r="AE49" s="1036"/>
      <c r="AF49" s="1036"/>
      <c r="AG49" s="747"/>
      <c r="AH49" s="743"/>
      <c r="AI49" s="743"/>
    </row>
    <row r="50" spans="2:44" s="309" customFormat="1" hidden="1">
      <c r="O50" s="1038"/>
      <c r="P50" s="1038"/>
      <c r="Q50" s="1038"/>
      <c r="R50" s="1038"/>
      <c r="S50" s="1038"/>
      <c r="T50" s="1038"/>
      <c r="U50" s="1038"/>
      <c r="V50" s="1038"/>
      <c r="W50" s="1038"/>
      <c r="X50" s="1036"/>
      <c r="Y50" s="1036"/>
      <c r="Z50" s="1036"/>
      <c r="AA50" s="1036"/>
      <c r="AB50" s="1036"/>
      <c r="AC50" s="1036"/>
      <c r="AD50" s="1036"/>
      <c r="AE50" s="1036"/>
      <c r="AF50" s="1036"/>
      <c r="AG50" s="747"/>
      <c r="AH50" s="743"/>
      <c r="AI50" s="743"/>
    </row>
    <row r="51" spans="2:44" s="309" customFormat="1" hidden="1">
      <c r="O51" s="1038"/>
      <c r="P51" s="1038"/>
      <c r="Q51" s="1038"/>
      <c r="R51" s="1038"/>
      <c r="S51" s="1038"/>
      <c r="T51" s="1038"/>
      <c r="U51" s="1038"/>
      <c r="V51" s="1038"/>
      <c r="W51" s="1038"/>
      <c r="X51" s="1036"/>
      <c r="Y51" s="1036"/>
      <c r="Z51" s="1036"/>
      <c r="AA51" s="1036"/>
      <c r="AB51" s="1036"/>
      <c r="AC51" s="1036"/>
      <c r="AD51" s="1036"/>
      <c r="AE51" s="1036"/>
      <c r="AF51" s="1036"/>
      <c r="AG51" s="747"/>
      <c r="AH51" s="743"/>
      <c r="AI51" s="743"/>
    </row>
    <row r="52" spans="2:44" s="309" customFormat="1" hidden="1">
      <c r="O52" s="1038"/>
      <c r="P52" s="1038"/>
      <c r="Q52" s="1038"/>
      <c r="R52" s="1038"/>
      <c r="S52" s="1038"/>
      <c r="T52" s="1038"/>
      <c r="U52" s="1038"/>
      <c r="V52" s="1038"/>
      <c r="W52" s="1038"/>
      <c r="X52" s="1036"/>
      <c r="Y52" s="1036"/>
      <c r="Z52" s="1036"/>
      <c r="AA52" s="1036"/>
      <c r="AB52" s="1036"/>
      <c r="AC52" s="1036"/>
      <c r="AD52" s="1036"/>
      <c r="AE52" s="1036"/>
      <c r="AF52" s="1036"/>
      <c r="AG52" s="747"/>
      <c r="AH52" s="743"/>
      <c r="AI52" s="743"/>
    </row>
    <row r="53" spans="2:44" s="309" customFormat="1" hidden="1">
      <c r="O53" s="1038"/>
      <c r="P53" s="1038"/>
      <c r="Q53" s="1038"/>
      <c r="R53" s="1038"/>
      <c r="S53" s="1038"/>
      <c r="T53" s="1038"/>
      <c r="U53" s="1038"/>
      <c r="V53" s="1038"/>
      <c r="W53" s="1038"/>
      <c r="X53" s="1036"/>
      <c r="Y53" s="1036"/>
      <c r="Z53" s="1036"/>
      <c r="AA53" s="1036"/>
      <c r="AB53" s="1036"/>
      <c r="AC53" s="1036"/>
      <c r="AD53" s="1036"/>
      <c r="AE53" s="1036"/>
      <c r="AF53" s="1036"/>
      <c r="AG53" s="747"/>
      <c r="AH53" s="743"/>
      <c r="AI53" s="743"/>
    </row>
    <row r="54" spans="2:44" s="309" customFormat="1" hidden="1">
      <c r="O54" s="1038"/>
      <c r="P54" s="1038"/>
      <c r="Q54" s="1038"/>
      <c r="R54" s="1038"/>
      <c r="S54" s="1038"/>
      <c r="T54" s="1038"/>
      <c r="U54" s="1038"/>
      <c r="V54" s="1038"/>
      <c r="W54" s="1038"/>
      <c r="X54" s="1036"/>
      <c r="Y54" s="1036"/>
      <c r="Z54" s="1036"/>
      <c r="AA54" s="1036"/>
      <c r="AB54" s="1036"/>
      <c r="AC54" s="1036"/>
      <c r="AD54" s="1036"/>
      <c r="AE54" s="1036"/>
      <c r="AF54" s="1036"/>
      <c r="AG54" s="747"/>
      <c r="AH54" s="743"/>
      <c r="AI54" s="743"/>
    </row>
    <row r="55" spans="2:44" s="309" customFormat="1" hidden="1">
      <c r="O55" s="1038"/>
      <c r="P55" s="1038"/>
      <c r="Q55" s="1038"/>
      <c r="R55" s="1038"/>
      <c r="S55" s="1038"/>
      <c r="T55" s="1038"/>
      <c r="U55" s="1038"/>
      <c r="V55" s="1038"/>
      <c r="W55" s="1038"/>
      <c r="X55" s="1036"/>
      <c r="Y55" s="1036"/>
      <c r="Z55" s="1036"/>
      <c r="AA55" s="1036"/>
      <c r="AB55" s="1036"/>
      <c r="AC55" s="1036"/>
      <c r="AD55" s="1036"/>
      <c r="AE55" s="1036"/>
      <c r="AF55" s="1036"/>
      <c r="AG55" s="747"/>
      <c r="AH55" s="743"/>
      <c r="AI55" s="743"/>
    </row>
    <row r="56" spans="2:44" s="309" customFormat="1" hidden="1">
      <c r="O56" s="1038"/>
      <c r="P56" s="1038"/>
      <c r="Q56" s="1038"/>
      <c r="R56" s="1038"/>
      <c r="S56" s="1038"/>
      <c r="T56" s="1038"/>
      <c r="U56" s="1038"/>
      <c r="V56" s="1038"/>
      <c r="W56" s="1038"/>
      <c r="X56" s="1036"/>
      <c r="Y56" s="1036"/>
      <c r="Z56" s="1036"/>
      <c r="AA56" s="1036"/>
      <c r="AB56" s="1036"/>
      <c r="AC56" s="1036"/>
      <c r="AD56" s="1036"/>
      <c r="AE56" s="1036"/>
      <c r="AF56" s="1036"/>
      <c r="AG56" s="747"/>
      <c r="AH56" s="743"/>
      <c r="AI56" s="743"/>
    </row>
    <row r="57" spans="2:44" s="309" customFormat="1" hidden="1">
      <c r="O57" s="1038"/>
      <c r="P57" s="1038"/>
      <c r="Q57" s="1038"/>
      <c r="R57" s="1038"/>
      <c r="S57" s="1038"/>
      <c r="T57" s="1038"/>
      <c r="U57" s="1038"/>
      <c r="V57" s="1038"/>
      <c r="W57" s="1038"/>
      <c r="X57" s="1036"/>
      <c r="Y57" s="1036"/>
      <c r="Z57" s="1036"/>
      <c r="AA57" s="1036"/>
      <c r="AB57" s="1036"/>
      <c r="AC57" s="1036"/>
      <c r="AD57" s="1036"/>
      <c r="AE57" s="1036"/>
      <c r="AF57" s="1036"/>
      <c r="AG57" s="747"/>
      <c r="AH57" s="743"/>
      <c r="AI57" s="743"/>
    </row>
    <row r="58" spans="2:44" s="309" customFormat="1" hidden="1">
      <c r="O58" s="1038"/>
      <c r="P58" s="1038"/>
      <c r="Q58" s="1038"/>
      <c r="R58" s="1038"/>
      <c r="S58" s="1038"/>
      <c r="T58" s="1038"/>
      <c r="U58" s="1038"/>
      <c r="V58" s="1038"/>
      <c r="W58" s="1038"/>
      <c r="X58" s="1036"/>
      <c r="Y58" s="1036"/>
      <c r="Z58" s="1036"/>
      <c r="AA58" s="1036"/>
      <c r="AB58" s="1036"/>
      <c r="AC58" s="1036"/>
      <c r="AD58" s="1036"/>
      <c r="AE58" s="1036"/>
      <c r="AF58" s="1036"/>
      <c r="AG58" s="747"/>
      <c r="AH58" s="743"/>
      <c r="AI58" s="743"/>
    </row>
    <row r="59" spans="2:44">
      <c r="B59" s="276"/>
      <c r="O59" s="283"/>
      <c r="P59" s="283"/>
      <c r="Q59" s="283"/>
      <c r="R59" s="283"/>
      <c r="S59" s="283"/>
      <c r="T59" s="283"/>
      <c r="U59" s="283"/>
      <c r="V59" s="283"/>
      <c r="W59" s="283"/>
      <c r="X59" s="1036"/>
      <c r="Y59" s="1036"/>
      <c r="Z59" s="1036"/>
      <c r="AA59" s="1036"/>
      <c r="AB59" s="1036"/>
      <c r="AC59" s="1036"/>
      <c r="AD59" s="1036"/>
      <c r="AE59" s="1036"/>
      <c r="AF59" s="1036"/>
      <c r="AG59" s="747"/>
    </row>
    <row r="60" spans="2:44" s="167" customFormat="1" outlineLevel="1">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748"/>
      <c r="Y60" s="748"/>
      <c r="Z60" s="748"/>
      <c r="AA60" s="748"/>
      <c r="AB60" s="748"/>
      <c r="AC60" s="748"/>
      <c r="AD60" s="748"/>
      <c r="AE60" s="748"/>
      <c r="AF60" s="748"/>
      <c r="AG60" s="1039"/>
      <c r="AH60" s="245"/>
      <c r="AI60" s="743"/>
    </row>
    <row r="61" spans="2:44" s="167" customFormat="1" outlineLevel="1">
      <c r="B61" s="190" t="s">
        <v>308</v>
      </c>
      <c r="C61" s="191"/>
      <c r="D61" s="191"/>
      <c r="E61" s="191"/>
      <c r="F61" s="191"/>
      <c r="G61" s="191"/>
      <c r="H61" s="191"/>
      <c r="I61" s="191"/>
      <c r="J61" s="191"/>
      <c r="K61" s="191"/>
      <c r="L61" s="191"/>
      <c r="M61" s="191"/>
      <c r="N61" s="191"/>
      <c r="O61" s="191"/>
      <c r="P61" s="191"/>
      <c r="Q61" s="191"/>
      <c r="R61" s="191"/>
      <c r="S61" s="191"/>
      <c r="T61" s="191"/>
      <c r="U61" s="191"/>
      <c r="V61" s="191"/>
      <c r="W61" s="191"/>
      <c r="X61" s="245"/>
      <c r="Y61" s="245"/>
      <c r="Z61" s="245"/>
      <c r="AA61" s="245"/>
      <c r="AB61" s="245"/>
      <c r="AC61" s="245"/>
      <c r="AD61" s="245"/>
      <c r="AE61" s="245"/>
      <c r="AF61" s="245"/>
      <c r="AG61" s="1039"/>
      <c r="AH61" s="245"/>
      <c r="AI61" s="743"/>
    </row>
    <row r="62" spans="2:44" s="167" customFormat="1"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751"/>
      <c r="Y62" s="749"/>
      <c r="Z62" s="749"/>
      <c r="AA62" s="749"/>
      <c r="AB62" s="749"/>
      <c r="AC62" s="749"/>
      <c r="AD62" s="749"/>
      <c r="AE62" s="749"/>
      <c r="AF62" s="749"/>
      <c r="AG62" s="1039"/>
      <c r="AH62" s="245"/>
      <c r="AI62" s="743"/>
    </row>
    <row r="63" spans="2:44" s="167" customFormat="1" outlineLevel="1">
      <c r="B63" s="158" t="s">
        <v>1702</v>
      </c>
      <c r="C63" s="158"/>
      <c r="D63" s="158"/>
      <c r="O63" s="197"/>
      <c r="P63" s="198"/>
      <c r="Q63" s="199"/>
      <c r="R63" s="198"/>
      <c r="S63" s="198"/>
      <c r="T63" s="198"/>
      <c r="U63" s="198"/>
      <c r="V63" s="198"/>
      <c r="W63" s="198"/>
      <c r="X63" s="750">
        <v>2001</v>
      </c>
      <c r="Y63" s="745">
        <v>2002</v>
      </c>
      <c r="Z63" s="745">
        <v>2003</v>
      </c>
      <c r="AA63" s="745">
        <v>2004</v>
      </c>
      <c r="AB63" s="745">
        <v>2005</v>
      </c>
      <c r="AC63" s="745">
        <v>2006</v>
      </c>
      <c r="AD63" s="745">
        <v>2007</v>
      </c>
      <c r="AE63" s="745">
        <v>2008</v>
      </c>
      <c r="AF63" s="745">
        <v>2009</v>
      </c>
      <c r="AG63" s="745">
        <v>2010</v>
      </c>
      <c r="AH63" s="745">
        <v>2011</v>
      </c>
      <c r="AI63" s="745">
        <v>2012</v>
      </c>
      <c r="AJ63" s="745">
        <v>2013</v>
      </c>
      <c r="AK63" s="745">
        <v>2014</v>
      </c>
      <c r="AL63" s="745">
        <v>2015</v>
      </c>
      <c r="AM63" s="745">
        <v>2016</v>
      </c>
      <c r="AN63" s="745">
        <v>2017</v>
      </c>
      <c r="AO63" s="745">
        <v>2018</v>
      </c>
      <c r="AP63" s="745">
        <v>2019</v>
      </c>
      <c r="AQ63" s="745">
        <v>2020</v>
      </c>
      <c r="AR63" s="745">
        <v>2021</v>
      </c>
    </row>
    <row r="64" spans="2:44" s="167" customFormat="1" outlineLevel="1">
      <c r="B64" s="158" t="s">
        <v>1703</v>
      </c>
      <c r="C64" s="158"/>
      <c r="D64" s="158"/>
      <c r="O64" s="197"/>
      <c r="P64" s="198"/>
      <c r="Q64" s="199"/>
      <c r="R64" s="198"/>
      <c r="S64" s="198"/>
      <c r="T64" s="198"/>
      <c r="U64" s="198"/>
      <c r="V64" s="198"/>
      <c r="W64" s="198"/>
      <c r="X64" s="743"/>
      <c r="Y64" s="760"/>
      <c r="Z64" s="743"/>
      <c r="AA64" s="760"/>
      <c r="AB64" s="760"/>
      <c r="AC64" s="760"/>
      <c r="AD64" s="743"/>
      <c r="AE64" s="760"/>
      <c r="AF64" s="743"/>
      <c r="AG64" s="1039"/>
      <c r="AH64" s="245"/>
      <c r="AI64" s="743"/>
    </row>
    <row r="65" spans="2:44" s="167" customFormat="1" outlineLevel="1">
      <c r="B65" s="308" t="s">
        <v>28</v>
      </c>
      <c r="C65" s="158" t="s">
        <v>29</v>
      </c>
      <c r="D65" s="158"/>
      <c r="O65" s="197"/>
      <c r="P65" s="198"/>
      <c r="Q65" s="199"/>
      <c r="R65" s="198"/>
      <c r="S65" s="198"/>
      <c r="T65" s="198"/>
      <c r="U65" s="198"/>
      <c r="V65" s="198"/>
      <c r="W65" s="198"/>
      <c r="X65" s="747">
        <v>630572</v>
      </c>
      <c r="Y65" s="743">
        <v>668603</v>
      </c>
      <c r="Z65" s="747">
        <v>698585</v>
      </c>
      <c r="AA65" s="743">
        <v>730886</v>
      </c>
      <c r="AB65" s="747">
        <v>772000</v>
      </c>
      <c r="AC65" s="747">
        <v>814421</v>
      </c>
      <c r="AD65" s="747">
        <v>863424</v>
      </c>
      <c r="AE65" s="743">
        <v>902446</v>
      </c>
      <c r="AF65" s="747">
        <v>904663</v>
      </c>
      <c r="AG65" s="747">
        <v>949619</v>
      </c>
      <c r="AH65" s="747">
        <v>991750</v>
      </c>
      <c r="AI65" s="747">
        <v>1023606</v>
      </c>
      <c r="AJ65" s="747">
        <v>1064515</v>
      </c>
      <c r="AK65" s="747">
        <v>1113079</v>
      </c>
      <c r="AL65" s="747">
        <v>1150654</v>
      </c>
      <c r="AM65" s="747">
        <v>1184619</v>
      </c>
      <c r="AN65" s="747">
        <v>1241063</v>
      </c>
      <c r="AO65" s="747">
        <v>1292802</v>
      </c>
      <c r="AP65" s="747">
        <v>1334707</v>
      </c>
      <c r="AQ65" s="747">
        <v>1261278</v>
      </c>
      <c r="AR65" s="747"/>
    </row>
    <row r="66" spans="2:44" s="167" customFormat="1" ht="5.25" customHeight="1" outlineLevel="1">
      <c r="B66" s="158"/>
      <c r="C66" s="158"/>
      <c r="D66" s="158"/>
      <c r="O66" s="197"/>
      <c r="P66" s="198"/>
      <c r="Q66" s="199"/>
      <c r="R66" s="198"/>
      <c r="S66" s="198"/>
      <c r="T66" s="198"/>
      <c r="U66" s="198"/>
      <c r="V66" s="198"/>
      <c r="W66" s="198"/>
      <c r="X66" s="747"/>
      <c r="Y66" s="743"/>
      <c r="Z66" s="747"/>
      <c r="AA66" s="743"/>
      <c r="AB66" s="747"/>
      <c r="AC66" s="747"/>
      <c r="AD66" s="747"/>
      <c r="AE66" s="743"/>
      <c r="AF66" s="747"/>
      <c r="AG66" s="747"/>
      <c r="AH66" s="747"/>
      <c r="AI66" s="747"/>
      <c r="AJ66" s="747"/>
      <c r="AK66" s="747"/>
      <c r="AL66" s="747"/>
      <c r="AM66" s="747"/>
      <c r="AN66" s="747"/>
      <c r="AO66" s="747"/>
      <c r="AP66" s="747"/>
      <c r="AQ66" s="747"/>
      <c r="AR66" s="747"/>
    </row>
    <row r="67" spans="2:44" s="167" customFormat="1" outlineLevel="1">
      <c r="B67" s="308" t="s">
        <v>30</v>
      </c>
      <c r="C67" s="158" t="s">
        <v>31</v>
      </c>
      <c r="D67" s="158"/>
      <c r="O67" s="197"/>
      <c r="P67" s="198"/>
      <c r="Q67" s="199"/>
      <c r="R67" s="198"/>
      <c r="S67" s="198"/>
      <c r="T67" s="198"/>
      <c r="U67" s="198"/>
      <c r="V67" s="198"/>
      <c r="W67" s="198"/>
      <c r="X67" s="747">
        <v>720728</v>
      </c>
      <c r="Y67" s="743">
        <v>763209</v>
      </c>
      <c r="Z67" s="747">
        <v>797712</v>
      </c>
      <c r="AA67" s="743">
        <v>834001</v>
      </c>
      <c r="AB67" s="747">
        <v>879529</v>
      </c>
      <c r="AC67" s="747">
        <v>928720</v>
      </c>
      <c r="AD67" s="747">
        <v>982569</v>
      </c>
      <c r="AE67" s="743">
        <v>1032842</v>
      </c>
      <c r="AF67" s="747">
        <v>1041658</v>
      </c>
      <c r="AG67" s="747">
        <v>1093496</v>
      </c>
      <c r="AH67" s="747">
        <v>1143623</v>
      </c>
      <c r="AI67" s="747">
        <v>1179076</v>
      </c>
      <c r="AJ67" s="747">
        <v>1220300</v>
      </c>
      <c r="AK67" s="747">
        <v>1273179</v>
      </c>
      <c r="AL67" s="747">
        <v>1316447</v>
      </c>
      <c r="AM67" s="747">
        <v>1355174</v>
      </c>
      <c r="AN67" s="747">
        <v>1418954</v>
      </c>
      <c r="AO67" s="747">
        <v>1478705</v>
      </c>
      <c r="AP67" s="747">
        <v>1529333</v>
      </c>
      <c r="AQ67" s="747">
        <v>1466774</v>
      </c>
      <c r="AR67" s="747"/>
    </row>
    <row r="68" spans="2:44" s="167" customFormat="1" ht="5.25" customHeight="1" outlineLevel="1">
      <c r="B68" s="158"/>
      <c r="C68" s="158"/>
      <c r="D68" s="158"/>
      <c r="O68" s="197"/>
      <c r="P68" s="198"/>
      <c r="Q68" s="199"/>
      <c r="R68" s="198"/>
      <c r="S68" s="198"/>
      <c r="T68" s="198"/>
      <c r="U68" s="198"/>
      <c r="V68" s="198"/>
      <c r="W68" s="198"/>
      <c r="X68" s="743"/>
      <c r="Y68" s="743"/>
      <c r="Z68" s="743"/>
      <c r="AA68" s="743"/>
      <c r="AB68" s="743"/>
      <c r="AC68" s="743"/>
      <c r="AD68" s="743"/>
      <c r="AE68" s="743"/>
      <c r="AF68" s="743"/>
      <c r="AG68" s="743"/>
      <c r="AH68" s="743"/>
      <c r="AI68" s="743"/>
      <c r="AJ68" s="743"/>
      <c r="AK68" s="743"/>
      <c r="AL68" s="743"/>
      <c r="AM68" s="743"/>
      <c r="AN68" s="743"/>
      <c r="AO68" s="743"/>
      <c r="AP68" s="743"/>
      <c r="AQ68" s="743"/>
      <c r="AR68" s="743"/>
    </row>
    <row r="69" spans="2:44" s="167" customFormat="1" outlineLevel="1">
      <c r="B69" s="308" t="s">
        <v>32</v>
      </c>
      <c r="C69" s="158" t="s">
        <v>33</v>
      </c>
      <c r="D69" s="158"/>
      <c r="O69" s="197"/>
      <c r="P69" s="198"/>
      <c r="Q69" s="199"/>
      <c r="R69" s="198"/>
      <c r="S69" s="198"/>
      <c r="T69" s="198"/>
      <c r="U69" s="198"/>
      <c r="V69" s="198"/>
      <c r="W69" s="198"/>
      <c r="X69" s="747">
        <f>SUM(X71:X72)</f>
        <v>75516.429000000004</v>
      </c>
      <c r="Y69" s="743">
        <f t="shared" ref="Y69:AQ69" si="17">SUM(Y71:Y72)</f>
        <v>80947.142999999996</v>
      </c>
      <c r="Z69" s="747">
        <f t="shared" si="17"/>
        <v>85007.966</v>
      </c>
      <c r="AA69" s="743">
        <f t="shared" si="17"/>
        <v>88518.088000000003</v>
      </c>
      <c r="AB69" s="747">
        <f t="shared" si="17"/>
        <v>91462.125999999989</v>
      </c>
      <c r="AC69" s="747">
        <f t="shared" si="17"/>
        <v>92586.118000000002</v>
      </c>
      <c r="AD69" s="747">
        <f t="shared" si="17"/>
        <v>94001.676999999996</v>
      </c>
      <c r="AE69" s="743">
        <f t="shared" si="17"/>
        <v>87715.736000000004</v>
      </c>
      <c r="AF69" s="747">
        <f t="shared" si="17"/>
        <v>88986.120999999985</v>
      </c>
      <c r="AG69" s="747">
        <f t="shared" si="17"/>
        <v>95410.453999999998</v>
      </c>
      <c r="AH69" s="747">
        <f t="shared" si="17"/>
        <v>100213.71900000001</v>
      </c>
      <c r="AI69" s="747">
        <f t="shared" si="17"/>
        <v>103053.74799999999</v>
      </c>
      <c r="AJ69" s="747">
        <f t="shared" si="17"/>
        <v>105922.433</v>
      </c>
      <c r="AK69" s="747">
        <f t="shared" si="17"/>
        <v>111609.33799999999</v>
      </c>
      <c r="AL69" s="747">
        <f t="shared" si="17"/>
        <v>115881.92099999999</v>
      </c>
      <c r="AM69" s="747">
        <f t="shared" si="17"/>
        <v>119630.49600000001</v>
      </c>
      <c r="AN69" s="747">
        <f t="shared" si="17"/>
        <v>128256.818</v>
      </c>
      <c r="AO69" s="747">
        <f t="shared" si="17"/>
        <v>133900.87099999998</v>
      </c>
      <c r="AP69" s="747">
        <f t="shared" si="17"/>
        <v>138412.652</v>
      </c>
      <c r="AQ69" s="747">
        <f t="shared" si="17"/>
        <v>131779.15899999999</v>
      </c>
      <c r="AR69" s="747"/>
    </row>
    <row r="70" spans="2:44" s="167" customFormat="1" ht="5.25" customHeight="1" outlineLevel="1">
      <c r="B70" s="158"/>
      <c r="C70" s="158"/>
      <c r="D70" s="158"/>
      <c r="O70" s="197"/>
      <c r="P70" s="198"/>
      <c r="Q70" s="199"/>
      <c r="R70" s="198"/>
      <c r="S70" s="198"/>
      <c r="T70" s="198"/>
      <c r="U70" s="198"/>
      <c r="V70" s="198"/>
      <c r="W70" s="198"/>
      <c r="X70" s="743"/>
      <c r="Y70" s="743"/>
      <c r="Z70" s="743"/>
      <c r="AA70" s="743"/>
      <c r="AB70" s="743"/>
      <c r="AC70" s="743"/>
      <c r="AD70" s="743"/>
      <c r="AE70" s="743"/>
      <c r="AF70" s="743"/>
      <c r="AG70" s="743"/>
      <c r="AH70" s="743"/>
      <c r="AI70" s="743"/>
      <c r="AJ70" s="743"/>
      <c r="AK70" s="743"/>
      <c r="AL70" s="743"/>
      <c r="AM70" s="743"/>
      <c r="AN70" s="743"/>
      <c r="AO70" s="743"/>
      <c r="AP70" s="743"/>
      <c r="AQ70" s="743"/>
      <c r="AR70" s="743"/>
    </row>
    <row r="71" spans="2:44" s="167" customFormat="1" outlineLevel="1">
      <c r="B71" s="158"/>
      <c r="C71" s="158" t="s">
        <v>34</v>
      </c>
      <c r="D71" s="158"/>
      <c r="O71" s="197"/>
      <c r="P71" s="198"/>
      <c r="Q71" s="199"/>
      <c r="R71" s="198"/>
      <c r="S71" s="198"/>
      <c r="T71" s="198"/>
      <c r="U71" s="198"/>
      <c r="V71" s="198"/>
      <c r="W71" s="198"/>
      <c r="X71" s="747">
        <v>56297.178</v>
      </c>
      <c r="Y71" s="743">
        <v>59560.085999999996</v>
      </c>
      <c r="Z71" s="747">
        <v>62348.487000000001</v>
      </c>
      <c r="AA71" s="743">
        <v>65164.186000000002</v>
      </c>
      <c r="AB71" s="747">
        <v>68509.936999999991</v>
      </c>
      <c r="AC71" s="747">
        <v>69957.385999999999</v>
      </c>
      <c r="AD71" s="747">
        <v>71242.34199999999</v>
      </c>
      <c r="AE71" s="743">
        <v>66467.676999999996</v>
      </c>
      <c r="AF71" s="747">
        <v>67293.167999999991</v>
      </c>
      <c r="AG71" s="747">
        <v>72129.895000000004</v>
      </c>
      <c r="AH71" s="747">
        <v>76541.52</v>
      </c>
      <c r="AI71" s="747">
        <v>79393.433999999994</v>
      </c>
      <c r="AJ71" s="747">
        <v>81452.150000000009</v>
      </c>
      <c r="AK71" s="747">
        <v>86365.736999999994</v>
      </c>
      <c r="AL71" s="747">
        <v>90598.22099999999</v>
      </c>
      <c r="AM71" s="747">
        <v>93522.509000000005</v>
      </c>
      <c r="AN71" s="747">
        <v>100920.04699999999</v>
      </c>
      <c r="AO71" s="747">
        <v>106139.99099999999</v>
      </c>
      <c r="AP71" s="747">
        <v>109699.842</v>
      </c>
      <c r="AQ71" s="747">
        <v>103261.48499999999</v>
      </c>
      <c r="AR71" s="747"/>
    </row>
    <row r="72" spans="2:44" s="167" customFormat="1" outlineLevel="1">
      <c r="B72" s="158"/>
      <c r="C72" s="158" t="s">
        <v>35</v>
      </c>
      <c r="D72" s="158"/>
      <c r="O72" s="197"/>
      <c r="P72" s="198"/>
      <c r="Q72" s="199"/>
      <c r="R72" s="198"/>
      <c r="S72" s="198"/>
      <c r="T72" s="198"/>
      <c r="U72" s="198"/>
      <c r="V72" s="198"/>
      <c r="W72" s="198"/>
      <c r="X72" s="747">
        <v>19219.251</v>
      </c>
      <c r="Y72" s="743">
        <v>21387.056999999997</v>
      </c>
      <c r="Z72" s="747">
        <v>22659.478999999999</v>
      </c>
      <c r="AA72" s="743">
        <v>23353.902000000002</v>
      </c>
      <c r="AB72" s="747">
        <v>22952.189000000002</v>
      </c>
      <c r="AC72" s="747">
        <v>22628.732</v>
      </c>
      <c r="AD72" s="747">
        <v>22759.334999999999</v>
      </c>
      <c r="AE72" s="743">
        <v>21248.059000000001</v>
      </c>
      <c r="AF72" s="747">
        <v>21692.952999999998</v>
      </c>
      <c r="AG72" s="747">
        <v>23280.559000000001</v>
      </c>
      <c r="AH72" s="747">
        <v>23672.199000000001</v>
      </c>
      <c r="AI72" s="747">
        <v>23660.313999999998</v>
      </c>
      <c r="AJ72" s="747">
        <v>24470.282999999999</v>
      </c>
      <c r="AK72" s="747">
        <v>25243.601000000002</v>
      </c>
      <c r="AL72" s="747">
        <v>25283.7</v>
      </c>
      <c r="AM72" s="747">
        <v>26107.987000000001</v>
      </c>
      <c r="AN72" s="747">
        <v>27336.771000000001</v>
      </c>
      <c r="AO72" s="747">
        <v>27760.880000000001</v>
      </c>
      <c r="AP72" s="747">
        <v>28712.81</v>
      </c>
      <c r="AQ72" s="747">
        <v>28517.673999999999</v>
      </c>
      <c r="AR72" s="747"/>
    </row>
    <row r="73" spans="2:44" s="167" customFormat="1" ht="5.25" customHeight="1" outlineLevel="1">
      <c r="B73" s="158"/>
      <c r="C73" s="158"/>
      <c r="D73" s="158"/>
      <c r="O73" s="197"/>
      <c r="P73" s="198"/>
      <c r="Q73" s="199"/>
      <c r="R73" s="198"/>
      <c r="S73" s="198"/>
      <c r="T73" s="198"/>
      <c r="U73" s="198"/>
      <c r="V73" s="198"/>
      <c r="W73" s="198"/>
      <c r="X73" s="747"/>
      <c r="Y73" s="743"/>
      <c r="Z73" s="747"/>
      <c r="AA73" s="743"/>
      <c r="AB73" s="747"/>
      <c r="AC73" s="747"/>
      <c r="AD73" s="747"/>
      <c r="AE73" s="743"/>
      <c r="AF73" s="747"/>
      <c r="AG73" s="747"/>
      <c r="AH73" s="747"/>
      <c r="AI73" s="747"/>
      <c r="AJ73" s="747"/>
      <c r="AK73" s="747"/>
      <c r="AL73" s="747"/>
      <c r="AM73" s="747"/>
      <c r="AN73" s="747"/>
      <c r="AO73" s="747"/>
      <c r="AP73" s="747"/>
      <c r="AQ73" s="747"/>
      <c r="AR73" s="747"/>
    </row>
    <row r="74" spans="2:44" s="167" customFormat="1" outlineLevel="1">
      <c r="B74" s="308" t="s">
        <v>36</v>
      </c>
      <c r="C74" s="158" t="s">
        <v>37</v>
      </c>
      <c r="D74" s="158"/>
      <c r="O74" s="197"/>
      <c r="P74" s="198"/>
      <c r="Q74" s="199"/>
      <c r="R74" s="198"/>
      <c r="S74" s="198"/>
      <c r="T74" s="198"/>
      <c r="U74" s="198"/>
      <c r="V74" s="198"/>
      <c r="W74" s="198"/>
      <c r="X74" s="747">
        <v>90698.702999999994</v>
      </c>
      <c r="Y74" s="743">
        <v>97466.853999999992</v>
      </c>
      <c r="Z74" s="747">
        <v>101791.497</v>
      </c>
      <c r="AA74" s="743">
        <v>105917.117</v>
      </c>
      <c r="AB74" s="747">
        <v>109926.16099999999</v>
      </c>
      <c r="AC74" s="747">
        <v>111891.65199999999</v>
      </c>
      <c r="AD74" s="747">
        <v>114701.054</v>
      </c>
      <c r="AE74" s="743">
        <v>108578.735</v>
      </c>
      <c r="AF74" s="747">
        <v>109435.98299999999</v>
      </c>
      <c r="AG74" s="747">
        <v>116159.88099999999</v>
      </c>
      <c r="AH74" s="747">
        <v>121712.514</v>
      </c>
      <c r="AI74" s="747">
        <v>125238.936</v>
      </c>
      <c r="AJ74" s="747">
        <v>128554.03200000001</v>
      </c>
      <c r="AK74" s="747">
        <v>134767.084</v>
      </c>
      <c r="AL74" s="747">
        <v>140749.92599999998</v>
      </c>
      <c r="AM74" s="747">
        <v>145807.09999999998</v>
      </c>
      <c r="AN74" s="747">
        <v>154965.068</v>
      </c>
      <c r="AO74" s="747">
        <v>162661.91900000002</v>
      </c>
      <c r="AP74" s="747">
        <v>166932.4</v>
      </c>
      <c r="AQ74" s="747">
        <v>153701.18099999998</v>
      </c>
      <c r="AR74" s="747"/>
    </row>
    <row r="75" spans="2:44" s="167" customFormat="1" ht="5.25" customHeight="1" outlineLevel="1">
      <c r="B75" s="158"/>
      <c r="C75" s="158"/>
      <c r="D75" s="158"/>
      <c r="O75" s="197"/>
      <c r="P75" s="198"/>
      <c r="Q75" s="199"/>
      <c r="R75" s="198"/>
      <c r="S75" s="198"/>
      <c r="T75" s="198"/>
      <c r="U75" s="198"/>
      <c r="V75" s="198"/>
      <c r="W75" s="198"/>
      <c r="X75" s="747"/>
      <c r="Y75" s="743"/>
      <c r="Z75" s="747"/>
      <c r="AA75" s="743"/>
      <c r="AB75" s="747"/>
      <c r="AC75" s="747"/>
      <c r="AD75" s="747"/>
      <c r="AE75" s="743"/>
      <c r="AF75" s="747"/>
      <c r="AG75" s="747"/>
      <c r="AH75" s="747"/>
      <c r="AI75" s="747"/>
      <c r="AJ75" s="747"/>
      <c r="AK75" s="747"/>
      <c r="AL75" s="747"/>
      <c r="AM75" s="747"/>
      <c r="AN75" s="747"/>
      <c r="AO75" s="747"/>
      <c r="AP75" s="747"/>
      <c r="AQ75" s="747"/>
      <c r="AR75" s="747"/>
    </row>
    <row r="76" spans="2:44" s="167" customFormat="1" outlineLevel="1">
      <c r="B76" s="308" t="s">
        <v>38</v>
      </c>
      <c r="C76" s="158" t="s">
        <v>39</v>
      </c>
      <c r="D76" s="158"/>
      <c r="O76" s="197"/>
      <c r="P76" s="198"/>
      <c r="Q76" s="199"/>
      <c r="R76" s="198"/>
      <c r="S76" s="198"/>
      <c r="T76" s="198"/>
      <c r="U76" s="198"/>
      <c r="V76" s="198"/>
      <c r="W76" s="198"/>
      <c r="X76" s="747">
        <v>96447.703000000009</v>
      </c>
      <c r="Y76" s="743">
        <v>103479.85400000001</v>
      </c>
      <c r="Z76" s="747">
        <v>107782.497</v>
      </c>
      <c r="AA76" s="743">
        <v>112452.117</v>
      </c>
      <c r="AB76" s="747">
        <v>116921.16099999999</v>
      </c>
      <c r="AC76" s="747">
        <v>119374.652</v>
      </c>
      <c r="AD76" s="747">
        <v>122855.05399999999</v>
      </c>
      <c r="AE76" s="743">
        <v>116449.735</v>
      </c>
      <c r="AF76" s="747">
        <v>116244.98300000001</v>
      </c>
      <c r="AG76" s="747">
        <v>123751.88099999999</v>
      </c>
      <c r="AH76" s="747">
        <v>129697.51400000001</v>
      </c>
      <c r="AI76" s="747">
        <v>133169.93600000002</v>
      </c>
      <c r="AJ76" s="747">
        <v>136396.03199999998</v>
      </c>
      <c r="AK76" s="747">
        <v>143498.084</v>
      </c>
      <c r="AL76" s="747">
        <v>150274.92600000001</v>
      </c>
      <c r="AM76" s="747">
        <v>154794.09999999998</v>
      </c>
      <c r="AN76" s="747">
        <v>166804.068</v>
      </c>
      <c r="AO76" s="747">
        <v>174659.91899999999</v>
      </c>
      <c r="AP76" s="747">
        <v>178036.4</v>
      </c>
      <c r="AQ76" s="747">
        <v>163874.18099999998</v>
      </c>
      <c r="AR76" s="747"/>
    </row>
    <row r="77" spans="2:44" s="167" customFormat="1" outlineLevel="1">
      <c r="B77" s="308"/>
      <c r="C77" s="158"/>
      <c r="D77" s="158"/>
      <c r="O77" s="197"/>
      <c r="P77" s="198"/>
      <c r="Q77" s="199"/>
      <c r="R77" s="198"/>
      <c r="S77" s="198"/>
      <c r="T77" s="198"/>
      <c r="U77" s="198"/>
      <c r="V77" s="198"/>
      <c r="W77" s="198"/>
      <c r="X77" s="747"/>
      <c r="Y77" s="743"/>
      <c r="Z77" s="747"/>
      <c r="AA77" s="743"/>
      <c r="AB77" s="747"/>
      <c r="AC77" s="747"/>
      <c r="AD77" s="747"/>
      <c r="AE77" s="743"/>
      <c r="AF77" s="747"/>
      <c r="AG77" s="747"/>
      <c r="AH77" s="747"/>
      <c r="AI77" s="747"/>
      <c r="AJ77" s="747"/>
      <c r="AK77" s="747"/>
      <c r="AL77" s="747"/>
      <c r="AM77" s="747"/>
      <c r="AN77" s="747"/>
      <c r="AO77" s="747"/>
      <c r="AP77" s="747"/>
      <c r="AQ77" s="747"/>
      <c r="AR77" s="747"/>
    </row>
    <row r="78" spans="2:44" s="167" customFormat="1" outlineLevel="1">
      <c r="B78" s="158" t="s">
        <v>40</v>
      </c>
      <c r="D78" s="158"/>
      <c r="O78" s="197"/>
      <c r="P78" s="198"/>
      <c r="Q78" s="199"/>
      <c r="R78" s="198"/>
      <c r="S78" s="198"/>
      <c r="T78" s="198"/>
      <c r="U78" s="198"/>
      <c r="V78" s="198"/>
      <c r="W78" s="198"/>
      <c r="X78" s="747"/>
      <c r="Y78" s="743"/>
      <c r="Z78" s="747"/>
      <c r="AA78" s="743"/>
      <c r="AB78" s="747"/>
      <c r="AC78" s="747"/>
      <c r="AD78" s="747"/>
      <c r="AE78" s="743"/>
      <c r="AF78" s="747"/>
      <c r="AG78" s="747"/>
      <c r="AH78" s="747"/>
      <c r="AI78" s="747"/>
      <c r="AJ78" s="747"/>
      <c r="AK78" s="747"/>
      <c r="AL78" s="747"/>
      <c r="AM78" s="747"/>
      <c r="AN78" s="747"/>
      <c r="AO78" s="747"/>
      <c r="AP78" s="747"/>
      <c r="AQ78" s="747"/>
      <c r="AR78" s="747"/>
    </row>
    <row r="79" spans="2:44" s="167" customFormat="1" ht="6" customHeight="1" outlineLevel="1">
      <c r="B79" s="158"/>
      <c r="C79" s="158"/>
      <c r="D79" s="158"/>
      <c r="O79" s="197"/>
      <c r="P79" s="198"/>
      <c r="Q79" s="199"/>
      <c r="R79" s="198"/>
      <c r="S79" s="198"/>
      <c r="T79" s="198"/>
      <c r="U79" s="198"/>
      <c r="V79" s="198"/>
      <c r="W79" s="198"/>
      <c r="X79" s="747"/>
      <c r="Y79" s="743"/>
      <c r="Z79" s="747"/>
      <c r="AA79" s="743"/>
      <c r="AB79" s="747"/>
      <c r="AC79" s="747"/>
      <c r="AD79" s="747"/>
      <c r="AE79" s="743"/>
      <c r="AF79" s="747"/>
      <c r="AG79" s="747"/>
      <c r="AH79" s="747"/>
      <c r="AI79" s="747"/>
      <c r="AJ79" s="747"/>
      <c r="AK79" s="747"/>
      <c r="AL79" s="747"/>
      <c r="AM79" s="747"/>
      <c r="AN79" s="747"/>
      <c r="AO79" s="747"/>
      <c r="AP79" s="747"/>
      <c r="AQ79" s="747"/>
      <c r="AR79" s="747"/>
    </row>
    <row r="80" spans="2:44" s="167" customFormat="1" outlineLevel="1">
      <c r="B80" s="310" t="s">
        <v>41</v>
      </c>
      <c r="C80" s="294" t="s">
        <v>42</v>
      </c>
      <c r="D80" s="294"/>
      <c r="O80" s="197"/>
      <c r="P80" s="198"/>
      <c r="Q80" s="199"/>
      <c r="R80" s="198"/>
      <c r="S80" s="198"/>
      <c r="T80" s="198"/>
      <c r="U80" s="198"/>
      <c r="V80" s="198"/>
      <c r="W80" s="198"/>
      <c r="X80" s="1040">
        <f>X69/X67</f>
        <v>0.10477798697983151</v>
      </c>
      <c r="Y80" s="748">
        <f t="shared" ref="Y80:AQ80" si="18">Y69/Y67</f>
        <v>0.10606156767019256</v>
      </c>
      <c r="Z80" s="1040">
        <f t="shared" si="18"/>
        <v>0.10656473263533707</v>
      </c>
      <c r="AA80" s="748">
        <f t="shared" si="18"/>
        <v>0.10613666890087663</v>
      </c>
      <c r="AB80" s="1040">
        <f t="shared" si="18"/>
        <v>0.1039898923173653</v>
      </c>
      <c r="AC80" s="1040">
        <f t="shared" si="18"/>
        <v>9.9692176328710483E-2</v>
      </c>
      <c r="AD80" s="1040">
        <f t="shared" si="18"/>
        <v>9.5669288365499011E-2</v>
      </c>
      <c r="AE80" s="748">
        <f t="shared" si="18"/>
        <v>8.4926577346777152E-2</v>
      </c>
      <c r="AF80" s="1040">
        <f t="shared" si="18"/>
        <v>8.5427386915859119E-2</v>
      </c>
      <c r="AG80" s="1040">
        <f t="shared" si="18"/>
        <v>8.7252677650398347E-2</v>
      </c>
      <c r="AH80" s="1040">
        <f t="shared" si="18"/>
        <v>8.7628282222375745E-2</v>
      </c>
      <c r="AI80" s="1040">
        <f t="shared" si="18"/>
        <v>8.7402125053855723E-2</v>
      </c>
      <c r="AJ80" s="1040">
        <f t="shared" si="18"/>
        <v>8.680032205195444E-2</v>
      </c>
      <c r="AK80" s="1040">
        <f t="shared" si="18"/>
        <v>8.7661937559447636E-2</v>
      </c>
      <c r="AL80" s="1040">
        <f t="shared" si="18"/>
        <v>8.8026271471620191E-2</v>
      </c>
      <c r="AM80" s="1040">
        <f t="shared" si="18"/>
        <v>8.8276853009281481E-2</v>
      </c>
      <c r="AN80" s="1040">
        <f t="shared" si="18"/>
        <v>9.0388284609649081E-2</v>
      </c>
      <c r="AO80" s="1040">
        <f t="shared" si="18"/>
        <v>9.0552795182270968E-2</v>
      </c>
      <c r="AP80" s="1040">
        <f t="shared" si="18"/>
        <v>9.0505241173766598E-2</v>
      </c>
      <c r="AQ80" s="1040">
        <f t="shared" si="18"/>
        <v>8.984285172766901E-2</v>
      </c>
      <c r="AR80" s="1040"/>
    </row>
    <row r="81" spans="2:49" s="167" customFormat="1" ht="5.25" customHeight="1" outlineLevel="1">
      <c r="B81" s="158"/>
      <c r="C81" s="158"/>
      <c r="D81" s="158"/>
      <c r="O81" s="197"/>
      <c r="P81" s="198"/>
      <c r="Q81" s="199"/>
      <c r="R81" s="198"/>
      <c r="S81" s="198"/>
      <c r="T81" s="198"/>
      <c r="U81" s="198"/>
      <c r="V81" s="198"/>
      <c r="W81" s="198"/>
      <c r="X81" s="747"/>
      <c r="Y81" s="743"/>
      <c r="Z81" s="747"/>
      <c r="AA81" s="743"/>
      <c r="AB81" s="747"/>
      <c r="AC81" s="747"/>
      <c r="AD81" s="747"/>
      <c r="AE81" s="743"/>
      <c r="AF81" s="747"/>
      <c r="AG81" s="747"/>
      <c r="AH81" s="747"/>
      <c r="AI81" s="747"/>
      <c r="AJ81" s="747"/>
      <c r="AK81" s="747"/>
      <c r="AL81" s="747"/>
      <c r="AM81" s="747"/>
      <c r="AN81" s="747"/>
      <c r="AO81" s="747"/>
      <c r="AP81" s="747"/>
      <c r="AQ81" s="747"/>
      <c r="AR81" s="747"/>
    </row>
    <row r="82" spans="2:49" s="167" customFormat="1" outlineLevel="1">
      <c r="B82" s="308" t="s">
        <v>43</v>
      </c>
      <c r="C82" s="158" t="s">
        <v>44</v>
      </c>
      <c r="D82" s="158"/>
      <c r="O82" s="197"/>
      <c r="P82" s="198"/>
      <c r="Q82" s="199"/>
      <c r="R82" s="198"/>
      <c r="S82" s="198"/>
      <c r="T82" s="198"/>
      <c r="U82" s="198"/>
      <c r="V82" s="198"/>
      <c r="W82" s="198"/>
      <c r="X82" s="1041">
        <f>X76/X67</f>
        <v>0.13381983633215305</v>
      </c>
      <c r="Y82" s="743">
        <f t="shared" ref="Y82:AQ82" si="19">Y76/Y67</f>
        <v>0.13558521191442974</v>
      </c>
      <c r="Z82" s="1041">
        <f t="shared" si="19"/>
        <v>0.13511454885973886</v>
      </c>
      <c r="AA82" s="743">
        <f t="shared" si="19"/>
        <v>0.13483451098979499</v>
      </c>
      <c r="AB82" s="1041">
        <f t="shared" si="19"/>
        <v>0.13293610671166045</v>
      </c>
      <c r="AC82" s="1041">
        <f t="shared" si="19"/>
        <v>0.12853675165819622</v>
      </c>
      <c r="AD82" s="1041">
        <f t="shared" si="19"/>
        <v>0.12503453090826191</v>
      </c>
      <c r="AE82" s="743">
        <f t="shared" si="19"/>
        <v>0.11274690126853866</v>
      </c>
      <c r="AF82" s="1041">
        <f t="shared" si="19"/>
        <v>0.11159611215965318</v>
      </c>
      <c r="AG82" s="1041">
        <f t="shared" si="19"/>
        <v>0.11317085842106418</v>
      </c>
      <c r="AH82" s="1041">
        <f t="shared" si="19"/>
        <v>0.11340932632519633</v>
      </c>
      <c r="AI82" s="1041">
        <f t="shared" si="19"/>
        <v>0.11294431911089702</v>
      </c>
      <c r="AJ82" s="1041">
        <f t="shared" si="19"/>
        <v>0.11177254117839873</v>
      </c>
      <c r="AK82" s="1041">
        <f t="shared" si="19"/>
        <v>0.11270849110769185</v>
      </c>
      <c r="AL82" s="1041">
        <f t="shared" si="19"/>
        <v>0.11415189977264562</v>
      </c>
      <c r="AM82" s="1041">
        <f t="shared" si="19"/>
        <v>0.1142245202461086</v>
      </c>
      <c r="AN82" s="1041">
        <f t="shared" si="19"/>
        <v>0.11755424629692013</v>
      </c>
      <c r="AO82" s="1041">
        <f t="shared" si="19"/>
        <v>0.118116810993403</v>
      </c>
      <c r="AP82" s="1041">
        <f t="shared" si="19"/>
        <v>0.11641441072676781</v>
      </c>
      <c r="AQ82" s="1041">
        <f t="shared" si="19"/>
        <v>0.11172421995481238</v>
      </c>
      <c r="AR82" s="1041"/>
    </row>
    <row r="83" spans="2:49" s="167" customFormat="1" ht="5.25" customHeight="1" outlineLevel="1">
      <c r="B83" s="158"/>
      <c r="C83" s="158"/>
      <c r="D83" s="158"/>
      <c r="O83" s="197"/>
      <c r="P83" s="198"/>
      <c r="Q83" s="199"/>
      <c r="R83" s="198"/>
      <c r="S83" s="198"/>
      <c r="T83" s="198"/>
      <c r="U83" s="198"/>
      <c r="V83" s="198"/>
      <c r="W83" s="198"/>
      <c r="X83" s="747"/>
      <c r="Y83" s="743"/>
      <c r="Z83" s="747"/>
      <c r="AA83" s="743"/>
      <c r="AB83" s="747"/>
      <c r="AC83" s="747"/>
      <c r="AD83" s="747"/>
      <c r="AE83" s="743"/>
      <c r="AF83" s="747"/>
      <c r="AG83" s="747"/>
      <c r="AH83" s="747"/>
      <c r="AI83" s="747"/>
      <c r="AJ83" s="747"/>
      <c r="AK83" s="747"/>
      <c r="AL83" s="747"/>
      <c r="AM83" s="747"/>
      <c r="AN83" s="747"/>
      <c r="AO83" s="747"/>
      <c r="AP83" s="747"/>
      <c r="AQ83" s="747"/>
      <c r="AR83" s="747"/>
    </row>
    <row r="84" spans="2:49" s="167" customFormat="1" outlineLevel="1">
      <c r="B84" s="308" t="s">
        <v>45</v>
      </c>
      <c r="C84" s="158" t="s">
        <v>46</v>
      </c>
      <c r="D84" s="158"/>
      <c r="O84" s="197"/>
      <c r="P84" s="198"/>
      <c r="Q84" s="199"/>
      <c r="R84" s="198"/>
      <c r="S84" s="198"/>
      <c r="T84" s="198"/>
      <c r="U84" s="198"/>
      <c r="V84" s="198"/>
      <c r="W84" s="198"/>
      <c r="X84" s="1041">
        <f>X76/X65</f>
        <v>0.15295272070437635</v>
      </c>
      <c r="Y84" s="743">
        <f t="shared" ref="Y84:AQ84" si="20">Y76/Y65</f>
        <v>0.15477025080653245</v>
      </c>
      <c r="Z84" s="1041">
        <f t="shared" si="20"/>
        <v>0.15428687561284596</v>
      </c>
      <c r="AA84" s="743">
        <f t="shared" si="20"/>
        <v>0.15385725954526425</v>
      </c>
      <c r="AB84" s="1041">
        <f t="shared" si="20"/>
        <v>0.1514522810880829</v>
      </c>
      <c r="AC84" s="1041">
        <f t="shared" si="20"/>
        <v>0.14657609762027257</v>
      </c>
      <c r="AD84" s="1041">
        <f t="shared" si="20"/>
        <v>0.14228820834259875</v>
      </c>
      <c r="AE84" s="743">
        <f t="shared" si="20"/>
        <v>0.12903789811246325</v>
      </c>
      <c r="AF84" s="1041">
        <f t="shared" si="20"/>
        <v>0.12849534356992603</v>
      </c>
      <c r="AG84" s="1041">
        <f t="shared" si="20"/>
        <v>0.1303174020317622</v>
      </c>
      <c r="AH84" s="1041">
        <f t="shared" si="20"/>
        <v>0.13077641946054955</v>
      </c>
      <c r="AI84" s="1041">
        <f t="shared" si="20"/>
        <v>0.13009882318001265</v>
      </c>
      <c r="AJ84" s="1041">
        <f t="shared" si="20"/>
        <v>0.12812974171336239</v>
      </c>
      <c r="AK84" s="1041">
        <f t="shared" si="20"/>
        <v>0.12891994548455232</v>
      </c>
      <c r="AL84" s="1041">
        <f t="shared" si="20"/>
        <v>0.13059957728387508</v>
      </c>
      <c r="AM84" s="1041">
        <f t="shared" si="20"/>
        <v>0.13066994535795895</v>
      </c>
      <c r="AN84" s="1041">
        <f t="shared" si="20"/>
        <v>0.13440419060112177</v>
      </c>
      <c r="AO84" s="1041">
        <f t="shared" si="20"/>
        <v>0.13510183229914557</v>
      </c>
      <c r="AP84" s="1041">
        <f t="shared" si="20"/>
        <v>0.1333898750811976</v>
      </c>
      <c r="AQ84" s="1041">
        <f t="shared" si="20"/>
        <v>0.12992709061761165</v>
      </c>
      <c r="AR84" s="1041"/>
    </row>
    <row r="85" spans="2:49" s="167" customFormat="1" ht="5.25" customHeight="1" outlineLevel="1">
      <c r="B85" s="226"/>
      <c r="C85" s="226"/>
      <c r="D85" s="226"/>
      <c r="E85" s="562"/>
      <c r="F85" s="562"/>
      <c r="G85" s="562"/>
      <c r="H85" s="562"/>
      <c r="I85" s="562"/>
      <c r="J85" s="562"/>
      <c r="K85" s="562"/>
      <c r="L85" s="562"/>
      <c r="M85" s="562"/>
      <c r="N85" s="562"/>
      <c r="O85" s="561"/>
      <c r="P85" s="194"/>
      <c r="Q85" s="194"/>
      <c r="R85" s="194"/>
      <c r="S85" s="194"/>
      <c r="T85" s="194"/>
      <c r="U85" s="194"/>
      <c r="V85" s="194"/>
      <c r="W85" s="194"/>
      <c r="X85" s="750"/>
      <c r="Y85" s="750"/>
      <c r="Z85" s="750"/>
      <c r="AA85" s="750"/>
      <c r="AB85" s="750"/>
      <c r="AC85" s="750"/>
      <c r="AD85" s="750"/>
      <c r="AE85" s="750"/>
      <c r="AF85" s="750"/>
      <c r="AG85" s="1042"/>
      <c r="AH85" s="1043"/>
      <c r="AI85" s="1043"/>
      <c r="AJ85" s="1043"/>
      <c r="AK85" s="1043"/>
      <c r="AL85" s="1043"/>
      <c r="AM85" s="1043"/>
      <c r="AN85" s="1043"/>
      <c r="AO85" s="1043"/>
      <c r="AP85" s="1043"/>
      <c r="AQ85" s="1043"/>
      <c r="AR85" s="1043"/>
    </row>
    <row r="86" spans="2:49" s="167" customFormat="1" ht="6" customHeight="1" outlineLevel="1">
      <c r="B86" s="158"/>
      <c r="C86" s="158"/>
      <c r="D86" s="158"/>
      <c r="O86" s="197"/>
      <c r="P86" s="198"/>
      <c r="Q86" s="199"/>
      <c r="R86" s="198"/>
      <c r="S86" s="198"/>
      <c r="T86" s="198"/>
      <c r="U86" s="198"/>
      <c r="V86" s="198"/>
      <c r="W86" s="198"/>
      <c r="X86" s="743"/>
      <c r="Y86" s="743"/>
      <c r="Z86" s="743"/>
      <c r="AA86" s="743"/>
      <c r="AB86" s="743"/>
      <c r="AC86" s="743"/>
      <c r="AD86" s="743"/>
      <c r="AE86" s="743"/>
      <c r="AF86" s="743"/>
      <c r="AG86" s="1039"/>
      <c r="AH86" s="245"/>
      <c r="AI86" s="747"/>
      <c r="AP86" s="545"/>
    </row>
    <row r="87" spans="2:49" s="167" customFormat="1" ht="30" customHeight="1" outlineLevel="1">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G87" s="1039"/>
      <c r="AH87" s="245"/>
      <c r="AI87" s="747"/>
    </row>
    <row r="88" spans="2:49">
      <c r="B88" s="276"/>
      <c r="O88" s="283"/>
      <c r="P88" s="283"/>
      <c r="Q88" s="283"/>
      <c r="R88" s="283"/>
      <c r="S88" s="283"/>
      <c r="T88" s="283"/>
      <c r="U88" s="283"/>
      <c r="V88" s="283"/>
      <c r="W88" s="283"/>
      <c r="X88" s="1036"/>
      <c r="Y88" s="1036"/>
      <c r="Z88" s="1036"/>
      <c r="AA88" s="1036"/>
      <c r="AB88" s="1036"/>
      <c r="AC88" s="1036"/>
      <c r="AD88" s="1036"/>
      <c r="AE88" s="1036"/>
      <c r="AF88" s="1036"/>
      <c r="AG88" s="747"/>
      <c r="AI88" s="747"/>
    </row>
    <row r="89" spans="2:49">
      <c r="B89" s="276"/>
      <c r="O89" s="283"/>
      <c r="P89" s="283"/>
      <c r="Q89" s="283"/>
      <c r="R89" s="283"/>
      <c r="S89" s="283"/>
      <c r="T89" s="283"/>
      <c r="U89" s="283"/>
      <c r="V89" s="283"/>
      <c r="W89" s="283"/>
      <c r="X89" s="1036"/>
      <c r="Y89" s="1036"/>
      <c r="Z89" s="1036"/>
      <c r="AA89" s="1036"/>
      <c r="AB89" s="1036"/>
      <c r="AC89" s="1036"/>
      <c r="AD89" s="1036"/>
      <c r="AE89" s="1036"/>
      <c r="AF89" s="1036"/>
      <c r="AG89" s="747"/>
      <c r="AI89" s="747"/>
    </row>
    <row r="90" spans="2:49" ht="15.75">
      <c r="B90" s="286" t="s">
        <v>309</v>
      </c>
      <c r="C90" s="287"/>
      <c r="D90" s="287"/>
      <c r="E90" s="287"/>
      <c r="F90" s="287"/>
      <c r="G90" s="287"/>
      <c r="H90" s="287"/>
      <c r="I90" s="287"/>
      <c r="J90" s="287"/>
      <c r="K90" s="287"/>
      <c r="L90" s="287"/>
      <c r="M90" s="287"/>
      <c r="N90" s="287"/>
      <c r="O90" s="287"/>
      <c r="P90" s="287"/>
      <c r="Q90" s="287"/>
      <c r="R90" s="287"/>
      <c r="S90" s="287"/>
      <c r="T90" s="287"/>
      <c r="U90" s="287"/>
      <c r="V90" s="287"/>
      <c r="W90" s="287"/>
      <c r="X90" s="748"/>
      <c r="Y90" s="748"/>
      <c r="Z90" s="748"/>
      <c r="AA90" s="748"/>
      <c r="AB90" s="748"/>
      <c r="AC90" s="748"/>
      <c r="AD90" s="748"/>
      <c r="AE90" s="748"/>
      <c r="AF90" s="748"/>
      <c r="AG90" s="747"/>
      <c r="AI90" s="747"/>
    </row>
    <row r="91" spans="2:49">
      <c r="B91" s="226"/>
      <c r="C91" s="226"/>
      <c r="D91" s="226"/>
      <c r="E91" s="226"/>
      <c r="F91" s="226"/>
      <c r="G91" s="226"/>
      <c r="H91" s="226"/>
      <c r="I91" s="226"/>
      <c r="J91" s="226"/>
      <c r="K91" s="226"/>
      <c r="L91" s="226"/>
      <c r="M91" s="226"/>
      <c r="N91" s="226"/>
      <c r="O91" s="859"/>
      <c r="P91" s="859"/>
      <c r="Q91" s="859"/>
      <c r="R91" s="859"/>
      <c r="S91" s="859"/>
      <c r="T91" s="859"/>
      <c r="U91" s="859"/>
      <c r="V91" s="859"/>
      <c r="W91" s="859"/>
      <c r="X91" s="1026"/>
      <c r="Y91" s="1026"/>
      <c r="Z91" s="1026"/>
      <c r="AA91" s="1026"/>
      <c r="AB91" s="1026"/>
      <c r="AC91" s="1026"/>
      <c r="AD91" s="1026"/>
      <c r="AE91" s="1026"/>
      <c r="AF91" s="1026"/>
      <c r="AG91" s="747"/>
      <c r="AI91" s="747"/>
    </row>
    <row r="92" spans="2:49">
      <c r="O92" s="283"/>
      <c r="P92" s="283"/>
      <c r="Q92" s="283"/>
      <c r="R92" s="283"/>
      <c r="S92" s="283"/>
      <c r="T92" s="283"/>
      <c r="U92" s="283"/>
      <c r="V92" s="283"/>
      <c r="W92" s="283"/>
      <c r="X92" s="1027">
        <v>2001</v>
      </c>
      <c r="Y92" s="1028"/>
      <c r="Z92" s="1027">
        <v>2003</v>
      </c>
      <c r="AA92" s="1028"/>
      <c r="AB92" s="1027">
        <v>2005</v>
      </c>
      <c r="AC92" s="1029"/>
      <c r="AD92" s="1027">
        <v>2007</v>
      </c>
      <c r="AE92" s="1029"/>
      <c r="AF92" s="1027">
        <v>2009</v>
      </c>
      <c r="AG92" s="290">
        <v>2010</v>
      </c>
      <c r="AH92" s="290">
        <v>2011</v>
      </c>
      <c r="AI92" s="290">
        <v>2012</v>
      </c>
      <c r="AJ92" s="290">
        <v>2013</v>
      </c>
      <c r="AK92" s="290">
        <v>2014</v>
      </c>
      <c r="AL92" s="290">
        <v>2015</v>
      </c>
      <c r="AM92" s="290">
        <v>2016</v>
      </c>
      <c r="AN92" s="290">
        <v>2017</v>
      </c>
      <c r="AO92" s="290">
        <v>2018</v>
      </c>
      <c r="AP92" s="290">
        <v>2019</v>
      </c>
      <c r="AQ92" s="290">
        <v>2020</v>
      </c>
      <c r="AR92" s="290">
        <v>2021</v>
      </c>
    </row>
    <row r="93" spans="2:49">
      <c r="O93" s="283"/>
      <c r="P93" s="283"/>
      <c r="Q93" s="283"/>
      <c r="R93" s="283"/>
      <c r="S93" s="283"/>
      <c r="T93" s="283"/>
      <c r="U93" s="283"/>
      <c r="V93" s="283"/>
      <c r="W93" s="283"/>
      <c r="X93" s="747"/>
      <c r="Y93" s="747"/>
      <c r="Z93" s="747"/>
      <c r="AA93" s="747"/>
      <c r="AB93" s="747"/>
      <c r="AC93" s="747"/>
      <c r="AD93" s="747"/>
      <c r="AE93" s="747"/>
      <c r="AF93" s="747"/>
      <c r="AG93" s="747"/>
      <c r="AI93" s="747"/>
    </row>
    <row r="94" spans="2:49">
      <c r="B94" s="217" t="s">
        <v>310</v>
      </c>
      <c r="O94" s="1044">
        <v>490</v>
      </c>
      <c r="P94" s="1044">
        <v>530</v>
      </c>
      <c r="Q94" s="1044">
        <v>535</v>
      </c>
      <c r="R94" s="1044">
        <v>575</v>
      </c>
      <c r="S94" s="1044">
        <v>595</v>
      </c>
      <c r="T94" s="1044">
        <v>620</v>
      </c>
      <c r="U94" s="1044">
        <v>670</v>
      </c>
      <c r="V94" s="1044">
        <v>765</v>
      </c>
      <c r="W94" s="1044">
        <v>855</v>
      </c>
      <c r="X94" s="641">
        <v>5328</v>
      </c>
      <c r="Y94" s="641"/>
      <c r="Z94" s="641">
        <v>5621</v>
      </c>
      <c r="AA94" s="641"/>
      <c r="AB94" s="641">
        <v>6079</v>
      </c>
      <c r="AC94" s="641"/>
      <c r="AD94" s="641">
        <v>8129</v>
      </c>
      <c r="AE94" s="641"/>
      <c r="AF94" s="641">
        <v>8547</v>
      </c>
      <c r="AG94" s="641">
        <v>8811</v>
      </c>
      <c r="AH94" s="641">
        <v>9122</v>
      </c>
      <c r="AI94" s="641">
        <v>9573</v>
      </c>
      <c r="AJ94" s="641">
        <v>9790</v>
      </c>
      <c r="AK94" s="641">
        <v>11972</v>
      </c>
      <c r="AL94" s="641">
        <v>11010</v>
      </c>
      <c r="AM94" s="641">
        <v>9430</v>
      </c>
      <c r="AN94" s="641">
        <v>9565</v>
      </c>
      <c r="AO94" s="641">
        <v>9920</v>
      </c>
      <c r="AP94" s="641">
        <v>10350</v>
      </c>
      <c r="AQ94" s="641">
        <v>15769</v>
      </c>
      <c r="AR94" s="641">
        <v>10650</v>
      </c>
      <c r="AS94" s="283"/>
      <c r="AT94" s="283"/>
      <c r="AU94" s="283"/>
      <c r="AV94" s="283"/>
      <c r="AW94" s="283"/>
    </row>
    <row r="95" spans="2:49">
      <c r="X95" s="285"/>
      <c r="Y95" s="285"/>
      <c r="Z95" s="285"/>
      <c r="AA95" s="285"/>
      <c r="AB95" s="285"/>
      <c r="AC95" s="285"/>
      <c r="AD95" s="285"/>
      <c r="AE95" s="285"/>
      <c r="AF95" s="285"/>
      <c r="AG95" s="285"/>
      <c r="AH95" s="285"/>
      <c r="AI95" s="285"/>
      <c r="AJ95" s="285"/>
      <c r="AK95" s="285"/>
      <c r="AL95" s="285"/>
      <c r="AM95" s="285"/>
      <c r="AN95" s="285"/>
      <c r="AO95" s="285"/>
      <c r="AP95" s="285"/>
      <c r="AQ95" s="285"/>
      <c r="AR95" s="285"/>
    </row>
    <row r="96" spans="2:49">
      <c r="C96" s="217" t="s">
        <v>54</v>
      </c>
      <c r="X96" s="285"/>
      <c r="Y96" s="285"/>
      <c r="Z96" s="285"/>
      <c r="AA96" s="285"/>
      <c r="AB96" s="285"/>
      <c r="AC96" s="285"/>
      <c r="AD96" s="285"/>
      <c r="AE96" s="285"/>
      <c r="AF96" s="285"/>
      <c r="AG96" s="285"/>
      <c r="AH96" s="285"/>
      <c r="AI96" s="285"/>
      <c r="AJ96" s="285"/>
      <c r="AK96" s="285"/>
      <c r="AL96" s="285"/>
      <c r="AM96" s="285"/>
      <c r="AN96" s="285"/>
      <c r="AO96" s="285"/>
      <c r="AP96" s="285"/>
      <c r="AQ96" s="285"/>
      <c r="AR96" s="285"/>
    </row>
    <row r="97" spans="2:44">
      <c r="B97" s="158">
        <v>1</v>
      </c>
      <c r="C97" s="305" t="s">
        <v>311</v>
      </c>
      <c r="O97" s="283"/>
      <c r="P97" s="283"/>
      <c r="Q97" s="283"/>
      <c r="R97" s="283"/>
      <c r="S97" s="283"/>
      <c r="T97" s="283"/>
      <c r="U97" s="1045">
        <v>24</v>
      </c>
      <c r="V97" s="1045">
        <v>29</v>
      </c>
      <c r="W97" s="1045">
        <v>35</v>
      </c>
      <c r="X97" s="284">
        <v>69</v>
      </c>
      <c r="Y97" s="285"/>
      <c r="Z97" s="285">
        <v>85</v>
      </c>
      <c r="AA97" s="285"/>
      <c r="AB97" s="285">
        <v>89</v>
      </c>
      <c r="AC97" s="285"/>
      <c r="AD97" s="285">
        <v>94</v>
      </c>
      <c r="AE97" s="285"/>
      <c r="AF97" s="285">
        <v>102</v>
      </c>
      <c r="AG97" s="285">
        <v>105</v>
      </c>
      <c r="AH97" s="1046">
        <v>115</v>
      </c>
      <c r="AI97" s="1047">
        <v>125</v>
      </c>
      <c r="AJ97" s="1047">
        <v>135</v>
      </c>
      <c r="AK97" s="1047">
        <v>145</v>
      </c>
      <c r="AL97" s="1047">
        <v>150</v>
      </c>
      <c r="AM97" s="1047">
        <v>150</v>
      </c>
      <c r="AN97" s="1047" t="s">
        <v>269</v>
      </c>
      <c r="AO97" s="1047" t="s">
        <v>269</v>
      </c>
      <c r="AP97" s="1047" t="s">
        <v>269</v>
      </c>
      <c r="AQ97" s="1047" t="s">
        <v>269</v>
      </c>
      <c r="AR97" s="1047" t="s">
        <v>269</v>
      </c>
    </row>
    <row r="98" spans="2:44" ht="15" customHeight="1">
      <c r="B98" s="158">
        <v>2</v>
      </c>
      <c r="C98" s="158" t="s">
        <v>312</v>
      </c>
      <c r="O98" s="283">
        <v>315</v>
      </c>
      <c r="P98" s="283">
        <v>305</v>
      </c>
      <c r="Q98" s="283">
        <v>305</v>
      </c>
      <c r="R98" s="283">
        <v>365</v>
      </c>
      <c r="S98" s="283">
        <v>420</v>
      </c>
      <c r="T98" s="283">
        <v>480</v>
      </c>
      <c r="U98" s="1045">
        <v>510</v>
      </c>
      <c r="V98" s="1045">
        <v>550</v>
      </c>
      <c r="W98" s="1045">
        <v>550</v>
      </c>
      <c r="X98" s="285">
        <v>530</v>
      </c>
      <c r="Y98" s="285"/>
      <c r="Z98" s="285">
        <v>535</v>
      </c>
      <c r="AA98" s="285"/>
      <c r="AB98" s="285">
        <v>570</v>
      </c>
      <c r="AC98" s="285"/>
      <c r="AD98" s="285">
        <v>750</v>
      </c>
      <c r="AE98" s="285"/>
      <c r="AF98" s="285">
        <v>810</v>
      </c>
      <c r="AG98" s="285">
        <v>850</v>
      </c>
      <c r="AH98" s="285">
        <v>900</v>
      </c>
      <c r="AI98" s="1047">
        <v>990</v>
      </c>
      <c r="AJ98" s="1047">
        <v>960</v>
      </c>
      <c r="AK98" s="1047">
        <v>1080</v>
      </c>
      <c r="AL98" s="1047">
        <v>1345</v>
      </c>
      <c r="AM98" s="1047">
        <v>1215</v>
      </c>
      <c r="AN98" s="1047">
        <v>1240</v>
      </c>
      <c r="AO98" s="1047">
        <v>1270</v>
      </c>
      <c r="AP98" s="1047">
        <v>1270</v>
      </c>
      <c r="AQ98" s="1047">
        <v>900</v>
      </c>
      <c r="AR98" s="1047">
        <v>1040</v>
      </c>
    </row>
    <row r="99" spans="2:44">
      <c r="B99" s="158">
        <v>3</v>
      </c>
      <c r="C99" s="158" t="s">
        <v>313</v>
      </c>
      <c r="O99" s="283"/>
      <c r="P99" s="283"/>
      <c r="Q99" s="283"/>
      <c r="R99" s="283"/>
      <c r="S99" s="283"/>
      <c r="T99" s="283"/>
      <c r="U99" s="1045"/>
      <c r="V99" s="1045"/>
      <c r="W99" s="1045"/>
      <c r="X99" s="285" t="s">
        <v>269</v>
      </c>
      <c r="Y99" s="285"/>
      <c r="Z99" s="285" t="s">
        <v>269</v>
      </c>
      <c r="AA99" s="285"/>
      <c r="AB99" s="285">
        <v>3</v>
      </c>
      <c r="AC99" s="285"/>
      <c r="AD99" s="285">
        <v>3</v>
      </c>
      <c r="AE99" s="285"/>
      <c r="AF99" s="285">
        <v>3</v>
      </c>
      <c r="AG99" s="285">
        <v>3</v>
      </c>
      <c r="AH99" s="285">
        <v>3</v>
      </c>
      <c r="AI99" s="1047">
        <v>2</v>
      </c>
      <c r="AJ99" s="1047">
        <v>2</v>
      </c>
      <c r="AK99" s="1047">
        <v>2</v>
      </c>
      <c r="AL99" s="1047">
        <v>2</v>
      </c>
      <c r="AM99" s="1047">
        <v>2</v>
      </c>
      <c r="AN99" s="1047">
        <v>2</v>
      </c>
      <c r="AO99" s="1047">
        <v>2</v>
      </c>
      <c r="AP99" s="1047">
        <v>2</v>
      </c>
      <c r="AQ99" s="1047">
        <v>1</v>
      </c>
      <c r="AR99" s="1047">
        <v>2</v>
      </c>
    </row>
    <row r="100" spans="2:44">
      <c r="B100" s="158">
        <v>4</v>
      </c>
      <c r="C100" s="158" t="s">
        <v>314</v>
      </c>
      <c r="O100" s="283"/>
      <c r="P100" s="283"/>
      <c r="Q100" s="283"/>
      <c r="R100" s="283"/>
      <c r="S100" s="283"/>
      <c r="T100" s="283"/>
      <c r="U100" s="1045"/>
      <c r="V100" s="1045"/>
      <c r="W100" s="1045"/>
      <c r="X100" s="285">
        <v>610</v>
      </c>
      <c r="Y100" s="285"/>
      <c r="Z100" s="285">
        <v>660</v>
      </c>
      <c r="AA100" s="285"/>
      <c r="AB100" s="285">
        <v>665</v>
      </c>
      <c r="AC100" s="285"/>
      <c r="AD100" s="285">
        <v>755</v>
      </c>
      <c r="AE100" s="285"/>
      <c r="AF100" s="285">
        <v>785</v>
      </c>
      <c r="AG100" s="1046">
        <v>770</v>
      </c>
      <c r="AH100" s="1046">
        <v>770</v>
      </c>
      <c r="AI100" s="1047">
        <v>775</v>
      </c>
      <c r="AJ100" s="1047">
        <v>775</v>
      </c>
      <c r="AK100" s="1047">
        <v>795</v>
      </c>
      <c r="AL100" s="1047">
        <v>870</v>
      </c>
      <c r="AM100" s="1047">
        <v>905</v>
      </c>
      <c r="AN100" s="1047">
        <v>940</v>
      </c>
      <c r="AO100" s="1047">
        <v>980</v>
      </c>
      <c r="AP100" s="1047">
        <v>1015</v>
      </c>
      <c r="AQ100" s="1047">
        <v>1185</v>
      </c>
      <c r="AR100" s="1047">
        <v>1215</v>
      </c>
    </row>
    <row r="101" spans="2:44">
      <c r="B101" s="158">
        <v>5</v>
      </c>
      <c r="C101" s="158" t="s">
        <v>315</v>
      </c>
      <c r="O101" s="283"/>
      <c r="P101" s="283"/>
      <c r="Q101" s="283"/>
      <c r="R101" s="283"/>
      <c r="S101" s="283"/>
      <c r="T101" s="283"/>
      <c r="U101" s="1045"/>
      <c r="V101" s="1045"/>
      <c r="W101" s="1045"/>
      <c r="X101" s="285" t="s">
        <v>269</v>
      </c>
      <c r="Y101" s="285"/>
      <c r="Z101" s="285" t="s">
        <v>269</v>
      </c>
      <c r="AA101" s="285"/>
      <c r="AB101" s="285" t="s">
        <v>269</v>
      </c>
      <c r="AC101" s="285"/>
      <c r="AD101" s="285">
        <v>90</v>
      </c>
      <c r="AE101" s="285"/>
      <c r="AF101" s="285">
        <v>110</v>
      </c>
      <c r="AG101" s="285">
        <v>110</v>
      </c>
      <c r="AH101" s="285">
        <v>110</v>
      </c>
      <c r="AI101" s="1047">
        <v>115</v>
      </c>
      <c r="AJ101" s="1047">
        <v>115</v>
      </c>
      <c r="AK101" s="1047">
        <v>180</v>
      </c>
      <c r="AL101" s="1047">
        <v>210</v>
      </c>
      <c r="AM101" s="1047">
        <v>145</v>
      </c>
      <c r="AN101" s="1047" t="s">
        <v>269</v>
      </c>
      <c r="AO101" s="1047" t="s">
        <v>269</v>
      </c>
      <c r="AP101" s="1047" t="s">
        <v>269</v>
      </c>
      <c r="AQ101" s="1047" t="s">
        <v>269</v>
      </c>
      <c r="AR101" s="1047" t="s">
        <v>269</v>
      </c>
    </row>
    <row r="102" spans="2:44">
      <c r="B102" s="158">
        <v>6</v>
      </c>
      <c r="C102" s="158" t="s">
        <v>316</v>
      </c>
      <c r="O102" s="283"/>
      <c r="P102" s="283"/>
      <c r="Q102" s="283"/>
      <c r="R102" s="283"/>
      <c r="S102" s="283"/>
      <c r="T102" s="283"/>
      <c r="U102" s="1045"/>
      <c r="V102" s="1045"/>
      <c r="W102" s="1045"/>
      <c r="X102" s="285" t="s">
        <v>269</v>
      </c>
      <c r="Y102" s="285"/>
      <c r="Z102" s="285" t="s">
        <v>269</v>
      </c>
      <c r="AA102" s="285"/>
      <c r="AB102" s="285" t="s">
        <v>269</v>
      </c>
      <c r="AC102" s="285"/>
      <c r="AD102" s="285">
        <v>1445</v>
      </c>
      <c r="AE102" s="285"/>
      <c r="AF102" s="285">
        <v>1470</v>
      </c>
      <c r="AG102" s="285">
        <v>1480</v>
      </c>
      <c r="AH102" s="285">
        <v>1510</v>
      </c>
      <c r="AI102" s="1047">
        <v>1550</v>
      </c>
      <c r="AJ102" s="1047">
        <v>1590</v>
      </c>
      <c r="AK102" s="1047">
        <v>1645</v>
      </c>
      <c r="AL102" s="1047" t="s">
        <v>269</v>
      </c>
      <c r="AM102" s="1047" t="s">
        <v>269</v>
      </c>
      <c r="AN102" s="1047" t="s">
        <v>269</v>
      </c>
      <c r="AO102" s="1047" t="s">
        <v>269</v>
      </c>
      <c r="AP102" s="1047" t="s">
        <v>269</v>
      </c>
      <c r="AQ102" s="1047" t="s">
        <v>269</v>
      </c>
      <c r="AR102" s="1047" t="s">
        <v>269</v>
      </c>
    </row>
    <row r="103" spans="2:44" ht="15.75">
      <c r="B103" s="158">
        <v>7</v>
      </c>
      <c r="C103" s="158" t="s">
        <v>317</v>
      </c>
      <c r="O103" s="283"/>
      <c r="P103" s="283"/>
      <c r="Q103" s="283"/>
      <c r="R103" s="283"/>
      <c r="S103" s="283"/>
      <c r="T103" s="283"/>
      <c r="U103" s="1045"/>
      <c r="V103" s="1045"/>
      <c r="W103" s="1045"/>
      <c r="X103" s="285" t="s">
        <v>269</v>
      </c>
      <c r="Y103" s="285"/>
      <c r="Z103" s="285" t="s">
        <v>269</v>
      </c>
      <c r="AA103" s="285"/>
      <c r="AB103" s="285" t="s">
        <v>269</v>
      </c>
      <c r="AC103" s="285"/>
      <c r="AD103" s="285" t="s">
        <v>318</v>
      </c>
      <c r="AE103" s="285"/>
      <c r="AF103" s="285" t="s">
        <v>318</v>
      </c>
      <c r="AG103" s="285" t="s">
        <v>318</v>
      </c>
      <c r="AH103" s="285" t="s">
        <v>318</v>
      </c>
      <c r="AI103" s="1047" t="s">
        <v>318</v>
      </c>
      <c r="AJ103" s="1047" t="s">
        <v>318</v>
      </c>
      <c r="AK103" s="1047" t="s">
        <v>318</v>
      </c>
      <c r="AL103" s="1047" t="s">
        <v>318</v>
      </c>
      <c r="AM103" s="1047" t="s">
        <v>318</v>
      </c>
      <c r="AN103" s="1047" t="s">
        <v>318</v>
      </c>
      <c r="AO103" s="1047" t="s">
        <v>318</v>
      </c>
      <c r="AP103" s="1047" t="s">
        <v>318</v>
      </c>
      <c r="AQ103" s="1047" t="s">
        <v>318</v>
      </c>
      <c r="AR103" s="1047" t="s">
        <v>318</v>
      </c>
    </row>
    <row r="104" spans="2:44">
      <c r="B104" s="158">
        <v>8</v>
      </c>
      <c r="C104" s="158" t="s">
        <v>319</v>
      </c>
      <c r="O104" s="283"/>
      <c r="P104" s="283"/>
      <c r="Q104" s="283"/>
      <c r="R104" s="283"/>
      <c r="S104" s="283"/>
      <c r="T104" s="283"/>
      <c r="U104" s="1045"/>
      <c r="V104" s="1045"/>
      <c r="W104" s="1045"/>
      <c r="X104" s="285" t="s">
        <v>269</v>
      </c>
      <c r="Y104" s="285"/>
      <c r="Z104" s="285" t="s">
        <v>269</v>
      </c>
      <c r="AA104" s="285"/>
      <c r="AB104" s="285" t="s">
        <v>269</v>
      </c>
      <c r="AC104" s="285"/>
      <c r="AD104" s="285" t="s">
        <v>269</v>
      </c>
      <c r="AE104" s="285"/>
      <c r="AF104" s="285" t="s">
        <v>269</v>
      </c>
      <c r="AG104" s="285" t="s">
        <v>269</v>
      </c>
      <c r="AH104" s="1046">
        <v>30</v>
      </c>
      <c r="AI104" s="1046">
        <v>35</v>
      </c>
      <c r="AJ104" s="1046">
        <v>40</v>
      </c>
      <c r="AK104" s="1046">
        <v>40</v>
      </c>
      <c r="AL104" s="1047">
        <v>45</v>
      </c>
      <c r="AM104" s="1047">
        <v>25</v>
      </c>
      <c r="AN104" s="1047" t="s">
        <v>269</v>
      </c>
      <c r="AO104" s="1047" t="s">
        <v>269</v>
      </c>
      <c r="AP104" s="1047" t="s">
        <v>269</v>
      </c>
      <c r="AQ104" s="1047" t="s">
        <v>269</v>
      </c>
      <c r="AR104" s="1047" t="s">
        <v>269</v>
      </c>
    </row>
    <row r="105" spans="2:44">
      <c r="B105" s="158">
        <v>9</v>
      </c>
      <c r="C105" s="158" t="s">
        <v>320</v>
      </c>
      <c r="O105" s="283"/>
      <c r="P105" s="283"/>
      <c r="Q105" s="283"/>
      <c r="R105" s="283"/>
      <c r="S105" s="283"/>
      <c r="T105" s="283"/>
      <c r="U105" s="1045"/>
      <c r="V105" s="1045"/>
      <c r="W105" s="1045"/>
      <c r="X105" s="285" t="s">
        <v>269</v>
      </c>
      <c r="Y105" s="285"/>
      <c r="Z105" s="285" t="s">
        <v>269</v>
      </c>
      <c r="AA105" s="285"/>
      <c r="AB105" s="285" t="s">
        <v>269</v>
      </c>
      <c r="AC105" s="285"/>
      <c r="AD105" s="285" t="s">
        <v>269</v>
      </c>
      <c r="AE105" s="285"/>
      <c r="AF105" s="285" t="s">
        <v>269</v>
      </c>
      <c r="AG105" s="285" t="s">
        <v>269</v>
      </c>
      <c r="AH105" s="285" t="s">
        <v>269</v>
      </c>
      <c r="AI105" s="285">
        <v>55</v>
      </c>
      <c r="AJ105" s="285">
        <v>65</v>
      </c>
      <c r="AK105" s="285">
        <v>70</v>
      </c>
      <c r="AL105" s="1047">
        <v>75</v>
      </c>
      <c r="AM105" s="1047">
        <v>75</v>
      </c>
      <c r="AN105" s="1047" t="s">
        <v>269</v>
      </c>
      <c r="AO105" s="1047" t="s">
        <v>269</v>
      </c>
      <c r="AP105" s="1047" t="s">
        <v>269</v>
      </c>
      <c r="AQ105" s="1047" t="s">
        <v>269</v>
      </c>
      <c r="AR105" s="1047" t="s">
        <v>269</v>
      </c>
    </row>
    <row r="106" spans="2:44">
      <c r="B106" s="158">
        <v>10</v>
      </c>
      <c r="C106" s="158" t="s">
        <v>321</v>
      </c>
      <c r="O106" s="283"/>
      <c r="P106" s="283"/>
      <c r="Q106" s="283"/>
      <c r="R106" s="283"/>
      <c r="S106" s="283"/>
      <c r="T106" s="283"/>
      <c r="U106" s="1045"/>
      <c r="V106" s="1045"/>
      <c r="W106" s="1045"/>
      <c r="X106" s="285" t="s">
        <v>269</v>
      </c>
      <c r="Y106" s="285"/>
      <c r="Z106" s="285" t="s">
        <v>269</v>
      </c>
      <c r="AA106" s="285"/>
      <c r="AB106" s="285" t="s">
        <v>269</v>
      </c>
      <c r="AC106" s="285"/>
      <c r="AD106" s="285" t="s">
        <v>269</v>
      </c>
      <c r="AE106" s="285"/>
      <c r="AF106" s="285" t="s">
        <v>269</v>
      </c>
      <c r="AG106" s="285" t="s">
        <v>269</v>
      </c>
      <c r="AH106" s="285" t="s">
        <v>269</v>
      </c>
      <c r="AI106" s="285" t="s">
        <v>269</v>
      </c>
      <c r="AJ106" s="285" t="s">
        <v>269</v>
      </c>
      <c r="AK106" s="285">
        <v>1650</v>
      </c>
      <c r="AL106" s="1047">
        <v>1625</v>
      </c>
      <c r="AM106" s="1047" t="s">
        <v>269</v>
      </c>
      <c r="AN106" s="1047" t="s">
        <v>269</v>
      </c>
      <c r="AO106" s="1047" t="s">
        <v>269</v>
      </c>
      <c r="AP106" s="1047" t="s">
        <v>269</v>
      </c>
      <c r="AQ106" s="1047" t="s">
        <v>269</v>
      </c>
      <c r="AR106" s="1047" t="s">
        <v>269</v>
      </c>
    </row>
    <row r="107" spans="2:44">
      <c r="B107" s="158">
        <v>11</v>
      </c>
      <c r="C107" s="158" t="s">
        <v>322</v>
      </c>
      <c r="O107" s="283"/>
      <c r="P107" s="283"/>
      <c r="Q107" s="283"/>
      <c r="R107" s="283"/>
      <c r="S107" s="283"/>
      <c r="T107" s="283"/>
      <c r="U107" s="1045"/>
      <c r="V107" s="1045"/>
      <c r="W107" s="1045"/>
      <c r="X107" s="285"/>
      <c r="Y107" s="285"/>
      <c r="Z107" s="285"/>
      <c r="AA107" s="285"/>
      <c r="AB107" s="285"/>
      <c r="AC107" s="285"/>
      <c r="AD107" s="285"/>
      <c r="AE107" s="285"/>
      <c r="AF107" s="285"/>
      <c r="AG107" s="1046">
        <v>2</v>
      </c>
      <c r="AH107" s="1046">
        <v>2</v>
      </c>
      <c r="AI107" s="1046">
        <v>4</v>
      </c>
      <c r="AJ107" s="1046">
        <v>2</v>
      </c>
      <c r="AK107" s="1046">
        <v>2</v>
      </c>
      <c r="AL107" s="1047">
        <v>10</v>
      </c>
      <c r="AM107" s="1047">
        <v>5</v>
      </c>
      <c r="AN107" s="1047" t="s">
        <v>269</v>
      </c>
      <c r="AO107" s="1047" t="s">
        <v>269</v>
      </c>
      <c r="AP107" s="1047" t="s">
        <v>269</v>
      </c>
      <c r="AQ107" s="1047" t="s">
        <v>269</v>
      </c>
      <c r="AR107" s="1047" t="s">
        <v>269</v>
      </c>
    </row>
    <row r="108" spans="2:44">
      <c r="B108" s="158">
        <v>12</v>
      </c>
      <c r="C108" s="158" t="s">
        <v>323</v>
      </c>
      <c r="O108" s="283"/>
      <c r="P108" s="283"/>
      <c r="Q108" s="283"/>
      <c r="R108" s="283"/>
      <c r="S108" s="283"/>
      <c r="T108" s="283"/>
      <c r="U108" s="1045"/>
      <c r="V108" s="1045"/>
      <c r="W108" s="1045"/>
      <c r="X108" s="285"/>
      <c r="Y108" s="285"/>
      <c r="Z108" s="285"/>
      <c r="AA108" s="285"/>
      <c r="AB108" s="285"/>
      <c r="AC108" s="285"/>
      <c r="AD108" s="285"/>
      <c r="AE108" s="285"/>
      <c r="AF108" s="285"/>
      <c r="AG108" s="1046"/>
      <c r="AH108" s="1046"/>
      <c r="AI108" s="1046"/>
      <c r="AJ108" s="1046"/>
      <c r="AK108" s="1046"/>
      <c r="AL108" s="1047"/>
      <c r="AM108" s="1047"/>
      <c r="AN108" s="1047">
        <v>190</v>
      </c>
      <c r="AO108" s="1047">
        <v>220</v>
      </c>
      <c r="AP108" s="1047">
        <v>225</v>
      </c>
      <c r="AQ108" s="1047">
        <v>230</v>
      </c>
      <c r="AR108" s="1047">
        <v>235</v>
      </c>
    </row>
    <row r="109" spans="2:44">
      <c r="U109" s="1030"/>
      <c r="V109" s="1030"/>
      <c r="W109" s="1030"/>
      <c r="X109" s="285"/>
      <c r="Y109" s="285"/>
      <c r="Z109" s="285"/>
      <c r="AA109" s="285"/>
      <c r="AB109" s="285"/>
      <c r="AC109" s="285"/>
      <c r="AD109" s="285"/>
      <c r="AE109" s="285"/>
      <c r="AF109" s="285"/>
      <c r="AG109" s="285"/>
      <c r="AH109" s="285"/>
      <c r="AI109" s="1048"/>
      <c r="AJ109" s="1048"/>
      <c r="AK109" s="1048"/>
      <c r="AL109" s="1047"/>
      <c r="AM109" s="1047"/>
      <c r="AN109" s="1047"/>
      <c r="AO109" s="1047"/>
      <c r="AP109" s="1047"/>
      <c r="AQ109" s="1047"/>
      <c r="AR109" s="1047"/>
    </row>
    <row r="110" spans="2:44">
      <c r="C110" s="217" t="s">
        <v>56</v>
      </c>
      <c r="U110" s="1030"/>
      <c r="V110" s="1030"/>
      <c r="W110" s="1030"/>
      <c r="X110" s="285"/>
      <c r="Y110" s="285"/>
      <c r="Z110" s="285"/>
      <c r="AA110" s="285"/>
      <c r="AB110" s="285"/>
      <c r="AC110" s="285"/>
      <c r="AD110" s="285"/>
      <c r="AE110" s="285"/>
      <c r="AF110" s="285"/>
      <c r="AG110" s="285"/>
      <c r="AH110" s="285"/>
      <c r="AI110" s="1048"/>
      <c r="AJ110" s="1048"/>
      <c r="AK110" s="1048"/>
      <c r="AL110" s="1047"/>
      <c r="AM110" s="1047"/>
      <c r="AN110" s="1047"/>
      <c r="AO110" s="1047"/>
      <c r="AP110" s="1047"/>
      <c r="AQ110" s="1047"/>
      <c r="AR110" s="1047"/>
    </row>
    <row r="111" spans="2:44">
      <c r="B111" s="158">
        <v>13</v>
      </c>
      <c r="C111" s="158" t="s">
        <v>324</v>
      </c>
      <c r="O111" s="283">
        <v>265</v>
      </c>
      <c r="P111" s="283">
        <v>270</v>
      </c>
      <c r="Q111" s="283">
        <v>275</v>
      </c>
      <c r="R111" s="283">
        <v>270</v>
      </c>
      <c r="S111" s="283">
        <v>265</v>
      </c>
      <c r="T111" s="283">
        <v>270</v>
      </c>
      <c r="U111" s="1045">
        <v>265</v>
      </c>
      <c r="V111" s="1045">
        <v>270</v>
      </c>
      <c r="W111" s="1045">
        <v>310</v>
      </c>
      <c r="X111" s="284">
        <v>419</v>
      </c>
      <c r="Y111" s="285"/>
      <c r="Z111" s="285">
        <v>460</v>
      </c>
      <c r="AA111" s="285"/>
      <c r="AB111" s="285">
        <v>496</v>
      </c>
      <c r="AC111" s="285"/>
      <c r="AD111" s="285">
        <v>585</v>
      </c>
      <c r="AE111" s="285"/>
      <c r="AF111" s="285">
        <v>620</v>
      </c>
      <c r="AG111" s="285">
        <v>650</v>
      </c>
      <c r="AH111" s="1049">
        <v>675</v>
      </c>
      <c r="AI111" s="1047">
        <v>760</v>
      </c>
      <c r="AJ111" s="1047">
        <v>815</v>
      </c>
      <c r="AK111" s="1047">
        <v>885</v>
      </c>
      <c r="AL111" s="1047">
        <v>990</v>
      </c>
      <c r="AM111" s="1047">
        <v>1030</v>
      </c>
      <c r="AN111" s="1047">
        <v>1090</v>
      </c>
      <c r="AO111" s="1047">
        <v>1150</v>
      </c>
      <c r="AP111" s="1047">
        <v>1200</v>
      </c>
      <c r="AQ111" s="1047">
        <v>1250</v>
      </c>
      <c r="AR111" s="1047">
        <v>1300</v>
      </c>
    </row>
    <row r="112" spans="2:44">
      <c r="B112" s="158">
        <v>14</v>
      </c>
      <c r="C112" s="305" t="s">
        <v>325</v>
      </c>
      <c r="O112" s="283"/>
      <c r="P112" s="283"/>
      <c r="Q112" s="283"/>
      <c r="R112" s="283"/>
      <c r="S112" s="283"/>
      <c r="T112" s="283"/>
      <c r="U112" s="1045"/>
      <c r="V112" s="1045"/>
      <c r="W112" s="1045"/>
      <c r="X112" s="284">
        <v>0</v>
      </c>
      <c r="Y112" s="285"/>
      <c r="Z112" s="285">
        <v>1</v>
      </c>
      <c r="AA112" s="285"/>
      <c r="AB112" s="285">
        <v>1</v>
      </c>
      <c r="AC112" s="285"/>
      <c r="AD112" s="285">
        <v>2</v>
      </c>
      <c r="AE112" s="285"/>
      <c r="AF112" s="285">
        <v>2</v>
      </c>
      <c r="AG112" s="285">
        <v>1</v>
      </c>
      <c r="AH112" s="285">
        <v>2</v>
      </c>
      <c r="AI112" s="1047">
        <v>2</v>
      </c>
      <c r="AJ112" s="1047">
        <v>1</v>
      </c>
      <c r="AK112" s="1047">
        <v>3</v>
      </c>
      <c r="AL112" s="1047">
        <v>3</v>
      </c>
      <c r="AM112" s="1047">
        <v>3</v>
      </c>
      <c r="AN112" s="1047">
        <v>3</v>
      </c>
      <c r="AO112" s="1047">
        <v>3</v>
      </c>
      <c r="AP112" s="1047">
        <v>3</v>
      </c>
      <c r="AQ112" s="1047">
        <v>3</v>
      </c>
      <c r="AR112" s="1047">
        <v>3</v>
      </c>
    </row>
    <row r="113" spans="2:44">
      <c r="B113" s="158">
        <v>15</v>
      </c>
      <c r="C113" s="158" t="s">
        <v>326</v>
      </c>
      <c r="O113" s="283">
        <v>225</v>
      </c>
      <c r="P113" s="283">
        <v>260</v>
      </c>
      <c r="Q113" s="283">
        <v>260</v>
      </c>
      <c r="R113" s="283">
        <v>305</v>
      </c>
      <c r="S113" s="283">
        <v>330</v>
      </c>
      <c r="T113" s="283">
        <v>350</v>
      </c>
      <c r="U113" s="1045">
        <v>405</v>
      </c>
      <c r="V113" s="1045">
        <v>495</v>
      </c>
      <c r="W113" s="1045">
        <v>545</v>
      </c>
      <c r="X113" s="285">
        <v>570</v>
      </c>
      <c r="Y113" s="285"/>
      <c r="Z113" s="285">
        <v>700</v>
      </c>
      <c r="AA113" s="285"/>
      <c r="AB113" s="285">
        <v>805</v>
      </c>
      <c r="AC113" s="285"/>
      <c r="AD113" s="285">
        <v>915</v>
      </c>
      <c r="AE113" s="285"/>
      <c r="AF113" s="285">
        <v>1000</v>
      </c>
      <c r="AG113" s="285">
        <v>1080</v>
      </c>
      <c r="AH113" s="285">
        <v>1135</v>
      </c>
      <c r="AI113" s="1047">
        <v>1165</v>
      </c>
      <c r="AJ113" s="1047">
        <v>1200</v>
      </c>
      <c r="AK113" s="1047">
        <v>1300</v>
      </c>
      <c r="AL113" s="1047">
        <v>1370</v>
      </c>
      <c r="AM113" s="1047">
        <v>1435</v>
      </c>
      <c r="AN113" s="1047">
        <v>1550</v>
      </c>
      <c r="AO113" s="1047">
        <v>1645</v>
      </c>
      <c r="AP113" s="1047">
        <v>1700</v>
      </c>
      <c r="AQ113" s="1047">
        <v>1750</v>
      </c>
      <c r="AR113" s="1047">
        <v>1800</v>
      </c>
    </row>
    <row r="114" spans="2:44">
      <c r="B114" s="158">
        <v>16</v>
      </c>
      <c r="C114" s="1050" t="s">
        <v>327</v>
      </c>
      <c r="O114" s="283"/>
      <c r="P114" s="283"/>
      <c r="Q114" s="283"/>
      <c r="R114" s="283"/>
      <c r="S114" s="283"/>
      <c r="T114" s="283"/>
      <c r="U114" s="283"/>
      <c r="V114" s="283"/>
      <c r="W114" s="283"/>
      <c r="X114" s="285">
        <v>3130</v>
      </c>
      <c r="Y114" s="285"/>
      <c r="Z114" s="285">
        <v>3180</v>
      </c>
      <c r="AA114" s="285"/>
      <c r="AB114" s="285">
        <v>3450</v>
      </c>
      <c r="AC114" s="285"/>
      <c r="AD114" s="285">
        <v>3490</v>
      </c>
      <c r="AE114" s="285"/>
      <c r="AF114" s="285">
        <v>3645</v>
      </c>
      <c r="AG114" s="285">
        <v>3760</v>
      </c>
      <c r="AH114" s="285">
        <v>3870</v>
      </c>
      <c r="AI114" s="285">
        <v>3995</v>
      </c>
      <c r="AJ114" s="285">
        <v>4090</v>
      </c>
      <c r="AK114" s="285">
        <v>4175</v>
      </c>
      <c r="AL114" s="1047">
        <v>4315</v>
      </c>
      <c r="AM114" s="1047">
        <v>4440</v>
      </c>
      <c r="AN114" s="1047">
        <v>4550</v>
      </c>
      <c r="AO114" s="1047">
        <v>4650</v>
      </c>
      <c r="AP114" s="1047">
        <v>4935</v>
      </c>
      <c r="AQ114" s="1047">
        <v>10450</v>
      </c>
      <c r="AR114" s="1047">
        <v>5055</v>
      </c>
    </row>
    <row r="115" spans="2:44" ht="25.5">
      <c r="B115" s="1051">
        <v>17</v>
      </c>
      <c r="C115" s="1052" t="s">
        <v>328</v>
      </c>
      <c r="O115" s="283"/>
      <c r="P115" s="283"/>
      <c r="Q115" s="283"/>
      <c r="R115" s="283"/>
      <c r="S115" s="283"/>
      <c r="T115" s="283"/>
      <c r="U115" s="1045"/>
      <c r="V115" s="1045"/>
      <c r="W115" s="1045"/>
      <c r="X115" s="285">
        <v>1980</v>
      </c>
      <c r="Y115" s="285"/>
      <c r="Z115" s="285">
        <v>2455</v>
      </c>
      <c r="AA115" s="285"/>
      <c r="AB115" s="285">
        <v>2510</v>
      </c>
      <c r="AC115" s="285"/>
      <c r="AD115" s="285">
        <v>2750</v>
      </c>
      <c r="AE115" s="285"/>
      <c r="AF115" s="285">
        <v>2815</v>
      </c>
      <c r="AG115" s="1046">
        <v>2885</v>
      </c>
      <c r="AH115" s="285">
        <v>3070</v>
      </c>
      <c r="AI115" s="1047">
        <v>3310</v>
      </c>
      <c r="AJ115" s="1047">
        <v>3415</v>
      </c>
      <c r="AK115" s="1047">
        <v>3575</v>
      </c>
      <c r="AL115" s="1047">
        <v>3715</v>
      </c>
      <c r="AM115" s="1047">
        <v>3815</v>
      </c>
      <c r="AN115" s="1047">
        <v>4015</v>
      </c>
      <c r="AO115" s="1047">
        <v>4200</v>
      </c>
      <c r="AP115" s="1047">
        <v>4595</v>
      </c>
      <c r="AQ115" s="1047">
        <v>4695</v>
      </c>
      <c r="AR115" s="1047">
        <v>5435</v>
      </c>
    </row>
    <row r="116" spans="2:44">
      <c r="B116" s="158">
        <v>18</v>
      </c>
      <c r="C116" s="1050" t="s">
        <v>329</v>
      </c>
      <c r="O116" s="283"/>
      <c r="P116" s="283"/>
      <c r="Q116" s="283"/>
      <c r="R116" s="283"/>
      <c r="S116" s="283"/>
      <c r="T116" s="283"/>
      <c r="U116" s="1045"/>
      <c r="V116" s="1045"/>
      <c r="W116" s="1045"/>
      <c r="X116" s="285">
        <v>1085</v>
      </c>
      <c r="Y116" s="285"/>
      <c r="Z116" s="285">
        <v>1050</v>
      </c>
      <c r="AA116" s="285"/>
      <c r="AB116" s="285">
        <v>970</v>
      </c>
      <c r="AC116" s="285"/>
      <c r="AD116" s="285">
        <v>945</v>
      </c>
      <c r="AE116" s="285"/>
      <c r="AF116" s="285">
        <v>960</v>
      </c>
      <c r="AG116" s="285">
        <v>985</v>
      </c>
      <c r="AH116" s="285">
        <v>1065</v>
      </c>
      <c r="AI116" s="1047">
        <v>1160</v>
      </c>
      <c r="AJ116" s="1047">
        <v>1235</v>
      </c>
      <c r="AK116" s="1047">
        <v>1290</v>
      </c>
      <c r="AL116" s="1047">
        <v>1330</v>
      </c>
      <c r="AM116" s="1047">
        <v>1360</v>
      </c>
      <c r="AN116" s="1047">
        <v>1280</v>
      </c>
      <c r="AO116" s="1047">
        <v>1365</v>
      </c>
      <c r="AP116" s="1047">
        <v>1390</v>
      </c>
      <c r="AQ116" s="1047">
        <v>1320</v>
      </c>
      <c r="AR116" s="1047">
        <v>1425</v>
      </c>
    </row>
    <row r="117" spans="2:44">
      <c r="B117" s="158">
        <v>19</v>
      </c>
      <c r="C117" s="158" t="s">
        <v>330</v>
      </c>
      <c r="O117" s="283"/>
      <c r="P117" s="283"/>
      <c r="Q117" s="283"/>
      <c r="R117" s="283"/>
      <c r="S117" s="283"/>
      <c r="T117" s="283"/>
      <c r="U117" s="1045"/>
      <c r="V117" s="1045"/>
      <c r="W117" s="1045"/>
      <c r="X117" s="285" t="s">
        <v>269</v>
      </c>
      <c r="Y117" s="285"/>
      <c r="Z117" s="285" t="s">
        <v>269</v>
      </c>
      <c r="AA117" s="285"/>
      <c r="AB117" s="285" t="s">
        <v>269</v>
      </c>
      <c r="AC117" s="285"/>
      <c r="AD117" s="285">
        <v>1835</v>
      </c>
      <c r="AE117" s="285"/>
      <c r="AF117" s="285">
        <v>1915</v>
      </c>
      <c r="AG117" s="285">
        <v>1935</v>
      </c>
      <c r="AH117" s="285">
        <v>1995</v>
      </c>
      <c r="AI117" s="1047">
        <v>2040</v>
      </c>
      <c r="AJ117" s="1047">
        <v>2110</v>
      </c>
      <c r="AK117" s="1047">
        <v>2185</v>
      </c>
      <c r="AL117" s="1047">
        <v>2270</v>
      </c>
      <c r="AM117" s="1047">
        <v>2295</v>
      </c>
      <c r="AN117" s="1047">
        <v>2385</v>
      </c>
      <c r="AO117" s="1047">
        <v>2495</v>
      </c>
      <c r="AP117" s="1047">
        <v>2600</v>
      </c>
      <c r="AQ117" s="1047">
        <v>2750</v>
      </c>
      <c r="AR117" s="1047">
        <v>2790</v>
      </c>
    </row>
    <row r="118" spans="2:44">
      <c r="X118" s="285"/>
      <c r="Y118" s="285"/>
      <c r="Z118" s="285"/>
      <c r="AA118" s="285"/>
      <c r="AB118" s="285"/>
      <c r="AC118" s="285"/>
      <c r="AD118" s="285"/>
      <c r="AE118" s="285"/>
      <c r="AF118" s="285"/>
      <c r="AG118" s="285"/>
      <c r="AH118" s="285"/>
      <c r="AI118" s="285"/>
      <c r="AJ118" s="285"/>
      <c r="AK118" s="285"/>
      <c r="AL118" s="285"/>
      <c r="AM118" s="285"/>
      <c r="AN118" s="285"/>
      <c r="AO118" s="285"/>
      <c r="AP118" s="285"/>
      <c r="AQ118" s="285"/>
      <c r="AR118" s="285"/>
    </row>
    <row r="119" spans="2:44">
      <c r="C119" s="1053" t="s">
        <v>331</v>
      </c>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row>
    <row r="120" spans="2:44" ht="25.5">
      <c r="B120" s="158">
        <v>20</v>
      </c>
      <c r="C120" s="832" t="s">
        <v>332</v>
      </c>
      <c r="X120" s="285"/>
      <c r="Y120" s="285"/>
      <c r="Z120" s="285"/>
      <c r="AA120" s="285"/>
      <c r="AB120" s="285"/>
      <c r="AC120" s="285"/>
      <c r="AD120" s="285"/>
      <c r="AE120" s="285"/>
      <c r="AF120" s="1046"/>
      <c r="AG120" s="1046"/>
      <c r="AH120" s="1046"/>
      <c r="AI120" s="1046"/>
      <c r="AJ120" s="1046"/>
      <c r="AK120" s="1046"/>
      <c r="AL120" s="1046"/>
      <c r="AM120" s="1046"/>
      <c r="AN120" s="1046"/>
      <c r="AO120" s="1046"/>
      <c r="AP120" s="1046"/>
      <c r="AQ120" s="1046"/>
      <c r="AR120" s="1046"/>
    </row>
    <row r="121" spans="2:44">
      <c r="B121" s="158">
        <v>21</v>
      </c>
      <c r="C121" s="1050" t="s">
        <v>333</v>
      </c>
      <c r="O121" s="283"/>
      <c r="P121" s="283"/>
      <c r="Q121" s="283"/>
      <c r="R121" s="283"/>
      <c r="S121" s="283"/>
      <c r="T121" s="283"/>
      <c r="U121" s="283"/>
      <c r="V121" s="283"/>
      <c r="W121" s="283"/>
      <c r="X121" s="285">
        <v>1915.624</v>
      </c>
      <c r="Y121" s="285"/>
      <c r="Z121" s="285">
        <v>2036.127</v>
      </c>
      <c r="AA121" s="285"/>
      <c r="AB121" s="285">
        <v>2010.417369</v>
      </c>
      <c r="AC121" s="285"/>
      <c r="AD121" s="285">
        <v>2495.8091979999999</v>
      </c>
      <c r="AE121" s="285"/>
      <c r="AF121" s="1046">
        <v>2295</v>
      </c>
      <c r="AG121" s="1046">
        <v>2410</v>
      </c>
      <c r="AH121" s="1046">
        <v>2530</v>
      </c>
      <c r="AI121" s="1046">
        <v>2725</v>
      </c>
      <c r="AJ121" s="1046">
        <v>2890</v>
      </c>
      <c r="AK121" s="1047">
        <v>3025</v>
      </c>
      <c r="AL121" s="1047">
        <v>3170</v>
      </c>
      <c r="AM121" s="1047">
        <v>3335</v>
      </c>
      <c r="AN121" s="1047">
        <v>3450</v>
      </c>
      <c r="AO121" s="1047">
        <v>3625</v>
      </c>
      <c r="AP121" s="1047">
        <v>3820</v>
      </c>
      <c r="AQ121" s="1047">
        <v>3925</v>
      </c>
      <c r="AR121" s="1047">
        <v>4010</v>
      </c>
    </row>
    <row r="122" spans="2:44">
      <c r="B122" s="158">
        <v>22</v>
      </c>
      <c r="C122" s="1050" t="s">
        <v>334</v>
      </c>
      <c r="O122" s="283"/>
      <c r="P122" s="283"/>
      <c r="Q122" s="283"/>
      <c r="R122" s="283"/>
      <c r="S122" s="283"/>
      <c r="T122" s="283"/>
      <c r="U122" s="283"/>
      <c r="V122" s="283"/>
      <c r="W122" s="283"/>
      <c r="X122" s="285" t="s">
        <v>269</v>
      </c>
      <c r="Y122" s="285"/>
      <c r="Z122" s="285" t="s">
        <v>269</v>
      </c>
      <c r="AA122" s="285"/>
      <c r="AB122" s="285" t="s">
        <v>269</v>
      </c>
      <c r="AC122" s="285"/>
      <c r="AD122" s="285">
        <v>2714.2384069999998</v>
      </c>
      <c r="AE122" s="285"/>
      <c r="AF122" s="285"/>
      <c r="AG122" s="285"/>
      <c r="AH122" s="285"/>
      <c r="AI122" s="285"/>
      <c r="AJ122" s="285"/>
      <c r="AK122" s="285"/>
      <c r="AL122" s="285"/>
      <c r="AM122" s="285"/>
      <c r="AN122" s="285"/>
      <c r="AO122" s="285"/>
      <c r="AP122" s="285"/>
      <c r="AQ122" s="285"/>
      <c r="AR122" s="285"/>
    </row>
    <row r="123" spans="2:44">
      <c r="C123" s="1050"/>
      <c r="O123" s="283"/>
      <c r="P123" s="283"/>
      <c r="Q123" s="283"/>
      <c r="R123" s="283"/>
      <c r="S123" s="283"/>
      <c r="T123" s="283"/>
      <c r="U123" s="283"/>
      <c r="V123" s="283"/>
      <c r="W123" s="283"/>
      <c r="X123" s="285"/>
      <c r="Y123" s="285"/>
      <c r="Z123" s="285"/>
      <c r="AA123" s="285"/>
      <c r="AB123" s="285"/>
      <c r="AC123" s="285"/>
      <c r="AD123" s="285"/>
      <c r="AE123" s="285"/>
      <c r="AF123" s="285"/>
      <c r="AG123" s="285"/>
      <c r="AH123" s="285"/>
      <c r="AI123" s="285"/>
      <c r="AJ123" s="285"/>
      <c r="AK123" s="285"/>
      <c r="AL123" s="285"/>
      <c r="AM123" s="285"/>
      <c r="AN123" s="285"/>
      <c r="AO123" s="285"/>
      <c r="AP123" s="285"/>
      <c r="AQ123" s="285"/>
      <c r="AR123" s="285"/>
    </row>
    <row r="124" spans="2:44">
      <c r="O124" s="283"/>
      <c r="P124" s="283"/>
      <c r="Q124" s="283"/>
      <c r="R124" s="283"/>
      <c r="S124" s="283"/>
      <c r="T124" s="283"/>
      <c r="U124" s="283"/>
      <c r="V124" s="283"/>
      <c r="W124" s="283"/>
      <c r="X124" s="285"/>
      <c r="Y124" s="285"/>
      <c r="Z124" s="285"/>
      <c r="AA124" s="285"/>
      <c r="AB124" s="285"/>
      <c r="AC124" s="285"/>
      <c r="AD124" s="285"/>
      <c r="AE124" s="285"/>
      <c r="AF124" s="285"/>
      <c r="AG124" s="285"/>
      <c r="AH124" s="285"/>
      <c r="AI124" s="285"/>
      <c r="AJ124" s="285"/>
      <c r="AK124" s="285"/>
      <c r="AL124" s="285"/>
      <c r="AM124" s="285"/>
      <c r="AN124" s="285"/>
      <c r="AO124" s="285"/>
      <c r="AP124" s="285"/>
      <c r="AQ124" s="285"/>
      <c r="AR124" s="285"/>
    </row>
    <row r="125" spans="2:44" ht="24" customHeight="1">
      <c r="C125" s="1054" t="s">
        <v>335</v>
      </c>
      <c r="O125" s="283"/>
      <c r="P125" s="283"/>
      <c r="Q125" s="283"/>
      <c r="R125" s="283"/>
      <c r="S125" s="283"/>
      <c r="T125" s="283"/>
      <c r="U125" s="283"/>
      <c r="V125" s="283"/>
      <c r="W125" s="283"/>
      <c r="X125" s="285"/>
      <c r="Y125" s="285"/>
      <c r="Z125" s="285"/>
      <c r="AA125" s="285"/>
      <c r="AB125" s="285"/>
      <c r="AC125" s="285"/>
      <c r="AD125" s="285"/>
      <c r="AE125" s="285"/>
      <c r="AF125" s="285"/>
      <c r="AG125" s="285"/>
      <c r="AH125" s="285"/>
      <c r="AI125" s="285"/>
      <c r="AJ125" s="285"/>
      <c r="AK125" s="285"/>
      <c r="AL125" s="285"/>
      <c r="AM125" s="285"/>
      <c r="AN125" s="285"/>
      <c r="AO125" s="285"/>
      <c r="AP125" s="285"/>
      <c r="AQ125" s="285"/>
      <c r="AR125" s="285"/>
    </row>
    <row r="126" spans="2:44">
      <c r="C126" s="158" t="s">
        <v>336</v>
      </c>
      <c r="O126" s="283"/>
      <c r="P126" s="283"/>
      <c r="Q126" s="283"/>
      <c r="R126" s="283"/>
      <c r="S126" s="283"/>
      <c r="T126" s="283">
        <v>23</v>
      </c>
      <c r="U126" s="1045">
        <v>26</v>
      </c>
      <c r="V126" s="1045">
        <v>34</v>
      </c>
      <c r="W126" s="1045">
        <v>38</v>
      </c>
      <c r="X126" s="285"/>
      <c r="Y126" s="285"/>
      <c r="Z126" s="285"/>
      <c r="AA126" s="285"/>
      <c r="AB126" s="285"/>
      <c r="AC126" s="285"/>
      <c r="AD126" s="285"/>
      <c r="AE126" s="285"/>
      <c r="AF126" s="285"/>
      <c r="AG126" s="1046"/>
      <c r="AH126" s="1046"/>
      <c r="AI126" s="1046"/>
      <c r="AJ126" s="1046"/>
      <c r="AK126" s="1046"/>
      <c r="AL126" s="1046"/>
      <c r="AM126" s="1046"/>
      <c r="AN126" s="1046"/>
      <c r="AO126" s="1046"/>
      <c r="AP126" s="1046"/>
      <c r="AQ126" s="1046"/>
      <c r="AR126" s="1046"/>
    </row>
    <row r="127" spans="2:44">
      <c r="B127" s="1055"/>
      <c r="C127" s="158" t="s">
        <v>337</v>
      </c>
      <c r="D127" s="1055"/>
      <c r="E127" s="1055"/>
      <c r="F127" s="1055"/>
      <c r="G127" s="1055"/>
      <c r="H127" s="1055"/>
      <c r="I127" s="1055"/>
      <c r="J127" s="1055"/>
      <c r="K127" s="1055"/>
      <c r="L127" s="1055"/>
      <c r="M127" s="1055"/>
      <c r="N127" s="1055"/>
      <c r="O127" s="1056"/>
      <c r="P127" s="1056"/>
      <c r="Q127" s="1056"/>
      <c r="R127" s="1056"/>
      <c r="S127" s="1056"/>
      <c r="T127" s="1056"/>
      <c r="U127" s="1057"/>
      <c r="V127" s="1057"/>
      <c r="W127" s="1057"/>
      <c r="X127" s="285"/>
      <c r="Y127" s="285"/>
      <c r="Z127" s="285"/>
      <c r="AA127" s="285"/>
      <c r="AB127" s="285"/>
      <c r="AC127" s="285"/>
      <c r="AD127" s="285"/>
      <c r="AE127" s="285"/>
      <c r="AF127" s="285"/>
      <c r="AG127" s="285"/>
      <c r="AH127" s="285"/>
      <c r="AI127" s="285"/>
      <c r="AJ127" s="285"/>
      <c r="AK127" s="285"/>
      <c r="AL127" s="285"/>
      <c r="AM127" s="285"/>
      <c r="AN127" s="285"/>
      <c r="AO127" s="285"/>
      <c r="AP127" s="285"/>
      <c r="AQ127" s="285"/>
      <c r="AR127" s="285"/>
    </row>
    <row r="128" spans="2:44">
      <c r="C128" s="158" t="s">
        <v>338</v>
      </c>
      <c r="O128" s="283"/>
      <c r="P128" s="283"/>
      <c r="Q128" s="283"/>
      <c r="R128" s="283"/>
      <c r="S128" s="283"/>
      <c r="T128" s="283"/>
      <c r="U128" s="1045"/>
      <c r="V128" s="1045"/>
      <c r="W128" s="1045"/>
      <c r="X128" s="285"/>
      <c r="Y128" s="285"/>
      <c r="Z128" s="285"/>
      <c r="AA128" s="285"/>
      <c r="AB128" s="285"/>
      <c r="AC128" s="285"/>
      <c r="AD128" s="285"/>
      <c r="AE128" s="285"/>
      <c r="AF128" s="285"/>
      <c r="AG128" s="1047"/>
      <c r="AH128" s="1047"/>
      <c r="AI128" s="1047"/>
      <c r="AJ128" s="1047"/>
      <c r="AK128" s="1047"/>
      <c r="AL128" s="1047"/>
      <c r="AM128" s="1047"/>
      <c r="AN128" s="1047"/>
      <c r="AO128" s="1047"/>
      <c r="AP128" s="1047"/>
      <c r="AQ128" s="1047"/>
      <c r="AR128" s="1047"/>
    </row>
    <row r="129" spans="2:44">
      <c r="O129" s="283"/>
      <c r="P129" s="283"/>
      <c r="Q129" s="283"/>
      <c r="R129" s="283"/>
      <c r="S129" s="283"/>
      <c r="T129" s="283"/>
      <c r="U129" s="283"/>
      <c r="V129" s="283"/>
      <c r="W129" s="283"/>
      <c r="X129" s="285"/>
      <c r="Y129" s="285"/>
      <c r="Z129" s="285"/>
      <c r="AA129" s="285"/>
      <c r="AB129" s="285"/>
      <c r="AC129" s="285"/>
      <c r="AD129" s="285"/>
      <c r="AE129" s="285"/>
      <c r="AF129" s="285"/>
      <c r="AG129" s="1048"/>
      <c r="AH129" s="1048"/>
      <c r="AI129" s="1048"/>
      <c r="AJ129" s="1048"/>
      <c r="AK129" s="1048"/>
      <c r="AL129" s="1048"/>
      <c r="AM129" s="1048"/>
      <c r="AN129" s="1048"/>
      <c r="AO129" s="1048"/>
      <c r="AP129" s="1048"/>
      <c r="AQ129" s="1048"/>
      <c r="AR129" s="1048"/>
    </row>
    <row r="130" spans="2:44" ht="15.75">
      <c r="B130" s="217" t="s">
        <v>339</v>
      </c>
      <c r="O130" s="1044">
        <v>1990</v>
      </c>
      <c r="P130" s="1044">
        <v>2080</v>
      </c>
      <c r="Q130" s="1044">
        <v>2170</v>
      </c>
      <c r="R130" s="1044">
        <v>2415</v>
      </c>
      <c r="S130" s="1044">
        <v>2610</v>
      </c>
      <c r="T130" s="1044">
        <v>2805</v>
      </c>
      <c r="U130" s="1044">
        <v>2950</v>
      </c>
      <c r="V130" s="1044">
        <v>3085</v>
      </c>
      <c r="W130" s="1044">
        <v>3200</v>
      </c>
      <c r="X130" s="641">
        <v>2165</v>
      </c>
      <c r="Y130" s="641"/>
      <c r="Z130" s="641">
        <v>2244.9971340000002</v>
      </c>
      <c r="AA130" s="641"/>
      <c r="AB130" s="641">
        <v>2826</v>
      </c>
      <c r="AC130" s="641"/>
      <c r="AD130" s="641">
        <v>3245</v>
      </c>
      <c r="AE130" s="641"/>
      <c r="AF130" s="641">
        <v>4753</v>
      </c>
      <c r="AG130" s="1058">
        <v>5165</v>
      </c>
      <c r="AH130" s="1058">
        <v>5290</v>
      </c>
      <c r="AI130" s="1058">
        <v>5375</v>
      </c>
      <c r="AJ130" s="1058">
        <v>5600</v>
      </c>
      <c r="AK130" s="1058">
        <v>5969</v>
      </c>
      <c r="AL130" s="1058">
        <v>5929</v>
      </c>
      <c r="AM130" s="1058">
        <v>5934</v>
      </c>
      <c r="AN130" s="1058">
        <v>6769</v>
      </c>
      <c r="AO130" s="1058">
        <v>7095</v>
      </c>
      <c r="AP130" s="1058">
        <v>7575</v>
      </c>
      <c r="AQ130" s="1058">
        <v>7520</v>
      </c>
      <c r="AR130" s="1058">
        <v>7980</v>
      </c>
    </row>
    <row r="131" spans="2:44" ht="13.5" customHeight="1">
      <c r="C131" s="158" t="s">
        <v>340</v>
      </c>
      <c r="O131" s="283">
        <v>1125</v>
      </c>
      <c r="P131" s="283">
        <v>1200</v>
      </c>
      <c r="Q131" s="283">
        <v>1270</v>
      </c>
      <c r="R131" s="283">
        <v>1440</v>
      </c>
      <c r="S131" s="283">
        <v>1490</v>
      </c>
      <c r="T131" s="283">
        <v>1625</v>
      </c>
      <c r="U131" s="283">
        <v>1650</v>
      </c>
      <c r="V131" s="283">
        <v>1735</v>
      </c>
      <c r="W131" s="283">
        <v>1850</v>
      </c>
      <c r="X131" s="285" t="s">
        <v>237</v>
      </c>
      <c r="Y131" s="285"/>
      <c r="Z131" s="285" t="s">
        <v>237</v>
      </c>
      <c r="AA131" s="285"/>
      <c r="AB131" s="285" t="s">
        <v>237</v>
      </c>
      <c r="AC131" s="285"/>
      <c r="AD131" s="285" t="s">
        <v>237</v>
      </c>
      <c r="AE131" s="285"/>
      <c r="AF131" s="1059">
        <v>2105</v>
      </c>
      <c r="AG131" s="1046">
        <v>2225</v>
      </c>
      <c r="AH131" s="1046">
        <v>2315</v>
      </c>
      <c r="AI131" s="1046">
        <v>2420</v>
      </c>
      <c r="AJ131" s="1046">
        <v>2520</v>
      </c>
      <c r="AK131" s="1046">
        <v>2585</v>
      </c>
      <c r="AL131" s="1046">
        <v>2580</v>
      </c>
      <c r="AM131" s="1046">
        <v>2480</v>
      </c>
      <c r="AN131" s="1046">
        <v>2840</v>
      </c>
      <c r="AO131" s="1046">
        <v>3050</v>
      </c>
      <c r="AP131" s="1046">
        <v>3170</v>
      </c>
      <c r="AQ131" s="1046">
        <v>3210</v>
      </c>
      <c r="AR131" s="1046">
        <v>3450</v>
      </c>
    </row>
    <row r="132" spans="2:44">
      <c r="C132" s="1050" t="s">
        <v>341</v>
      </c>
      <c r="O132" s="283"/>
      <c r="P132" s="283"/>
      <c r="Q132" s="283"/>
      <c r="R132" s="283"/>
      <c r="S132" s="283"/>
      <c r="T132" s="283"/>
      <c r="U132" s="283"/>
      <c r="V132" s="283"/>
      <c r="W132" s="283"/>
      <c r="X132" s="285">
        <v>490</v>
      </c>
      <c r="Y132" s="285"/>
      <c r="Z132" s="285">
        <v>245</v>
      </c>
      <c r="AA132" s="285"/>
      <c r="AB132" s="285">
        <v>430</v>
      </c>
      <c r="AC132" s="285"/>
      <c r="AD132" s="285">
        <v>455</v>
      </c>
      <c r="AE132" s="285"/>
      <c r="AF132" s="285">
        <v>325</v>
      </c>
      <c r="AG132" s="1046">
        <v>385</v>
      </c>
      <c r="AH132" s="1046">
        <v>395</v>
      </c>
      <c r="AI132" s="1046">
        <v>425</v>
      </c>
      <c r="AJ132" s="1046">
        <v>320</v>
      </c>
      <c r="AK132" s="1046">
        <v>500</v>
      </c>
      <c r="AL132" s="1046">
        <v>455</v>
      </c>
      <c r="AM132" s="1046">
        <v>450</v>
      </c>
      <c r="AN132" s="1046">
        <v>635</v>
      </c>
      <c r="AO132" s="1046">
        <v>690</v>
      </c>
      <c r="AP132" s="1046">
        <v>835</v>
      </c>
      <c r="AQ132" s="1046">
        <v>745</v>
      </c>
      <c r="AR132" s="1046">
        <v>780</v>
      </c>
    </row>
    <row r="133" spans="2:44">
      <c r="C133" s="1060" t="s">
        <v>342</v>
      </c>
      <c r="O133" s="283">
        <v>865</v>
      </c>
      <c r="P133" s="283">
        <v>880</v>
      </c>
      <c r="Q133" s="283">
        <v>900</v>
      </c>
      <c r="R133" s="283">
        <v>975</v>
      </c>
      <c r="S133" s="283">
        <v>1120</v>
      </c>
      <c r="T133" s="283">
        <v>1180</v>
      </c>
      <c r="U133" s="283">
        <v>1300</v>
      </c>
      <c r="V133" s="283">
        <v>1350</v>
      </c>
      <c r="W133" s="283">
        <v>1350</v>
      </c>
      <c r="X133" s="1061">
        <v>1490</v>
      </c>
      <c r="Y133" s="1061"/>
      <c r="Z133" s="1061">
        <v>1824.9971340000002</v>
      </c>
      <c r="AA133" s="285"/>
      <c r="AB133" s="1046">
        <v>2233</v>
      </c>
      <c r="AC133" s="285"/>
      <c r="AD133" s="1046">
        <v>2510</v>
      </c>
      <c r="AE133" s="1062"/>
      <c r="AF133" s="1062">
        <v>2118</v>
      </c>
      <c r="AG133" s="1062">
        <v>2320</v>
      </c>
      <c r="AH133" s="1062">
        <v>2330</v>
      </c>
      <c r="AI133" s="1046">
        <v>2335</v>
      </c>
      <c r="AJ133" s="1046">
        <v>2510</v>
      </c>
      <c r="AK133" s="1046">
        <v>2565</v>
      </c>
      <c r="AL133" s="1046">
        <v>2660</v>
      </c>
      <c r="AM133" s="1046">
        <v>2750</v>
      </c>
      <c r="AN133" s="1046">
        <v>2935</v>
      </c>
      <c r="AO133" s="1046">
        <v>3010</v>
      </c>
      <c r="AP133" s="1046">
        <v>3090</v>
      </c>
      <c r="AQ133" s="1046">
        <v>3235</v>
      </c>
      <c r="AR133" s="1046">
        <v>3340</v>
      </c>
    </row>
    <row r="134" spans="2:44">
      <c r="C134" s="1063" t="s">
        <v>1545</v>
      </c>
      <c r="O134" s="283"/>
      <c r="P134" s="283"/>
      <c r="Q134" s="283"/>
      <c r="R134" s="283"/>
      <c r="S134" s="283"/>
      <c r="T134" s="283"/>
      <c r="U134" s="283"/>
      <c r="V134" s="283"/>
      <c r="W134" s="283"/>
      <c r="X134" s="1061"/>
      <c r="Y134" s="1061"/>
      <c r="Z134" s="1061"/>
      <c r="AA134" s="285"/>
      <c r="AB134" s="1046"/>
      <c r="AC134" s="285"/>
      <c r="AD134" s="1046"/>
      <c r="AE134" s="1062"/>
      <c r="AF134" s="1062"/>
      <c r="AG134" s="1062"/>
      <c r="AH134" s="1062"/>
      <c r="AI134" s="1046"/>
      <c r="AJ134" s="1046"/>
      <c r="AK134" s="1046">
        <v>2555</v>
      </c>
      <c r="AL134" s="1046">
        <v>2645</v>
      </c>
      <c r="AM134" s="1046">
        <v>2735</v>
      </c>
      <c r="AN134" s="1046">
        <v>2900</v>
      </c>
      <c r="AO134" s="1046">
        <v>2980</v>
      </c>
      <c r="AP134" s="1046">
        <v>3060</v>
      </c>
      <c r="AQ134" s="1046">
        <v>3200</v>
      </c>
      <c r="AR134" s="1046">
        <v>3305</v>
      </c>
    </row>
    <row r="135" spans="2:44">
      <c r="C135" s="1063" t="s">
        <v>1546</v>
      </c>
      <c r="O135" s="283"/>
      <c r="P135" s="283"/>
      <c r="Q135" s="283"/>
      <c r="R135" s="283"/>
      <c r="S135" s="283"/>
      <c r="T135" s="283"/>
      <c r="U135" s="283"/>
      <c r="V135" s="283"/>
      <c r="W135" s="283"/>
      <c r="X135" s="1061"/>
      <c r="Y135" s="1061"/>
      <c r="Z135" s="1061"/>
      <c r="AA135" s="285"/>
      <c r="AB135" s="1046"/>
      <c r="AC135" s="285"/>
      <c r="AD135" s="1046"/>
      <c r="AE135" s="1062"/>
      <c r="AF135" s="1062"/>
      <c r="AG135" s="1062"/>
      <c r="AH135" s="1062"/>
      <c r="AI135" s="1046"/>
      <c r="AJ135" s="1046"/>
      <c r="AK135" s="1046">
        <v>10</v>
      </c>
      <c r="AL135" s="1046">
        <v>15</v>
      </c>
      <c r="AM135" s="1046">
        <v>15</v>
      </c>
      <c r="AN135" s="1046">
        <v>35</v>
      </c>
      <c r="AO135" s="1046">
        <v>30</v>
      </c>
      <c r="AP135" s="1046">
        <v>30</v>
      </c>
      <c r="AQ135" s="1046">
        <v>30</v>
      </c>
      <c r="AR135" s="1046">
        <v>35</v>
      </c>
    </row>
    <row r="136" spans="2:44">
      <c r="C136" s="158" t="s">
        <v>343</v>
      </c>
      <c r="O136" s="283"/>
      <c r="P136" s="283"/>
      <c r="Q136" s="283"/>
      <c r="R136" s="283"/>
      <c r="S136" s="283"/>
      <c r="T136" s="283"/>
      <c r="U136" s="283"/>
      <c r="V136" s="283"/>
      <c r="W136" s="283"/>
      <c r="X136" s="285" t="s">
        <v>269</v>
      </c>
      <c r="Y136" s="285"/>
      <c r="Z136" s="285" t="s">
        <v>269</v>
      </c>
      <c r="AA136" s="285"/>
      <c r="AB136" s="285">
        <v>28</v>
      </c>
      <c r="AC136" s="285"/>
      <c r="AD136" s="285">
        <v>105</v>
      </c>
      <c r="AE136" s="285"/>
      <c r="AF136" s="285">
        <v>65</v>
      </c>
      <c r="AG136" s="1046">
        <v>100</v>
      </c>
      <c r="AH136" s="1046">
        <v>110</v>
      </c>
      <c r="AI136" s="1046">
        <v>95</v>
      </c>
      <c r="AJ136" s="1046">
        <v>115</v>
      </c>
      <c r="AK136" s="1046">
        <v>175</v>
      </c>
      <c r="AL136" s="1046">
        <v>120</v>
      </c>
      <c r="AM136" s="1046">
        <v>135</v>
      </c>
      <c r="AN136" s="1046">
        <v>195</v>
      </c>
      <c r="AO136" s="1046">
        <v>150</v>
      </c>
      <c r="AP136" s="1046">
        <v>315</v>
      </c>
      <c r="AQ136" s="1046">
        <v>220</v>
      </c>
      <c r="AR136" s="1046">
        <v>245</v>
      </c>
    </row>
    <row r="137" spans="2:44">
      <c r="C137" s="158" t="s">
        <v>344</v>
      </c>
      <c r="O137" s="283"/>
      <c r="P137" s="283"/>
      <c r="Q137" s="283"/>
      <c r="R137" s="283"/>
      <c r="S137" s="283"/>
      <c r="T137" s="283"/>
      <c r="U137" s="283"/>
      <c r="V137" s="283"/>
      <c r="W137" s="283"/>
      <c r="X137" s="285" t="s">
        <v>269</v>
      </c>
      <c r="Y137" s="285"/>
      <c r="Z137" s="285" t="s">
        <v>269</v>
      </c>
      <c r="AA137" s="285"/>
      <c r="AB137" s="285" t="s">
        <v>269</v>
      </c>
      <c r="AC137" s="285"/>
      <c r="AD137" s="285" t="s">
        <v>269</v>
      </c>
      <c r="AE137" s="285"/>
      <c r="AF137" s="285" t="s">
        <v>269</v>
      </c>
      <c r="AG137" s="285" t="s">
        <v>269</v>
      </c>
      <c r="AH137" s="285" t="s">
        <v>269</v>
      </c>
      <c r="AI137" s="285" t="s">
        <v>269</v>
      </c>
      <c r="AJ137" s="1046">
        <v>5</v>
      </c>
      <c r="AK137" s="1046">
        <v>4</v>
      </c>
      <c r="AL137" s="1046">
        <v>4</v>
      </c>
      <c r="AM137" s="1046">
        <v>4</v>
      </c>
      <c r="AN137" s="1046">
        <v>4</v>
      </c>
      <c r="AO137" s="285" t="s">
        <v>269</v>
      </c>
      <c r="AP137" s="285" t="s">
        <v>269</v>
      </c>
      <c r="AQ137" s="285" t="s">
        <v>269</v>
      </c>
      <c r="AR137" s="285" t="s">
        <v>269</v>
      </c>
    </row>
    <row r="138" spans="2:44">
      <c r="C138" s="158" t="s">
        <v>345</v>
      </c>
      <c r="O138" s="283"/>
      <c r="P138" s="283"/>
      <c r="Q138" s="283"/>
      <c r="R138" s="283"/>
      <c r="S138" s="283"/>
      <c r="T138" s="283"/>
      <c r="U138" s="283"/>
      <c r="V138" s="283"/>
      <c r="W138" s="283"/>
      <c r="X138" s="285">
        <v>185</v>
      </c>
      <c r="Y138" s="285"/>
      <c r="Z138" s="285">
        <v>175</v>
      </c>
      <c r="AA138" s="285"/>
      <c r="AB138" s="285">
        <v>135</v>
      </c>
      <c r="AC138" s="285"/>
      <c r="AD138" s="285">
        <v>175</v>
      </c>
      <c r="AE138" s="285"/>
      <c r="AF138" s="285">
        <v>140</v>
      </c>
      <c r="AG138" s="285">
        <v>125</v>
      </c>
      <c r="AH138" s="285">
        <v>125</v>
      </c>
      <c r="AI138" s="285">
        <v>75</v>
      </c>
      <c r="AJ138" s="1046">
        <v>100</v>
      </c>
      <c r="AK138" s="1046">
        <v>105</v>
      </c>
      <c r="AL138" s="1046">
        <v>70</v>
      </c>
      <c r="AM138" s="1046">
        <v>65</v>
      </c>
      <c r="AN138" s="1046">
        <v>100</v>
      </c>
      <c r="AO138" s="1046">
        <v>130</v>
      </c>
      <c r="AP138" s="1046">
        <v>95</v>
      </c>
      <c r="AQ138" s="1046">
        <v>40</v>
      </c>
      <c r="AR138" s="1046">
        <v>85</v>
      </c>
    </row>
    <row r="139" spans="2:44">
      <c r="C139" s="158" t="s">
        <v>346</v>
      </c>
      <c r="O139" s="283"/>
      <c r="P139" s="283"/>
      <c r="Q139" s="283"/>
      <c r="R139" s="283"/>
      <c r="S139" s="283"/>
      <c r="T139" s="283"/>
      <c r="U139" s="283"/>
      <c r="V139" s="283"/>
      <c r="W139" s="283"/>
      <c r="X139" s="285" t="s">
        <v>269</v>
      </c>
      <c r="Y139" s="285"/>
      <c r="Z139" s="285" t="s">
        <v>269</v>
      </c>
      <c r="AA139" s="285"/>
      <c r="AB139" s="285" t="s">
        <v>269</v>
      </c>
      <c r="AC139" s="285"/>
      <c r="AD139" s="285" t="s">
        <v>269</v>
      </c>
      <c r="AE139" s="285"/>
      <c r="AF139" s="1046" t="s">
        <v>318</v>
      </c>
      <c r="AG139" s="1046">
        <v>10</v>
      </c>
      <c r="AH139" s="1046">
        <v>15</v>
      </c>
      <c r="AI139" s="1046">
        <v>25</v>
      </c>
      <c r="AJ139" s="1046">
        <v>30</v>
      </c>
      <c r="AK139" s="1046">
        <v>35</v>
      </c>
      <c r="AL139" s="1046">
        <v>40</v>
      </c>
      <c r="AM139" s="1046">
        <v>50</v>
      </c>
      <c r="AN139" s="1046">
        <v>60</v>
      </c>
      <c r="AO139" s="1046">
        <v>65</v>
      </c>
      <c r="AP139" s="1046">
        <v>70</v>
      </c>
      <c r="AQ139" s="1046">
        <v>70</v>
      </c>
      <c r="AR139" s="1046">
        <v>80</v>
      </c>
    </row>
    <row r="140" spans="2:44">
      <c r="O140" s="283"/>
      <c r="P140" s="283"/>
      <c r="Q140" s="283"/>
      <c r="R140" s="283"/>
      <c r="S140" s="283"/>
      <c r="T140" s="283"/>
      <c r="U140" s="283"/>
      <c r="V140" s="283"/>
      <c r="W140" s="283"/>
      <c r="X140" s="285"/>
      <c r="Y140" s="285"/>
      <c r="Z140" s="285"/>
      <c r="AA140" s="285"/>
      <c r="AB140" s="285"/>
      <c r="AC140" s="285"/>
      <c r="AD140" s="285"/>
      <c r="AE140" s="285"/>
      <c r="AF140" s="1046"/>
      <c r="AG140" s="1046"/>
      <c r="AH140" s="1046"/>
      <c r="AI140" s="1046"/>
      <c r="AJ140" s="1046"/>
      <c r="AK140" s="1046"/>
      <c r="AL140" s="1046"/>
      <c r="AM140" s="1046"/>
      <c r="AN140" s="1046"/>
      <c r="AO140" s="1046"/>
      <c r="AP140" s="1046"/>
      <c r="AQ140" s="1046"/>
      <c r="AR140" s="1046"/>
    </row>
    <row r="141" spans="2:44">
      <c r="C141" s="1064" t="s">
        <v>347</v>
      </c>
      <c r="O141" s="283"/>
      <c r="P141" s="283"/>
      <c r="Q141" s="283"/>
      <c r="R141" s="283"/>
      <c r="S141" s="283"/>
      <c r="T141" s="283"/>
      <c r="U141" s="283"/>
      <c r="V141" s="283"/>
      <c r="W141" s="283"/>
      <c r="X141" s="285"/>
      <c r="Y141" s="285"/>
      <c r="Z141" s="285"/>
      <c r="AA141" s="285"/>
      <c r="AB141" s="285"/>
      <c r="AC141" s="285"/>
      <c r="AD141" s="285"/>
      <c r="AE141" s="285"/>
      <c r="AF141" s="285"/>
      <c r="AG141" s="285"/>
      <c r="AH141" s="285"/>
      <c r="AI141" s="285"/>
      <c r="AJ141" s="285"/>
      <c r="AK141" s="285"/>
      <c r="AL141" s="285"/>
      <c r="AM141" s="285"/>
      <c r="AN141" s="285"/>
      <c r="AO141" s="285"/>
      <c r="AP141" s="285"/>
      <c r="AQ141" s="285"/>
      <c r="AR141" s="285"/>
    </row>
    <row r="142" spans="2:44">
      <c r="C142" s="1064" t="s">
        <v>348</v>
      </c>
      <c r="O142" s="283"/>
      <c r="P142" s="283"/>
      <c r="Q142" s="283"/>
      <c r="R142" s="283"/>
      <c r="S142" s="283"/>
      <c r="T142" s="283"/>
      <c r="U142" s="283"/>
      <c r="V142" s="283"/>
      <c r="W142" s="283"/>
      <c r="X142" s="285"/>
      <c r="Y142" s="285"/>
      <c r="Z142" s="285"/>
      <c r="AA142" s="285"/>
      <c r="AB142" s="285"/>
      <c r="AC142" s="285"/>
      <c r="AD142" s="285"/>
      <c r="AE142" s="285"/>
      <c r="AF142" s="285"/>
      <c r="AG142" s="285"/>
      <c r="AH142" s="285"/>
      <c r="AI142" s="285"/>
      <c r="AJ142" s="285"/>
      <c r="AK142" s="285"/>
      <c r="AL142" s="285"/>
      <c r="AM142" s="285"/>
      <c r="AN142" s="285"/>
      <c r="AO142" s="285"/>
      <c r="AP142" s="285"/>
      <c r="AQ142" s="285"/>
      <c r="AR142" s="285"/>
    </row>
    <row r="143" spans="2:44">
      <c r="C143" s="1050" t="s">
        <v>349</v>
      </c>
      <c r="O143" s="283"/>
      <c r="P143" s="283"/>
      <c r="Q143" s="283"/>
      <c r="R143" s="283"/>
      <c r="S143" s="283"/>
      <c r="T143" s="283"/>
      <c r="U143" s="283"/>
      <c r="V143" s="283"/>
      <c r="W143" s="283"/>
      <c r="X143" s="285" t="s">
        <v>300</v>
      </c>
      <c r="Y143" s="285"/>
      <c r="Z143" s="285" t="s">
        <v>300</v>
      </c>
      <c r="AA143" s="285"/>
      <c r="AB143" s="285">
        <v>810</v>
      </c>
      <c r="AC143" s="285"/>
      <c r="AD143" s="285">
        <v>845</v>
      </c>
      <c r="AE143" s="285"/>
      <c r="AF143" s="285">
        <v>895</v>
      </c>
      <c r="AG143" s="285">
        <v>865</v>
      </c>
      <c r="AH143" s="285">
        <v>955</v>
      </c>
      <c r="AI143" s="285">
        <v>950</v>
      </c>
      <c r="AJ143" s="285">
        <v>990</v>
      </c>
      <c r="AK143" s="1047">
        <v>1010</v>
      </c>
      <c r="AL143" s="1047">
        <v>1100</v>
      </c>
      <c r="AM143" s="1047">
        <v>1205</v>
      </c>
      <c r="AN143" s="1047">
        <v>1250</v>
      </c>
      <c r="AO143" s="1047">
        <v>1330</v>
      </c>
      <c r="AP143" s="1047">
        <v>1410</v>
      </c>
      <c r="AQ143" s="1047">
        <v>1380</v>
      </c>
      <c r="AR143" s="1047">
        <v>1400</v>
      </c>
    </row>
    <row r="144" spans="2:44">
      <c r="C144" s="1050" t="s">
        <v>350</v>
      </c>
      <c r="O144" s="283"/>
      <c r="P144" s="283"/>
      <c r="Q144" s="283"/>
      <c r="R144" s="283"/>
      <c r="S144" s="283"/>
      <c r="T144" s="283"/>
      <c r="U144" s="283"/>
      <c r="V144" s="283"/>
      <c r="W144" s="283"/>
      <c r="X144" s="285">
        <v>60</v>
      </c>
      <c r="Y144" s="285"/>
      <c r="Z144" s="285">
        <v>70</v>
      </c>
      <c r="AA144" s="285"/>
      <c r="AB144" s="285">
        <v>75</v>
      </c>
      <c r="AC144" s="285"/>
      <c r="AD144" s="285">
        <v>70</v>
      </c>
      <c r="AE144" s="285"/>
      <c r="AF144" s="285">
        <v>70</v>
      </c>
      <c r="AG144" s="285">
        <v>75</v>
      </c>
      <c r="AH144" s="285">
        <v>70</v>
      </c>
      <c r="AI144" s="285">
        <v>65</v>
      </c>
      <c r="AJ144" s="285">
        <v>65</v>
      </c>
      <c r="AK144" s="285">
        <v>70</v>
      </c>
      <c r="AL144" s="285">
        <v>75</v>
      </c>
      <c r="AM144" s="285">
        <v>70</v>
      </c>
      <c r="AN144" s="285">
        <v>75</v>
      </c>
      <c r="AO144" s="285">
        <v>80</v>
      </c>
      <c r="AP144" s="285">
        <v>80</v>
      </c>
      <c r="AQ144" s="285">
        <v>70</v>
      </c>
      <c r="AR144" s="285">
        <v>75</v>
      </c>
    </row>
    <row r="145" spans="2:44">
      <c r="C145" s="1050" t="s">
        <v>351</v>
      </c>
      <c r="O145" s="283"/>
      <c r="P145" s="283"/>
      <c r="Q145" s="283"/>
      <c r="R145" s="283"/>
      <c r="S145" s="283"/>
      <c r="T145" s="283"/>
      <c r="U145" s="283"/>
      <c r="V145" s="283"/>
      <c r="W145" s="283"/>
      <c r="X145" s="285">
        <v>240</v>
      </c>
      <c r="Y145" s="285"/>
      <c r="Z145" s="285">
        <v>270</v>
      </c>
      <c r="AA145" s="285"/>
      <c r="AB145" s="285">
        <v>295</v>
      </c>
      <c r="AC145" s="285"/>
      <c r="AD145" s="285">
        <v>295</v>
      </c>
      <c r="AE145" s="285"/>
      <c r="AF145" s="285">
        <v>265</v>
      </c>
      <c r="AG145" s="285">
        <v>270</v>
      </c>
      <c r="AH145" s="285">
        <v>285</v>
      </c>
      <c r="AI145" s="285">
        <v>290</v>
      </c>
      <c r="AJ145" s="285">
        <v>290</v>
      </c>
      <c r="AK145" s="1047">
        <v>310</v>
      </c>
      <c r="AL145" s="1047">
        <v>325</v>
      </c>
      <c r="AM145" s="1047">
        <v>310</v>
      </c>
      <c r="AN145" s="1047">
        <v>315</v>
      </c>
      <c r="AO145" s="1047">
        <v>320</v>
      </c>
      <c r="AP145" s="1047">
        <v>330</v>
      </c>
      <c r="AQ145" s="1047">
        <v>285</v>
      </c>
      <c r="AR145" s="1047">
        <v>295</v>
      </c>
    </row>
    <row r="146" spans="2:44">
      <c r="C146" s="1050" t="s">
        <v>352</v>
      </c>
      <c r="O146" s="283"/>
      <c r="P146" s="283"/>
      <c r="Q146" s="283"/>
      <c r="R146" s="283"/>
      <c r="S146" s="283"/>
      <c r="T146" s="283"/>
      <c r="U146" s="283"/>
      <c r="V146" s="283"/>
      <c r="W146" s="283"/>
      <c r="X146" s="285">
        <v>130</v>
      </c>
      <c r="Y146" s="285"/>
      <c r="Z146" s="285">
        <v>135</v>
      </c>
      <c r="AA146" s="285"/>
      <c r="AB146" s="285">
        <v>155</v>
      </c>
      <c r="AC146" s="285"/>
      <c r="AD146" s="285">
        <v>135</v>
      </c>
      <c r="AE146" s="285"/>
      <c r="AF146" s="285">
        <v>135</v>
      </c>
      <c r="AG146" s="285">
        <v>120</v>
      </c>
      <c r="AH146" s="285">
        <v>120</v>
      </c>
      <c r="AI146" s="285">
        <v>135</v>
      </c>
      <c r="AJ146" s="285">
        <v>145</v>
      </c>
      <c r="AK146" s="285">
        <v>150</v>
      </c>
      <c r="AL146" s="1047">
        <v>160</v>
      </c>
      <c r="AM146" s="1047">
        <v>170</v>
      </c>
      <c r="AN146" s="1047">
        <v>185</v>
      </c>
      <c r="AO146" s="1047">
        <v>195</v>
      </c>
      <c r="AP146" s="1047">
        <v>205</v>
      </c>
      <c r="AQ146" s="1047">
        <v>160</v>
      </c>
      <c r="AR146" s="1047">
        <v>180</v>
      </c>
    </row>
    <row r="147" spans="2:44">
      <c r="C147" s="1050" t="s">
        <v>353</v>
      </c>
      <c r="O147" s="283"/>
      <c r="P147" s="283"/>
      <c r="Q147" s="283"/>
      <c r="R147" s="283"/>
      <c r="S147" s="283"/>
      <c r="T147" s="283"/>
      <c r="U147" s="283"/>
      <c r="V147" s="283"/>
      <c r="W147" s="283"/>
      <c r="X147" s="285">
        <v>325</v>
      </c>
      <c r="Y147" s="285"/>
      <c r="Z147" s="285">
        <v>495</v>
      </c>
      <c r="AA147" s="285"/>
      <c r="AB147" s="285">
        <v>665</v>
      </c>
      <c r="AC147" s="285"/>
      <c r="AD147" s="285">
        <v>585</v>
      </c>
      <c r="AE147" s="285"/>
      <c r="AF147" s="285">
        <v>515</v>
      </c>
      <c r="AG147" s="285">
        <v>585</v>
      </c>
      <c r="AH147" s="285">
        <v>585</v>
      </c>
      <c r="AI147" s="285">
        <v>655</v>
      </c>
      <c r="AJ147" s="285">
        <v>725</v>
      </c>
      <c r="AK147" s="1047">
        <v>735</v>
      </c>
      <c r="AL147" s="1047">
        <v>775</v>
      </c>
      <c r="AM147" s="1047">
        <v>840</v>
      </c>
      <c r="AN147" s="1047">
        <v>925</v>
      </c>
      <c r="AO147" s="1047">
        <v>955</v>
      </c>
      <c r="AP147" s="1047">
        <v>1015</v>
      </c>
      <c r="AQ147" s="1047">
        <v>745</v>
      </c>
      <c r="AR147" s="1047">
        <v>840</v>
      </c>
    </row>
    <row r="148" spans="2:44">
      <c r="C148" s="1050" t="s">
        <v>354</v>
      </c>
      <c r="O148" s="283"/>
      <c r="P148" s="283"/>
      <c r="Q148" s="283"/>
      <c r="R148" s="283"/>
      <c r="S148" s="283"/>
      <c r="T148" s="283"/>
      <c r="U148" s="283"/>
      <c r="V148" s="283"/>
      <c r="W148" s="283"/>
      <c r="X148" s="285" t="s">
        <v>300</v>
      </c>
      <c r="Y148" s="285"/>
      <c r="Z148" s="285" t="s">
        <v>300</v>
      </c>
      <c r="AA148" s="285"/>
      <c r="AB148" s="285" t="s">
        <v>300</v>
      </c>
      <c r="AC148" s="285"/>
      <c r="AD148" s="285" t="s">
        <v>300</v>
      </c>
      <c r="AE148" s="285"/>
      <c r="AF148" s="285" t="s">
        <v>318</v>
      </c>
      <c r="AG148" s="285" t="s">
        <v>318</v>
      </c>
      <c r="AH148" s="285" t="s">
        <v>318</v>
      </c>
      <c r="AI148" s="285" t="s">
        <v>318</v>
      </c>
      <c r="AJ148" s="285" t="s">
        <v>318</v>
      </c>
      <c r="AK148" s="285" t="s">
        <v>318</v>
      </c>
      <c r="AL148" s="285" t="s">
        <v>318</v>
      </c>
      <c r="AM148" s="285" t="s">
        <v>318</v>
      </c>
      <c r="AN148" s="285" t="s">
        <v>318</v>
      </c>
      <c r="AO148" s="285" t="s">
        <v>318</v>
      </c>
      <c r="AP148" s="285" t="s">
        <v>318</v>
      </c>
      <c r="AQ148" s="285" t="s">
        <v>318</v>
      </c>
      <c r="AR148" s="285" t="s">
        <v>318</v>
      </c>
    </row>
    <row r="149" spans="2:44">
      <c r="C149" s="1050" t="s">
        <v>355</v>
      </c>
      <c r="O149" s="283"/>
      <c r="P149" s="283"/>
      <c r="Q149" s="283"/>
      <c r="R149" s="283"/>
      <c r="S149" s="283"/>
      <c r="T149" s="283"/>
      <c r="U149" s="283"/>
      <c r="V149" s="283"/>
      <c r="W149" s="283"/>
      <c r="X149" s="285">
        <v>120</v>
      </c>
      <c r="Y149" s="285"/>
      <c r="Z149" s="285">
        <v>160</v>
      </c>
      <c r="AA149" s="285"/>
      <c r="AB149" s="285">
        <v>185</v>
      </c>
      <c r="AC149" s="285"/>
      <c r="AD149" s="285">
        <v>190</v>
      </c>
      <c r="AE149" s="285"/>
      <c r="AF149" s="285">
        <v>290</v>
      </c>
      <c r="AG149" s="285">
        <v>310</v>
      </c>
      <c r="AH149" s="285">
        <v>320</v>
      </c>
      <c r="AI149" s="285">
        <v>330</v>
      </c>
      <c r="AJ149" s="285">
        <v>335</v>
      </c>
      <c r="AK149" s="1047">
        <v>360</v>
      </c>
      <c r="AL149" s="1047">
        <v>400</v>
      </c>
      <c r="AM149" s="1047">
        <v>430</v>
      </c>
      <c r="AN149" s="1047">
        <v>440</v>
      </c>
      <c r="AO149" s="1047">
        <v>460</v>
      </c>
      <c r="AP149" s="1047">
        <v>480</v>
      </c>
      <c r="AQ149" s="1047">
        <v>480</v>
      </c>
      <c r="AR149" s="1047">
        <v>530</v>
      </c>
    </row>
    <row r="150" spans="2:44">
      <c r="C150" s="1050" t="s">
        <v>356</v>
      </c>
      <c r="O150" s="283"/>
      <c r="P150" s="283"/>
      <c r="Q150" s="283"/>
      <c r="R150" s="283"/>
      <c r="S150" s="283"/>
      <c r="T150" s="283"/>
      <c r="U150" s="283"/>
      <c r="V150" s="283"/>
      <c r="W150" s="283"/>
      <c r="X150" s="285">
        <v>430</v>
      </c>
      <c r="Y150" s="285"/>
      <c r="Z150" s="285">
        <v>600</v>
      </c>
      <c r="AA150" s="285"/>
      <c r="AB150" s="285">
        <v>710</v>
      </c>
      <c r="AC150" s="285"/>
      <c r="AD150" s="285">
        <v>720</v>
      </c>
      <c r="AE150" s="285"/>
      <c r="AF150" s="285">
        <v>665</v>
      </c>
      <c r="AG150" s="285">
        <v>695</v>
      </c>
      <c r="AH150" s="285">
        <v>720</v>
      </c>
      <c r="AI150" s="285">
        <v>735</v>
      </c>
      <c r="AJ150" s="285">
        <v>755</v>
      </c>
      <c r="AK150" s="1047">
        <v>785</v>
      </c>
      <c r="AL150" s="1047">
        <v>810</v>
      </c>
      <c r="AM150" s="1047">
        <v>825</v>
      </c>
      <c r="AN150" s="1047">
        <v>850</v>
      </c>
      <c r="AO150" s="1047">
        <v>880</v>
      </c>
      <c r="AP150" s="1047">
        <v>900</v>
      </c>
      <c r="AQ150" s="1047">
        <v>925</v>
      </c>
      <c r="AR150" s="1047">
        <v>980</v>
      </c>
    </row>
    <row r="151" spans="2:44">
      <c r="C151" s="1050" t="s">
        <v>357</v>
      </c>
      <c r="O151" s="283"/>
      <c r="P151" s="283"/>
      <c r="Q151" s="283"/>
      <c r="R151" s="283"/>
      <c r="S151" s="283"/>
      <c r="T151" s="283"/>
      <c r="U151" s="283"/>
      <c r="V151" s="283"/>
      <c r="W151" s="283"/>
      <c r="X151" s="285">
        <v>25</v>
      </c>
      <c r="Y151" s="285"/>
      <c r="Z151" s="285">
        <v>25</v>
      </c>
      <c r="AA151" s="285"/>
      <c r="AB151" s="285">
        <v>25</v>
      </c>
      <c r="AC151" s="285"/>
      <c r="AD151" s="285">
        <v>25</v>
      </c>
      <c r="AE151" s="285"/>
      <c r="AF151" s="285">
        <v>20</v>
      </c>
      <c r="AG151" s="285">
        <v>30</v>
      </c>
      <c r="AH151" s="285">
        <v>30</v>
      </c>
      <c r="AI151" s="285">
        <v>30</v>
      </c>
      <c r="AJ151" s="285">
        <v>30</v>
      </c>
      <c r="AK151" s="285">
        <v>35</v>
      </c>
      <c r="AL151" s="285">
        <v>45</v>
      </c>
      <c r="AM151" s="285">
        <v>45</v>
      </c>
      <c r="AN151" s="285">
        <v>45</v>
      </c>
      <c r="AO151" s="285">
        <v>50</v>
      </c>
      <c r="AP151" s="285">
        <v>50</v>
      </c>
      <c r="AQ151" s="285">
        <v>40</v>
      </c>
      <c r="AR151" s="285">
        <v>50</v>
      </c>
    </row>
    <row r="152" spans="2:44">
      <c r="O152" s="283"/>
      <c r="P152" s="283"/>
      <c r="Q152" s="283"/>
      <c r="R152" s="283"/>
      <c r="S152" s="283"/>
      <c r="T152" s="283"/>
      <c r="U152" s="283"/>
      <c r="V152" s="283"/>
      <c r="W152" s="283"/>
      <c r="X152" s="285"/>
      <c r="Y152" s="285"/>
      <c r="Z152" s="285"/>
      <c r="AA152" s="285"/>
      <c r="AB152" s="285"/>
      <c r="AC152" s="285"/>
      <c r="AD152" s="285"/>
      <c r="AE152" s="285"/>
      <c r="AF152" s="285"/>
      <c r="AG152" s="285"/>
      <c r="AH152" s="1049"/>
      <c r="AI152" s="1049"/>
      <c r="AJ152" s="1049"/>
      <c r="AK152" s="1049"/>
      <c r="AL152" s="1049"/>
      <c r="AM152" s="1049"/>
      <c r="AN152" s="1049"/>
      <c r="AO152" s="1049"/>
      <c r="AP152" s="1049"/>
      <c r="AQ152" s="1049"/>
      <c r="AR152" s="1049"/>
    </row>
    <row r="153" spans="2:44" ht="13.5">
      <c r="B153" s="301" t="s">
        <v>240</v>
      </c>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row>
    <row r="154" spans="2:44">
      <c r="B154" s="294" t="s">
        <v>358</v>
      </c>
      <c r="X154" s="641">
        <v>5390</v>
      </c>
      <c r="Y154" s="641"/>
      <c r="Z154" s="641">
        <v>13980</v>
      </c>
      <c r="AA154" s="641"/>
      <c r="AB154" s="641">
        <v>22535</v>
      </c>
      <c r="AC154" s="641"/>
      <c r="AD154" s="641">
        <v>30765</v>
      </c>
      <c r="AE154" s="641"/>
      <c r="AF154" s="641">
        <v>21030</v>
      </c>
      <c r="AG154" s="641">
        <v>27885</v>
      </c>
      <c r="AH154" s="641">
        <v>28050</v>
      </c>
      <c r="AI154" s="1058">
        <v>33330</v>
      </c>
      <c r="AJ154" s="1058">
        <v>36190</v>
      </c>
      <c r="AK154" s="1058">
        <v>42030</v>
      </c>
      <c r="AL154" s="1058">
        <f>SUM(AL157,AL162,AL167,AL168)</f>
        <v>42230</v>
      </c>
      <c r="AM154" s="1058">
        <f t="shared" ref="AM154:AR154" si="21">SUM(AM157,AM162,AM167,AM168)</f>
        <v>43900</v>
      </c>
      <c r="AN154" s="1058">
        <f t="shared" si="21"/>
        <v>47935</v>
      </c>
      <c r="AO154" s="1058">
        <f t="shared" si="21"/>
        <v>42380</v>
      </c>
      <c r="AP154" s="1058">
        <f t="shared" si="21"/>
        <v>49420</v>
      </c>
      <c r="AQ154" s="1058">
        <f t="shared" si="21"/>
        <v>42490</v>
      </c>
      <c r="AR154" s="1058">
        <f t="shared" si="21"/>
        <v>45945</v>
      </c>
    </row>
    <row r="155" spans="2:44">
      <c r="B155" s="294"/>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row>
    <row r="156" spans="2:44">
      <c r="B156" s="158" t="s">
        <v>359</v>
      </c>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row>
    <row r="157" spans="2:44" ht="15" customHeight="1">
      <c r="B157" s="158">
        <v>1</v>
      </c>
      <c r="C157" s="158" t="s">
        <v>360</v>
      </c>
      <c r="V157" s="305"/>
      <c r="X157" s="285">
        <v>405</v>
      </c>
      <c r="Y157" s="285"/>
      <c r="Z157" s="285">
        <v>430</v>
      </c>
      <c r="AA157" s="285"/>
      <c r="AB157" s="285">
        <v>420</v>
      </c>
      <c r="AC157" s="285"/>
      <c r="AD157" s="285">
        <v>975</v>
      </c>
      <c r="AE157" s="285"/>
      <c r="AF157" s="285">
        <v>965</v>
      </c>
      <c r="AG157" s="1048">
        <v>1010</v>
      </c>
      <c r="AH157" s="1048">
        <v>1035</v>
      </c>
      <c r="AI157" s="1047">
        <v>1060</v>
      </c>
      <c r="AJ157" s="1047">
        <v>1100</v>
      </c>
      <c r="AK157" s="1047">
        <v>1135</v>
      </c>
      <c r="AL157" s="1047">
        <v>1170</v>
      </c>
      <c r="AM157" s="1047">
        <v>1190</v>
      </c>
      <c r="AN157" s="1047">
        <v>1195</v>
      </c>
      <c r="AO157" s="1047">
        <v>1235</v>
      </c>
      <c r="AP157" s="1047">
        <v>1255</v>
      </c>
      <c r="AQ157" s="1047">
        <v>1270</v>
      </c>
      <c r="AR157" s="1047">
        <v>1295</v>
      </c>
    </row>
    <row r="158" spans="2:44" ht="15" customHeight="1">
      <c r="B158" s="158">
        <v>2</v>
      </c>
      <c r="C158" s="158" t="s">
        <v>361</v>
      </c>
      <c r="X158" s="285"/>
      <c r="Y158" s="285"/>
      <c r="Z158" s="285"/>
      <c r="AA158" s="285"/>
      <c r="AB158" s="285"/>
      <c r="AC158" s="285"/>
      <c r="AD158" s="285"/>
      <c r="AE158" s="285"/>
      <c r="AF158" s="285"/>
      <c r="AG158" s="1048"/>
      <c r="AH158" s="1048"/>
      <c r="AI158" s="1048"/>
      <c r="AJ158" s="1048"/>
      <c r="AK158" s="1048"/>
      <c r="AL158" s="1047"/>
      <c r="AM158" s="1047"/>
      <c r="AN158" s="1047"/>
      <c r="AO158" s="1047"/>
      <c r="AP158" s="1047"/>
      <c r="AQ158" s="1047"/>
      <c r="AR158" s="1047"/>
    </row>
    <row r="159" spans="2:44" ht="15" customHeight="1">
      <c r="C159" s="158" t="s">
        <v>362</v>
      </c>
      <c r="X159" s="285">
        <v>6225</v>
      </c>
      <c r="Y159" s="285"/>
      <c r="Z159" s="285">
        <v>6000</v>
      </c>
      <c r="AA159" s="285"/>
      <c r="AB159" s="285">
        <v>6820</v>
      </c>
      <c r="AC159" s="285"/>
      <c r="AD159" s="285">
        <v>7405</v>
      </c>
      <c r="AE159" s="285"/>
      <c r="AF159" s="285">
        <v>7005</v>
      </c>
      <c r="AG159" s="1047">
        <v>7330</v>
      </c>
      <c r="AH159" s="1047">
        <v>7480</v>
      </c>
      <c r="AI159" s="1047">
        <v>7690</v>
      </c>
      <c r="AJ159" s="1047">
        <v>8050</v>
      </c>
      <c r="AK159" s="1047">
        <v>8215</v>
      </c>
      <c r="AL159" s="1047">
        <v>8490</v>
      </c>
      <c r="AM159" s="1047">
        <v>8855</v>
      </c>
      <c r="AN159" s="1047">
        <v>9375</v>
      </c>
      <c r="AO159" s="1047">
        <v>9750</v>
      </c>
      <c r="AP159" s="1047">
        <v>10080</v>
      </c>
      <c r="AQ159" s="1047">
        <v>10055</v>
      </c>
      <c r="AR159" s="1047">
        <v>10390</v>
      </c>
    </row>
    <row r="160" spans="2:44" ht="15" customHeight="1">
      <c r="C160" s="158" t="s">
        <v>363</v>
      </c>
      <c r="X160" s="285">
        <v>1280</v>
      </c>
      <c r="Y160" s="285"/>
      <c r="Z160" s="285">
        <v>3655</v>
      </c>
      <c r="AA160" s="285"/>
      <c r="AB160" s="285">
        <v>6920</v>
      </c>
      <c r="AC160" s="285"/>
      <c r="AD160" s="285">
        <v>9110</v>
      </c>
      <c r="AE160" s="285"/>
      <c r="AF160" s="285">
        <v>4085</v>
      </c>
      <c r="AG160" s="1047">
        <v>7560</v>
      </c>
      <c r="AH160" s="1047">
        <v>7805</v>
      </c>
      <c r="AI160" s="1047">
        <v>10015</v>
      </c>
      <c r="AJ160" s="1047">
        <v>11270</v>
      </c>
      <c r="AK160" s="1047">
        <v>13780</v>
      </c>
      <c r="AL160" s="1047">
        <v>13595</v>
      </c>
      <c r="AM160" s="1047">
        <v>13715</v>
      </c>
      <c r="AN160" s="1047">
        <v>15145</v>
      </c>
      <c r="AO160" s="1047">
        <v>12795</v>
      </c>
      <c r="AP160" s="1047">
        <v>15810</v>
      </c>
      <c r="AQ160" s="1047">
        <v>13525</v>
      </c>
      <c r="AR160" s="1047">
        <v>14940</v>
      </c>
    </row>
    <row r="161" spans="2:51" ht="15" customHeight="1">
      <c r="C161" s="158" t="s">
        <v>364</v>
      </c>
      <c r="X161" s="860">
        <v>-3465</v>
      </c>
      <c r="Y161" s="860"/>
      <c r="Z161" s="860">
        <v>-3670</v>
      </c>
      <c r="AA161" s="860"/>
      <c r="AB161" s="860">
        <v>-4280</v>
      </c>
      <c r="AC161" s="860"/>
      <c r="AD161" s="860">
        <v>-5030</v>
      </c>
      <c r="AE161" s="860"/>
      <c r="AF161" s="860">
        <v>-4375</v>
      </c>
      <c r="AG161" s="1065">
        <v>-4895</v>
      </c>
      <c r="AH161" s="1065">
        <v>-5330</v>
      </c>
      <c r="AI161" s="1065">
        <v>-5380</v>
      </c>
      <c r="AJ161" s="1065">
        <v>-5885</v>
      </c>
      <c r="AK161" s="1065">
        <v>-6415</v>
      </c>
      <c r="AL161" s="1065">
        <v>-6890</v>
      </c>
      <c r="AM161" s="1065">
        <v>-6710</v>
      </c>
      <c r="AN161" s="1065">
        <v>-6965</v>
      </c>
      <c r="AO161" s="1065">
        <v>-7665</v>
      </c>
      <c r="AP161" s="1065">
        <v>-8215</v>
      </c>
      <c r="AQ161" s="1065">
        <v>-8035</v>
      </c>
      <c r="AR161" s="1065">
        <v>-8955</v>
      </c>
    </row>
    <row r="162" spans="2:51" ht="15" customHeight="1">
      <c r="C162" s="158" t="s">
        <v>365</v>
      </c>
      <c r="V162" s="305"/>
      <c r="X162" s="285">
        <v>4040</v>
      </c>
      <c r="Y162" s="285"/>
      <c r="Z162" s="285">
        <v>5985</v>
      </c>
      <c r="AA162" s="285"/>
      <c r="AB162" s="285">
        <v>9460</v>
      </c>
      <c r="AC162" s="285"/>
      <c r="AD162" s="231">
        <v>11485</v>
      </c>
      <c r="AE162" s="285"/>
      <c r="AF162" s="231">
        <v>6715</v>
      </c>
      <c r="AG162" s="1048">
        <v>9995</v>
      </c>
      <c r="AH162" s="1048">
        <v>9955</v>
      </c>
      <c r="AI162" s="1047">
        <v>12325</v>
      </c>
      <c r="AJ162" s="1047">
        <v>13435</v>
      </c>
      <c r="AK162" s="1047">
        <v>15580</v>
      </c>
      <c r="AL162" s="1047">
        <v>15195</v>
      </c>
      <c r="AM162" s="1047">
        <v>15860</v>
      </c>
      <c r="AN162" s="1047">
        <v>17560</v>
      </c>
      <c r="AO162" s="1047">
        <v>14880</v>
      </c>
      <c r="AP162" s="1047">
        <v>17675</v>
      </c>
      <c r="AQ162" s="1047">
        <v>15545</v>
      </c>
      <c r="AR162" s="1047">
        <v>16380</v>
      </c>
    </row>
    <row r="163" spans="2:51" ht="15" customHeight="1">
      <c r="B163" s="158">
        <v>3</v>
      </c>
      <c r="C163" s="158" t="s">
        <v>366</v>
      </c>
      <c r="X163" s="285"/>
      <c r="Y163" s="285"/>
      <c r="Z163" s="285"/>
      <c r="AA163" s="285"/>
      <c r="AB163" s="285"/>
      <c r="AC163" s="285"/>
      <c r="AD163" s="285"/>
      <c r="AE163" s="285"/>
      <c r="AF163" s="285"/>
      <c r="AG163" s="1048"/>
      <c r="AH163" s="1048"/>
      <c r="AI163" s="1048"/>
      <c r="AJ163" s="1048"/>
      <c r="AK163" s="1048"/>
      <c r="AL163" s="1047"/>
      <c r="AM163" s="1047"/>
      <c r="AN163" s="1047"/>
      <c r="AO163" s="1047"/>
      <c r="AP163" s="1047"/>
      <c r="AQ163" s="1047"/>
      <c r="AR163" s="1047"/>
    </row>
    <row r="164" spans="2:51" ht="15" customHeight="1">
      <c r="C164" s="158" t="s">
        <v>362</v>
      </c>
      <c r="X164" s="285">
        <v>4575</v>
      </c>
      <c r="Y164" s="285"/>
      <c r="Z164" s="285">
        <v>6615</v>
      </c>
      <c r="AA164" s="285"/>
      <c r="AB164" s="285">
        <v>8355</v>
      </c>
      <c r="AC164" s="285"/>
      <c r="AD164" s="285">
        <v>9430</v>
      </c>
      <c r="AE164" s="285"/>
      <c r="AF164" s="285">
        <v>11945</v>
      </c>
      <c r="AG164" s="1047">
        <v>12235</v>
      </c>
      <c r="AH164" s="1047">
        <v>12465</v>
      </c>
      <c r="AI164" s="1047">
        <v>13520</v>
      </c>
      <c r="AJ164" s="1047">
        <v>14180</v>
      </c>
      <c r="AK164" s="1047">
        <v>15160</v>
      </c>
      <c r="AL164" s="1047">
        <v>15110</v>
      </c>
      <c r="AM164" s="1047">
        <v>15595</v>
      </c>
      <c r="AN164" s="1047">
        <v>16125</v>
      </c>
      <c r="AO164" s="1047">
        <v>16460</v>
      </c>
      <c r="AP164" s="1047">
        <v>16405</v>
      </c>
      <c r="AQ164" s="1047">
        <v>16490</v>
      </c>
      <c r="AR164" s="1047">
        <v>16855</v>
      </c>
    </row>
    <row r="165" spans="2:51" ht="15" customHeight="1">
      <c r="C165" s="158" t="s">
        <v>363</v>
      </c>
      <c r="X165" s="285">
        <v>2785</v>
      </c>
      <c r="Y165" s="285"/>
      <c r="Z165" s="285">
        <v>7525</v>
      </c>
      <c r="AA165" s="285"/>
      <c r="AB165" s="285">
        <v>11580</v>
      </c>
      <c r="AC165" s="285"/>
      <c r="AD165" s="285">
        <v>14825</v>
      </c>
      <c r="AE165" s="285"/>
      <c r="AF165" s="285">
        <v>7145</v>
      </c>
      <c r="AG165" s="1047">
        <v>11035</v>
      </c>
      <c r="AH165" s="1047">
        <v>11290</v>
      </c>
      <c r="AI165" s="1047">
        <v>13780</v>
      </c>
      <c r="AJ165" s="1047">
        <v>15835</v>
      </c>
      <c r="AK165" s="1047">
        <v>19100</v>
      </c>
      <c r="AL165" s="1047">
        <v>19370</v>
      </c>
      <c r="AM165" s="1047">
        <v>20725</v>
      </c>
      <c r="AN165" s="1047">
        <v>23345</v>
      </c>
      <c r="AO165" s="1047">
        <v>20235</v>
      </c>
      <c r="AP165" s="1047">
        <v>24660</v>
      </c>
      <c r="AQ165" s="1047">
        <v>20775</v>
      </c>
      <c r="AR165" s="1047">
        <v>23875</v>
      </c>
    </row>
    <row r="166" spans="2:51" ht="15" customHeight="1">
      <c r="C166" s="158" t="s">
        <v>367</v>
      </c>
      <c r="X166" s="860">
        <v>-6415</v>
      </c>
      <c r="Y166" s="860"/>
      <c r="Z166" s="860">
        <v>-6575</v>
      </c>
      <c r="AA166" s="860"/>
      <c r="AB166" s="860">
        <v>-7280</v>
      </c>
      <c r="AC166" s="860"/>
      <c r="AD166" s="860">
        <v>-6790</v>
      </c>
      <c r="AE166" s="860"/>
      <c r="AF166" s="860">
        <v>-6605</v>
      </c>
      <c r="AG166" s="1065">
        <v>-7285</v>
      </c>
      <c r="AH166" s="1065">
        <v>-7670</v>
      </c>
      <c r="AI166" s="1065">
        <v>-8390</v>
      </c>
      <c r="AJ166" s="1065">
        <v>-9425</v>
      </c>
      <c r="AK166" s="1065">
        <v>-10090</v>
      </c>
      <c r="AL166" s="1065">
        <v>-9780</v>
      </c>
      <c r="AM166" s="1065">
        <v>-10605</v>
      </c>
      <c r="AN166" s="1065">
        <v>-11580</v>
      </c>
      <c r="AO166" s="1065">
        <v>-11815</v>
      </c>
      <c r="AP166" s="1065">
        <v>-11985</v>
      </c>
      <c r="AQ166" s="1065">
        <v>-13085</v>
      </c>
      <c r="AR166" s="1065">
        <v>-14090</v>
      </c>
    </row>
    <row r="167" spans="2:51" ht="12.75" customHeight="1">
      <c r="C167" s="158" t="s">
        <v>365</v>
      </c>
      <c r="V167" s="305"/>
      <c r="X167" s="285">
        <v>945</v>
      </c>
      <c r="Y167" s="285"/>
      <c r="Z167" s="285">
        <v>7565</v>
      </c>
      <c r="AA167" s="285"/>
      <c r="AB167" s="285">
        <v>12655</v>
      </c>
      <c r="AC167" s="285"/>
      <c r="AD167" s="285">
        <v>17465</v>
      </c>
      <c r="AE167" s="285"/>
      <c r="AF167" s="285">
        <v>12485</v>
      </c>
      <c r="AG167" s="1048">
        <v>15985</v>
      </c>
      <c r="AH167" s="1048">
        <v>16085</v>
      </c>
      <c r="AI167" s="1047">
        <v>18910</v>
      </c>
      <c r="AJ167" s="1047">
        <v>20590</v>
      </c>
      <c r="AK167" s="1047">
        <v>24170</v>
      </c>
      <c r="AL167" s="1047">
        <v>24700</v>
      </c>
      <c r="AM167" s="1047">
        <v>25715</v>
      </c>
      <c r="AN167" s="1047">
        <v>27890</v>
      </c>
      <c r="AO167" s="1047">
        <v>24885</v>
      </c>
      <c r="AP167" s="1047">
        <v>29075</v>
      </c>
      <c r="AQ167" s="1047">
        <v>24180</v>
      </c>
      <c r="AR167" s="1047">
        <v>26645</v>
      </c>
    </row>
    <row r="168" spans="2:51" ht="15" customHeight="1">
      <c r="B168" s="158">
        <v>4</v>
      </c>
      <c r="C168" s="158" t="s">
        <v>368</v>
      </c>
      <c r="V168" s="305"/>
      <c r="X168" s="285" t="s">
        <v>269</v>
      </c>
      <c r="Y168" s="285"/>
      <c r="Z168" s="285" t="s">
        <v>269</v>
      </c>
      <c r="AA168" s="285"/>
      <c r="AB168" s="285" t="s">
        <v>269</v>
      </c>
      <c r="AC168" s="285"/>
      <c r="AD168" s="285">
        <v>840</v>
      </c>
      <c r="AE168" s="285"/>
      <c r="AF168" s="285">
        <v>865</v>
      </c>
      <c r="AG168" s="1048">
        <v>895</v>
      </c>
      <c r="AH168" s="1048">
        <v>975</v>
      </c>
      <c r="AI168" s="1062">
        <v>1035</v>
      </c>
      <c r="AJ168" s="1062">
        <v>1065</v>
      </c>
      <c r="AK168" s="1062">
        <v>1145</v>
      </c>
      <c r="AL168" s="1047">
        <v>1165</v>
      </c>
      <c r="AM168" s="1047">
        <v>1135</v>
      </c>
      <c r="AN168" s="1047">
        <v>1290</v>
      </c>
      <c r="AO168" s="1047">
        <v>1380</v>
      </c>
      <c r="AP168" s="1047">
        <v>1415</v>
      </c>
      <c r="AQ168" s="1047">
        <v>1495</v>
      </c>
      <c r="AR168" s="1047">
        <v>1625</v>
      </c>
    </row>
    <row r="169" spans="2:51" ht="15" customHeight="1">
      <c r="D169" s="1030"/>
      <c r="X169" s="1045"/>
      <c r="Y169" s="1045"/>
      <c r="Z169" s="1045"/>
      <c r="AA169" s="1045"/>
      <c r="AB169" s="1045"/>
      <c r="AC169" s="1045"/>
      <c r="AD169" s="1045"/>
      <c r="AE169" s="1045"/>
      <c r="AF169" s="1045"/>
      <c r="AG169" s="747"/>
      <c r="AH169" s="747"/>
    </row>
    <row r="170" spans="2:51" ht="15" customHeight="1">
      <c r="B170" s="1066" t="s">
        <v>369</v>
      </c>
      <c r="D170" s="1030"/>
      <c r="X170" s="1045"/>
      <c r="Y170" s="1045"/>
      <c r="Z170" s="1045"/>
      <c r="AA170" s="1045"/>
      <c r="AB170" s="1045"/>
      <c r="AC170" s="1045"/>
      <c r="AD170" s="1045"/>
      <c r="AE170" s="1045"/>
      <c r="AF170" s="1045"/>
      <c r="AG170" s="747"/>
      <c r="AH170" s="747"/>
    </row>
    <row r="171" spans="2:51">
      <c r="B171" s="1067" t="s">
        <v>370</v>
      </c>
      <c r="C171" s="1068"/>
      <c r="D171" s="1030"/>
      <c r="X171" s="1045">
        <v>5670</v>
      </c>
      <c r="Y171" s="1045"/>
      <c r="Z171" s="1045">
        <v>6820</v>
      </c>
      <c r="AA171" s="1045"/>
      <c r="AB171" s="1045">
        <v>8340</v>
      </c>
      <c r="AC171" s="1045"/>
      <c r="AD171" s="1045">
        <v>9395</v>
      </c>
      <c r="AE171" s="1045"/>
      <c r="AF171" s="1045"/>
      <c r="AG171" s="747"/>
      <c r="AH171" s="747"/>
      <c r="AS171" s="760"/>
      <c r="AT171" s="760"/>
      <c r="AU171" s="760"/>
      <c r="AV171" s="760"/>
      <c r="AW171" s="760"/>
      <c r="AX171" s="760"/>
      <c r="AY171" s="760"/>
    </row>
    <row r="172" spans="2:51" ht="15">
      <c r="B172" s="1926" t="s">
        <v>371</v>
      </c>
      <c r="C172" s="1926"/>
      <c r="D172" s="1926"/>
      <c r="E172" s="1926"/>
      <c r="F172" s="1926"/>
      <c r="G172" s="1926"/>
      <c r="H172" s="1926"/>
      <c r="I172" s="1926"/>
      <c r="J172" s="1926"/>
      <c r="K172" s="1926"/>
      <c r="L172" s="1926"/>
      <c r="M172" s="1926"/>
      <c r="N172" s="1926"/>
      <c r="O172" s="1926"/>
      <c r="P172" s="1926"/>
      <c r="Q172" s="1926"/>
      <c r="R172" s="1926"/>
      <c r="S172" s="1926"/>
      <c r="T172" s="1926"/>
      <c r="U172" s="1926"/>
      <c r="V172" s="1926"/>
      <c r="W172" s="1926"/>
      <c r="X172" s="1926"/>
      <c r="Y172" s="1926"/>
      <c r="Z172" s="1926"/>
      <c r="AA172" s="1927"/>
      <c r="AB172" s="1927"/>
      <c r="AC172" s="1927"/>
      <c r="AD172" s="1927"/>
      <c r="AE172" s="1927"/>
      <c r="AF172" s="1927"/>
    </row>
    <row r="173" spans="2:51">
      <c r="B173" s="1069"/>
      <c r="C173" s="1069"/>
      <c r="D173" s="1069"/>
      <c r="E173" s="1069"/>
      <c r="F173" s="1069"/>
      <c r="G173" s="1069"/>
      <c r="H173" s="1069"/>
      <c r="I173" s="1069"/>
      <c r="J173" s="1069"/>
      <c r="K173" s="1069"/>
      <c r="L173" s="1069"/>
      <c r="M173" s="1069"/>
      <c r="N173" s="1069"/>
      <c r="O173" s="1069"/>
      <c r="P173" s="1069"/>
      <c r="Q173" s="1069"/>
      <c r="R173" s="1069"/>
      <c r="S173" s="1069"/>
      <c r="T173" s="1069"/>
      <c r="U173" s="1069"/>
      <c r="V173" s="1069"/>
      <c r="W173" s="1069"/>
      <c r="X173" s="1070"/>
      <c r="Y173" s="1070"/>
      <c r="Z173" s="1071"/>
      <c r="AA173" s="1070"/>
      <c r="AB173" s="1070"/>
      <c r="AC173" s="1070"/>
      <c r="AD173" s="1071"/>
      <c r="AE173" s="1070"/>
      <c r="AF173" s="1071"/>
      <c r="AG173" s="750"/>
      <c r="AH173" s="750"/>
      <c r="AI173" s="750"/>
      <c r="AJ173" s="750"/>
      <c r="AK173" s="750"/>
      <c r="AL173" s="750"/>
      <c r="AM173" s="750"/>
      <c r="AN173" s="750"/>
      <c r="AO173" s="750"/>
      <c r="AP173" s="750"/>
      <c r="AQ173" s="750"/>
      <c r="AR173" s="750"/>
    </row>
    <row r="174" spans="2:51">
      <c r="D174" s="1030"/>
      <c r="AP174" s="305"/>
    </row>
    <row r="175" spans="2:51">
      <c r="B175" s="158" t="s">
        <v>1704</v>
      </c>
      <c r="D175" s="1030"/>
    </row>
    <row r="176" spans="2:51">
      <c r="D176" s="1030"/>
    </row>
    <row r="177" spans="2:41">
      <c r="B177" s="1072" t="s">
        <v>372</v>
      </c>
      <c r="D177" s="830"/>
      <c r="E177" s="830"/>
      <c r="F177" s="830"/>
      <c r="G177" s="830"/>
      <c r="H177" s="830"/>
      <c r="I177" s="830"/>
      <c r="J177" s="830"/>
      <c r="K177" s="830"/>
      <c r="L177" s="830"/>
      <c r="M177" s="830"/>
      <c r="N177" s="830"/>
      <c r="O177" s="830"/>
      <c r="P177" s="830"/>
      <c r="Q177" s="830"/>
      <c r="R177" s="830"/>
      <c r="S177" s="830"/>
      <c r="T177" s="830"/>
      <c r="U177" s="830"/>
      <c r="V177" s="830"/>
      <c r="W177" s="830"/>
      <c r="X177" s="1073"/>
      <c r="Y177" s="1073"/>
      <c r="Z177" s="1074"/>
      <c r="AA177" s="1073"/>
      <c r="AB177" s="1073"/>
      <c r="AC177" s="1073"/>
      <c r="AD177" s="1074"/>
      <c r="AE177" s="1073"/>
      <c r="AF177" s="1074"/>
    </row>
    <row r="178" spans="2:41">
      <c r="B178" s="158" t="s">
        <v>373</v>
      </c>
    </row>
    <row r="179" spans="2:41">
      <c r="B179" s="1075" t="s">
        <v>1705</v>
      </c>
      <c r="C179" s="830"/>
    </row>
    <row r="181" spans="2:41">
      <c r="V181" s="283"/>
      <c r="W181" s="283">
        <v>1</v>
      </c>
      <c r="X181" s="1076"/>
      <c r="Y181" s="1076"/>
      <c r="Z181" s="1076"/>
      <c r="AA181" s="1076"/>
      <c r="AB181" s="1076"/>
      <c r="AC181" s="1076"/>
      <c r="AD181" s="1076"/>
      <c r="AE181" s="1076"/>
      <c r="AF181" s="1076"/>
      <c r="AG181" s="1076"/>
      <c r="AI181" s="1076"/>
      <c r="AJ181" s="1077"/>
      <c r="AK181" s="1077"/>
      <c r="AL181" s="1077"/>
      <c r="AM181" s="1077"/>
      <c r="AN181" s="1077"/>
      <c r="AO181" s="1077"/>
    </row>
    <row r="182" spans="2:41">
      <c r="B182" s="158" t="s">
        <v>374</v>
      </c>
      <c r="V182" s="283"/>
      <c r="W182" s="283">
        <v>1</v>
      </c>
      <c r="X182" s="1076"/>
      <c r="Y182" s="1076"/>
      <c r="Z182" s="1076"/>
      <c r="AA182" s="1076"/>
      <c r="AB182" s="1076"/>
      <c r="AC182" s="1076"/>
      <c r="AD182" s="1076"/>
      <c r="AE182" s="1076"/>
      <c r="AF182" s="1076"/>
      <c r="AG182" s="1076"/>
      <c r="AI182" s="1076"/>
      <c r="AJ182" s="1077"/>
      <c r="AK182" s="1077"/>
      <c r="AL182" s="1077"/>
      <c r="AM182" s="1077"/>
      <c r="AN182" s="1077"/>
      <c r="AO182" s="1077"/>
    </row>
    <row r="183" spans="2:41">
      <c r="B183" s="158" t="s">
        <v>375</v>
      </c>
      <c r="C183" s="158" t="s">
        <v>376</v>
      </c>
      <c r="V183" s="283"/>
      <c r="W183" s="283"/>
      <c r="X183" s="1025"/>
      <c r="Y183" s="1025"/>
      <c r="Z183" s="1025"/>
      <c r="AA183" s="1025"/>
      <c r="AB183" s="1025"/>
      <c r="AC183" s="1025"/>
      <c r="AD183" s="1025"/>
      <c r="AE183" s="1025"/>
      <c r="AF183" s="1025"/>
      <c r="AG183" s="1025"/>
    </row>
    <row r="184" spans="2:41">
      <c r="B184" s="158" t="s">
        <v>375</v>
      </c>
      <c r="C184" s="158" t="s">
        <v>377</v>
      </c>
    </row>
    <row r="185" spans="2:41">
      <c r="B185" s="158" t="s">
        <v>378</v>
      </c>
      <c r="C185" s="158" t="s">
        <v>379</v>
      </c>
    </row>
    <row r="187" spans="2:41">
      <c r="O187" s="1044"/>
      <c r="P187" s="1044"/>
      <c r="Q187" s="1044"/>
      <c r="R187" s="1044"/>
      <c r="S187" s="1044"/>
      <c r="T187" s="1044"/>
      <c r="U187" s="1044"/>
      <c r="V187" s="1044"/>
      <c r="W187" s="1044"/>
      <c r="X187" s="747"/>
      <c r="Y187" s="747"/>
      <c r="Z187" s="747"/>
      <c r="AA187" s="747"/>
      <c r="AB187" s="747"/>
      <c r="AC187" s="747"/>
      <c r="AD187" s="747"/>
      <c r="AE187" s="747"/>
      <c r="AF187" s="747"/>
    </row>
    <row r="188" spans="2:41">
      <c r="B188" s="158" t="s">
        <v>380</v>
      </c>
      <c r="O188" s="1044"/>
      <c r="P188" s="1044"/>
      <c r="Q188" s="1044"/>
      <c r="R188" s="1044"/>
      <c r="S188" s="1044"/>
      <c r="T188" s="1044"/>
      <c r="U188" s="1044"/>
      <c r="V188" s="1044"/>
      <c r="W188" s="1044"/>
      <c r="X188" s="747"/>
      <c r="Y188" s="747"/>
      <c r="Z188" s="747"/>
      <c r="AA188" s="747"/>
      <c r="AB188" s="747"/>
      <c r="AC188" s="747"/>
      <c r="AD188" s="747"/>
      <c r="AE188" s="747"/>
      <c r="AF188" s="747"/>
    </row>
    <row r="189" spans="2:41">
      <c r="B189" s="217"/>
      <c r="C189" s="158" t="s">
        <v>381</v>
      </c>
      <c r="O189" s="1044"/>
      <c r="P189" s="1044"/>
      <c r="Q189" s="1044"/>
      <c r="R189" s="1044"/>
      <c r="S189" s="1044"/>
      <c r="T189" s="1044"/>
      <c r="U189" s="1044"/>
      <c r="V189" s="1044"/>
      <c r="W189" s="1044"/>
      <c r="X189" s="747"/>
      <c r="Y189" s="747"/>
      <c r="Z189" s="747"/>
      <c r="AA189" s="747"/>
      <c r="AB189" s="747"/>
      <c r="AC189" s="747"/>
      <c r="AD189" s="747"/>
      <c r="AE189" s="747"/>
      <c r="AF189" s="747"/>
    </row>
    <row r="190" spans="2:41">
      <c r="B190" s="217"/>
      <c r="C190" s="158" t="s">
        <v>382</v>
      </c>
      <c r="O190" s="1044"/>
      <c r="P190" s="1044"/>
      <c r="Q190" s="1044"/>
      <c r="R190" s="1044"/>
      <c r="S190" s="1044"/>
      <c r="T190" s="1044"/>
      <c r="U190" s="1044"/>
      <c r="V190" s="1044"/>
      <c r="W190" s="1044"/>
      <c r="X190" s="747"/>
      <c r="Y190" s="747"/>
      <c r="Z190" s="747"/>
      <c r="AA190" s="747"/>
      <c r="AB190" s="747"/>
      <c r="AC190" s="747"/>
      <c r="AD190" s="747"/>
      <c r="AE190" s="747"/>
      <c r="AF190" s="747"/>
    </row>
    <row r="191" spans="2:41">
      <c r="B191" s="217"/>
      <c r="O191" s="1044"/>
      <c r="P191" s="1044"/>
      <c r="Q191" s="1044"/>
      <c r="R191" s="1044"/>
      <c r="S191" s="1044"/>
      <c r="T191" s="1044"/>
      <c r="U191" s="1044"/>
      <c r="V191" s="1044"/>
      <c r="W191" s="1044"/>
      <c r="X191" s="747"/>
      <c r="Y191" s="747"/>
      <c r="Z191" s="747"/>
      <c r="AA191" s="747"/>
      <c r="AB191" s="747"/>
      <c r="AC191" s="747"/>
      <c r="AD191" s="747"/>
      <c r="AE191" s="747"/>
      <c r="AF191" s="747"/>
    </row>
    <row r="192" spans="2:41">
      <c r="B192" s="217"/>
    </row>
    <row r="193" spans="2:32">
      <c r="B193" s="217"/>
      <c r="O193" s="283"/>
      <c r="P193" s="283"/>
      <c r="Q193" s="283"/>
      <c r="R193" s="283"/>
      <c r="S193" s="283"/>
      <c r="T193" s="283"/>
      <c r="U193" s="283"/>
      <c r="V193" s="283"/>
      <c r="W193" s="283"/>
      <c r="X193" s="747"/>
      <c r="Y193" s="747"/>
      <c r="Z193" s="747"/>
      <c r="AA193" s="747"/>
      <c r="AB193" s="747"/>
      <c r="AC193" s="747"/>
      <c r="AD193" s="747"/>
      <c r="AE193" s="747"/>
      <c r="AF193" s="747"/>
    </row>
    <row r="194" spans="2:32">
      <c r="B194" s="158" t="s">
        <v>383</v>
      </c>
      <c r="X194" s="1078"/>
      <c r="Y194" s="1078"/>
      <c r="Z194" s="1078"/>
      <c r="AA194" s="1078"/>
      <c r="AB194" s="1078"/>
      <c r="AC194" s="1078"/>
      <c r="AD194" s="1078"/>
      <c r="AE194" s="1078"/>
      <c r="AF194" s="1078"/>
    </row>
    <row r="195" spans="2:32">
      <c r="C195" s="158" t="s">
        <v>384</v>
      </c>
      <c r="O195" s="283"/>
      <c r="P195" s="283"/>
      <c r="Q195" s="283"/>
      <c r="R195" s="283" t="s">
        <v>387</v>
      </c>
      <c r="S195" s="283"/>
      <c r="T195" s="283" t="s">
        <v>387</v>
      </c>
      <c r="U195" s="283"/>
      <c r="V195" s="283">
        <v>255</v>
      </c>
      <c r="W195" s="283"/>
      <c r="X195" s="747"/>
      <c r="Y195" s="747"/>
      <c r="Z195" s="747"/>
      <c r="AA195" s="747"/>
      <c r="AB195" s="747"/>
      <c r="AC195" s="747"/>
      <c r="AD195" s="747"/>
      <c r="AE195" s="747"/>
      <c r="AF195" s="747"/>
    </row>
    <row r="196" spans="2:32">
      <c r="C196" s="158" t="s">
        <v>385</v>
      </c>
    </row>
    <row r="197" spans="2:32">
      <c r="C197" s="158" t="s">
        <v>386</v>
      </c>
    </row>
  </sheetData>
  <mergeCells count="4">
    <mergeCell ref="B172:AF172"/>
    <mergeCell ref="B87:AF87"/>
    <mergeCell ref="B15:AR15"/>
    <mergeCell ref="B47:AR47"/>
  </mergeCells>
  <pageMargins left="0.70866141732283472" right="0.70866141732283472" top="0.74803149606299213" bottom="0.74803149606299213" header="0.31496062992125984" footer="0.31496062992125984"/>
  <pageSetup paperSize="9" scale="45" fitToHeight="2"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S137"/>
  <sheetViews>
    <sheetView topLeftCell="B15" zoomScale="70" zoomScaleNormal="70" workbookViewId="0">
      <selection activeCell="A15" sqref="A15:AQ128"/>
    </sheetView>
  </sheetViews>
  <sheetFormatPr defaultColWidth="7.109375" defaultRowHeight="12.75" outlineLevelRow="1"/>
  <cols>
    <col min="1" max="1" width="1.88671875" style="369" hidden="1" customWidth="1"/>
    <col min="2" max="2" width="5.33203125" style="369" customWidth="1"/>
    <col min="3" max="3" width="61.5546875" style="369" bestFit="1" customWidth="1"/>
    <col min="4" max="15" width="1.77734375" style="369" hidden="1" customWidth="1"/>
    <col min="16" max="18" width="5.33203125" style="369" hidden="1" customWidth="1"/>
    <col min="19" max="19" width="5" style="369" hidden="1" customWidth="1"/>
    <col min="20" max="22" width="6.33203125" style="369" hidden="1" customWidth="1"/>
    <col min="23" max="23" width="7.109375" style="369" hidden="1" customWidth="1"/>
    <col min="24" max="24" width="7.109375" style="1079" customWidth="1"/>
    <col min="25" max="25" width="3.77734375" style="1079" hidden="1" customWidth="1"/>
    <col min="26" max="26" width="7.109375" style="1079" customWidth="1"/>
    <col min="27" max="27" width="3.77734375" style="1079" hidden="1" customWidth="1"/>
    <col min="28" max="28" width="6.6640625" style="1079" bestFit="1" customWidth="1"/>
    <col min="29" max="29" width="3.77734375" style="1079" hidden="1" customWidth="1"/>
    <col min="30" max="30" width="10" style="1079" customWidth="1"/>
    <col min="31" max="31" width="2.5546875" style="369" hidden="1" customWidth="1"/>
    <col min="32" max="40" width="9.33203125" style="1079" customWidth="1"/>
    <col min="41" max="43" width="9.33203125" style="369" customWidth="1"/>
    <col min="44" max="47" width="0" style="369" hidden="1" customWidth="1"/>
    <col min="48" max="16384" width="7.109375" style="369"/>
  </cols>
  <sheetData>
    <row r="1" spans="1:44" hidden="1" outlineLevel="1">
      <c r="B1" s="369" t="s">
        <v>1218</v>
      </c>
    </row>
    <row r="2" spans="1:44" hidden="1" outlineLevel="1"/>
    <row r="3" spans="1:44" hidden="1" outlineLevel="1"/>
    <row r="4" spans="1:44" hidden="1" outlineLevel="1">
      <c r="B4" s="1080" t="s">
        <v>1219</v>
      </c>
      <c r="C4" s="1080"/>
      <c r="P4" s="1081">
        <v>1993</v>
      </c>
      <c r="Q4" s="1081">
        <v>1994</v>
      </c>
      <c r="R4" s="1081">
        <v>1995</v>
      </c>
      <c r="S4" s="1081">
        <v>1996</v>
      </c>
      <c r="T4" s="1081">
        <v>1997</v>
      </c>
      <c r="U4" s="1081">
        <v>1998</v>
      </c>
      <c r="V4" s="1081">
        <v>1999</v>
      </c>
      <c r="W4" s="1081">
        <v>2000</v>
      </c>
      <c r="X4" s="1082">
        <v>2001</v>
      </c>
      <c r="Y4" s="1082"/>
      <c r="Z4" s="1082">
        <v>2003</v>
      </c>
      <c r="AA4" s="1082"/>
      <c r="AB4" s="1082">
        <v>2005</v>
      </c>
      <c r="AC4" s="1082"/>
      <c r="AD4" s="1082">
        <v>2007</v>
      </c>
      <c r="AE4" s="1083"/>
      <c r="AF4" s="1082">
        <v>2009</v>
      </c>
      <c r="AG4" s="1082">
        <v>2010</v>
      </c>
      <c r="AH4" s="1082">
        <v>2011</v>
      </c>
      <c r="AI4" s="1082">
        <v>2012</v>
      </c>
      <c r="AJ4" s="1082">
        <v>2013</v>
      </c>
      <c r="AK4" s="1082">
        <v>2014</v>
      </c>
      <c r="AL4" s="1082">
        <v>2015</v>
      </c>
      <c r="AM4" s="1082">
        <v>2016</v>
      </c>
      <c r="AN4" s="1082">
        <v>2017</v>
      </c>
      <c r="AO4" s="1082">
        <v>2018</v>
      </c>
      <c r="AP4" s="1082">
        <v>2019</v>
      </c>
      <c r="AQ4" s="1082">
        <v>2020</v>
      </c>
    </row>
    <row r="5" spans="1:44" hidden="1" outlineLevel="1">
      <c r="AO5" s="1079"/>
      <c r="AP5" s="1079"/>
      <c r="AQ5" s="1079"/>
    </row>
    <row r="6" spans="1:44" hidden="1" outlineLevel="1">
      <c r="A6" s="369" t="s">
        <v>2</v>
      </c>
      <c r="B6" s="369" t="s">
        <v>3</v>
      </c>
      <c r="P6" s="1084">
        <f t="shared" ref="P6:U6" si="0">P94</f>
        <v>0</v>
      </c>
      <c r="Q6" s="1084">
        <f t="shared" si="0"/>
        <v>0</v>
      </c>
      <c r="R6" s="1084">
        <f t="shared" si="0"/>
        <v>0</v>
      </c>
      <c r="S6" s="1084">
        <f t="shared" si="0"/>
        <v>0</v>
      </c>
      <c r="T6" s="1084">
        <f t="shared" si="0"/>
        <v>0</v>
      </c>
      <c r="U6" s="1084">
        <f t="shared" si="0"/>
        <v>0</v>
      </c>
      <c r="V6" s="1084">
        <f>V94</f>
        <v>0</v>
      </c>
      <c r="W6" s="1084"/>
      <c r="X6" s="1085">
        <f>X94</f>
        <v>0</v>
      </c>
      <c r="Y6" s="1085"/>
      <c r="Z6" s="1085">
        <f>Z94</f>
        <v>0</v>
      </c>
      <c r="AA6" s="1085"/>
      <c r="AB6" s="1085">
        <f>AB94</f>
        <v>0</v>
      </c>
      <c r="AC6" s="1085"/>
      <c r="AD6" s="1085">
        <f>AD94</f>
        <v>2740</v>
      </c>
      <c r="AE6" s="1086"/>
      <c r="AF6" s="1085">
        <f t="shared" ref="AF6:AL6" si="1">AF94</f>
        <v>2200</v>
      </c>
      <c r="AG6" s="1085">
        <f t="shared" si="1"/>
        <v>2280</v>
      </c>
      <c r="AH6" s="1085">
        <f t="shared" si="1"/>
        <v>2240</v>
      </c>
      <c r="AI6" s="1085">
        <f t="shared" si="1"/>
        <v>3060</v>
      </c>
      <c r="AJ6" s="1085">
        <f t="shared" si="1"/>
        <v>2990</v>
      </c>
      <c r="AK6" s="1085">
        <f t="shared" si="1"/>
        <v>3080</v>
      </c>
      <c r="AL6" s="1085">
        <f t="shared" si="1"/>
        <v>3200</v>
      </c>
      <c r="AM6" s="1085">
        <f>AM94</f>
        <v>3180</v>
      </c>
      <c r="AN6" s="1085">
        <f>AN94</f>
        <v>3350</v>
      </c>
      <c r="AO6" s="1085">
        <f>AO94</f>
        <v>3510</v>
      </c>
      <c r="AP6" s="1085">
        <f>AP94</f>
        <v>3560</v>
      </c>
      <c r="AQ6" s="1085"/>
    </row>
    <row r="7" spans="1:44" hidden="1" outlineLevel="1">
      <c r="A7" s="369" t="s">
        <v>4</v>
      </c>
      <c r="B7" s="369" t="s">
        <v>5</v>
      </c>
      <c r="P7" s="1084">
        <f t="shared" ref="P7:U7" si="2">P107</f>
        <v>0</v>
      </c>
      <c r="Q7" s="1084">
        <f t="shared" si="2"/>
        <v>0</v>
      </c>
      <c r="R7" s="1084">
        <f t="shared" si="2"/>
        <v>0</v>
      </c>
      <c r="S7" s="1084">
        <f t="shared" si="2"/>
        <v>0</v>
      </c>
      <c r="T7" s="1084">
        <f t="shared" si="2"/>
        <v>0</v>
      </c>
      <c r="U7" s="1084">
        <f t="shared" si="2"/>
        <v>0</v>
      </c>
      <c r="V7" s="1084">
        <f>V107</f>
        <v>0</v>
      </c>
      <c r="W7" s="1084"/>
      <c r="X7" s="1085">
        <f>X107</f>
        <v>0</v>
      </c>
      <c r="Y7" s="1085"/>
      <c r="Z7" s="1085">
        <f>Z107</f>
        <v>0</v>
      </c>
      <c r="AA7" s="1085"/>
      <c r="AB7" s="1085">
        <f>AB107</f>
        <v>0</v>
      </c>
      <c r="AC7" s="1085"/>
      <c r="AD7" s="1085">
        <f>AD107</f>
        <v>224</v>
      </c>
      <c r="AE7" s="1085"/>
      <c r="AF7" s="1085">
        <f t="shared" ref="AF7:AL7" si="3">AF107</f>
        <v>260</v>
      </c>
      <c r="AG7" s="1085">
        <f t="shared" si="3"/>
        <v>255</v>
      </c>
      <c r="AH7" s="1085">
        <f t="shared" si="3"/>
        <v>270</v>
      </c>
      <c r="AI7" s="1085">
        <f t="shared" si="3"/>
        <v>270</v>
      </c>
      <c r="AJ7" s="1085">
        <f t="shared" si="3"/>
        <v>270</v>
      </c>
      <c r="AK7" s="1085">
        <f t="shared" si="3"/>
        <v>270</v>
      </c>
      <c r="AL7" s="1085">
        <f t="shared" si="3"/>
        <v>275</v>
      </c>
      <c r="AM7" s="1085">
        <f>AM107</f>
        <v>275</v>
      </c>
      <c r="AN7" s="1085">
        <f>AN107</f>
        <v>275</v>
      </c>
      <c r="AO7" s="1085">
        <f>AO107</f>
        <v>275</v>
      </c>
      <c r="AP7" s="1085">
        <f>AP107</f>
        <v>275</v>
      </c>
      <c r="AQ7" s="1085"/>
    </row>
    <row r="8" spans="1:44" hidden="1" outlineLevel="1">
      <c r="A8" s="311" t="s">
        <v>6</v>
      </c>
      <c r="P8" s="1084">
        <f t="shared" ref="P8:U8" si="4">P7+P6</f>
        <v>0</v>
      </c>
      <c r="Q8" s="1084">
        <f t="shared" si="4"/>
        <v>0</v>
      </c>
      <c r="R8" s="1084">
        <f t="shared" si="4"/>
        <v>0</v>
      </c>
      <c r="S8" s="1084">
        <f t="shared" si="4"/>
        <v>0</v>
      </c>
      <c r="T8" s="1084">
        <f t="shared" si="4"/>
        <v>0</v>
      </c>
      <c r="U8" s="1084">
        <f t="shared" si="4"/>
        <v>0</v>
      </c>
      <c r="V8" s="1084">
        <f>V7+V6</f>
        <v>0</v>
      </c>
      <c r="W8" s="1084"/>
      <c r="X8" s="1085">
        <f>X7+X6</f>
        <v>0</v>
      </c>
      <c r="Y8" s="1085"/>
      <c r="Z8" s="1085">
        <f>Z7+Z6</f>
        <v>0</v>
      </c>
      <c r="AA8" s="1085"/>
      <c r="AB8" s="1085">
        <f>AB7+AB6</f>
        <v>0</v>
      </c>
      <c r="AC8" s="1085"/>
      <c r="AD8" s="1085">
        <f>AD7+AD6</f>
        <v>2964</v>
      </c>
      <c r="AE8" s="1085"/>
      <c r="AF8" s="1085">
        <f t="shared" ref="AF8:AL8" si="5">AF7+AF6</f>
        <v>2460</v>
      </c>
      <c r="AG8" s="1085">
        <f t="shared" si="5"/>
        <v>2535</v>
      </c>
      <c r="AH8" s="1085">
        <f t="shared" si="5"/>
        <v>2510</v>
      </c>
      <c r="AI8" s="1085">
        <f t="shared" si="5"/>
        <v>3330</v>
      </c>
      <c r="AJ8" s="1085">
        <f t="shared" si="5"/>
        <v>3260</v>
      </c>
      <c r="AK8" s="1085">
        <f t="shared" si="5"/>
        <v>3350</v>
      </c>
      <c r="AL8" s="1085">
        <f t="shared" si="5"/>
        <v>3475</v>
      </c>
      <c r="AM8" s="1085">
        <f>AM7+AM6</f>
        <v>3455</v>
      </c>
      <c r="AN8" s="1085">
        <f>AN7+AN6</f>
        <v>3625</v>
      </c>
      <c r="AO8" s="1085">
        <f>AO7+AO6</f>
        <v>3785</v>
      </c>
      <c r="AP8" s="1085">
        <f>AP7+AP6</f>
        <v>3835</v>
      </c>
      <c r="AQ8" s="1085"/>
    </row>
    <row r="9" spans="1:44" hidden="1" outlineLevel="1">
      <c r="P9" s="1084"/>
      <c r="Q9" s="1084"/>
      <c r="R9" s="1084"/>
      <c r="S9" s="1084"/>
      <c r="T9" s="1084"/>
      <c r="U9" s="1084"/>
      <c r="V9" s="1084"/>
      <c r="W9" s="1084"/>
      <c r="X9" s="1085"/>
      <c r="Y9" s="1085"/>
      <c r="Z9" s="1085"/>
      <c r="AA9" s="1085"/>
      <c r="AB9" s="1085"/>
      <c r="AC9" s="1085"/>
      <c r="AD9" s="1085"/>
      <c r="AE9" s="1086"/>
      <c r="AF9" s="1085"/>
      <c r="AG9" s="1085"/>
      <c r="AH9" s="1085"/>
      <c r="AI9" s="1085"/>
      <c r="AJ9" s="1085"/>
      <c r="AK9" s="1085"/>
      <c r="AL9" s="1085"/>
      <c r="AM9" s="1085"/>
      <c r="AN9" s="1085"/>
      <c r="AO9" s="1085"/>
      <c r="AP9" s="1085"/>
      <c r="AQ9" s="1085"/>
    </row>
    <row r="10" spans="1:44" hidden="1" outlineLevel="1">
      <c r="B10" s="165" t="s">
        <v>110</v>
      </c>
      <c r="P10" s="1084">
        <f t="shared" ref="P10:U10" si="6">P116</f>
        <v>0</v>
      </c>
      <c r="Q10" s="1084">
        <f t="shared" si="6"/>
        <v>0</v>
      </c>
      <c r="R10" s="1084">
        <f t="shared" si="6"/>
        <v>0</v>
      </c>
      <c r="S10" s="1084">
        <f t="shared" si="6"/>
        <v>0</v>
      </c>
      <c r="T10" s="1084">
        <f t="shared" si="6"/>
        <v>0</v>
      </c>
      <c r="U10" s="1084">
        <f t="shared" si="6"/>
        <v>0</v>
      </c>
      <c r="V10" s="1084">
        <f>V116</f>
        <v>0</v>
      </c>
      <c r="W10" s="1084"/>
      <c r="X10" s="1085">
        <f>X116</f>
        <v>0</v>
      </c>
      <c r="Y10" s="1085"/>
      <c r="Z10" s="1085">
        <f>Z116</f>
        <v>0</v>
      </c>
      <c r="AA10" s="1085"/>
      <c r="AB10" s="1085">
        <f>AB116</f>
        <v>0</v>
      </c>
      <c r="AC10" s="1085"/>
      <c r="AD10" s="1085">
        <f>AD116</f>
        <v>7053</v>
      </c>
      <c r="AE10" s="1086"/>
      <c r="AF10" s="1085">
        <f t="shared" ref="AF10:AL10" si="7">AF116</f>
        <v>6670</v>
      </c>
      <c r="AG10" s="1085">
        <f t="shared" si="7"/>
        <v>7410</v>
      </c>
      <c r="AH10" s="1085">
        <f t="shared" si="7"/>
        <v>7365</v>
      </c>
      <c r="AI10" s="1085">
        <f t="shared" si="7"/>
        <v>7605</v>
      </c>
      <c r="AJ10" s="1085">
        <f t="shared" si="7"/>
        <v>7945</v>
      </c>
      <c r="AK10" s="1085">
        <f t="shared" si="7"/>
        <v>8185</v>
      </c>
      <c r="AL10" s="1085">
        <f t="shared" si="7"/>
        <v>8125</v>
      </c>
      <c r="AM10" s="1085">
        <f>AM116</f>
        <v>8125</v>
      </c>
      <c r="AN10" s="1085">
        <f>AN116</f>
        <v>8505</v>
      </c>
      <c r="AO10" s="1085">
        <f>AO116</f>
        <v>8605</v>
      </c>
      <c r="AP10" s="1085">
        <f>AP116</f>
        <v>9076</v>
      </c>
      <c r="AQ10" s="1085"/>
    </row>
    <row r="11" spans="1:44" hidden="1" outlineLevel="1">
      <c r="B11" s="165"/>
      <c r="R11" s="1084"/>
      <c r="S11" s="1084"/>
      <c r="T11" s="1084"/>
      <c r="U11" s="1084"/>
      <c r="V11" s="1084"/>
      <c r="W11" s="1084"/>
      <c r="X11" s="1085"/>
      <c r="Y11" s="1085"/>
      <c r="Z11" s="1085"/>
      <c r="AA11" s="1085"/>
      <c r="AB11" s="1085"/>
      <c r="AC11" s="1085"/>
      <c r="AD11" s="1085"/>
      <c r="AE11" s="1086"/>
      <c r="AF11" s="1085"/>
      <c r="AG11" s="1085"/>
      <c r="AH11" s="1085"/>
      <c r="AI11" s="1085"/>
      <c r="AJ11" s="1085"/>
      <c r="AK11" s="1085"/>
      <c r="AL11" s="1085"/>
      <c r="AM11" s="1085"/>
      <c r="AN11" s="1085"/>
      <c r="AO11" s="1085"/>
      <c r="AP11" s="1085"/>
      <c r="AQ11" s="1085"/>
      <c r="AR11" s="1087" t="s">
        <v>1220</v>
      </c>
    </row>
    <row r="12" spans="1:44" hidden="1" outlineLevel="1">
      <c r="B12" s="165" t="s">
        <v>8</v>
      </c>
      <c r="R12" s="1084"/>
      <c r="S12" s="1084"/>
      <c r="T12" s="1084"/>
      <c r="U12" s="1084"/>
      <c r="V12" s="1084"/>
      <c r="W12" s="1084"/>
      <c r="X12" s="1085">
        <f>X101+X103+X102</f>
        <v>0</v>
      </c>
      <c r="Y12" s="1085"/>
      <c r="Z12" s="1085">
        <f>Z101+Z103+Z102</f>
        <v>0</v>
      </c>
      <c r="AA12" s="1085"/>
      <c r="AB12" s="1085">
        <f>AB101+AB103+AB102</f>
        <v>0</v>
      </c>
      <c r="AC12" s="1085"/>
      <c r="AD12" s="1088">
        <f>SUM(AD97:AD103)</f>
        <v>2740</v>
      </c>
      <c r="AE12" s="1088"/>
      <c r="AF12" s="1088">
        <f t="shared" ref="AF12:AL12" si="8">SUM(AF97:AF103)</f>
        <v>2200</v>
      </c>
      <c r="AG12" s="1088">
        <f t="shared" si="8"/>
        <v>2280</v>
      </c>
      <c r="AH12" s="1088">
        <f t="shared" si="8"/>
        <v>2240</v>
      </c>
      <c r="AI12" s="1088">
        <f t="shared" si="8"/>
        <v>3060</v>
      </c>
      <c r="AJ12" s="1088">
        <f t="shared" si="8"/>
        <v>2990</v>
      </c>
      <c r="AK12" s="1088">
        <f t="shared" si="8"/>
        <v>3080</v>
      </c>
      <c r="AL12" s="1088">
        <f t="shared" si="8"/>
        <v>3200</v>
      </c>
      <c r="AM12" s="1088">
        <f>SUM(AM97:AM103)</f>
        <v>3180</v>
      </c>
      <c r="AN12" s="1088">
        <f>SUM(AN97:AN103)</f>
        <v>3350</v>
      </c>
      <c r="AO12" s="1088">
        <f>SUM(AO97:AO103)</f>
        <v>3510</v>
      </c>
      <c r="AP12" s="1088">
        <f>SUM(AP97:AP103)</f>
        <v>3560</v>
      </c>
      <c r="AQ12" s="1088"/>
      <c r="AR12" s="1089" t="s">
        <v>1221</v>
      </c>
    </row>
    <row r="13" spans="1:44" hidden="1" outlineLevel="1">
      <c r="C13" s="369" t="s">
        <v>256</v>
      </c>
      <c r="R13" s="1084"/>
      <c r="S13" s="1084"/>
      <c r="T13" s="1084"/>
      <c r="U13" s="1084"/>
      <c r="V13" s="1084"/>
      <c r="W13" s="1084"/>
      <c r="X13" s="1090"/>
      <c r="Y13" s="1090"/>
      <c r="Z13" s="1090"/>
      <c r="AA13" s="1090"/>
      <c r="AB13" s="1090"/>
      <c r="AC13" s="1090"/>
      <c r="AD13" s="1090"/>
      <c r="AE13" s="1084"/>
      <c r="AF13" s="1090"/>
      <c r="AG13" s="1090"/>
      <c r="AH13" s="1090"/>
      <c r="AI13" s="1090"/>
      <c r="AJ13" s="1090"/>
      <c r="AK13" s="1090"/>
      <c r="AL13" s="1090"/>
      <c r="AM13" s="1090"/>
      <c r="AN13" s="1090"/>
    </row>
    <row r="14" spans="1:44" hidden="1" outlineLevel="1">
      <c r="C14" s="369" t="s">
        <v>257</v>
      </c>
      <c r="R14" s="1084"/>
      <c r="S14" s="1084"/>
      <c r="T14" s="1084"/>
      <c r="U14" s="1084"/>
      <c r="V14" s="1084"/>
      <c r="W14" s="1084"/>
      <c r="X14" s="1090"/>
      <c r="Y14" s="1090"/>
      <c r="Z14" s="1090"/>
      <c r="AA14" s="1090"/>
      <c r="AB14" s="1090"/>
      <c r="AC14" s="1090"/>
      <c r="AD14" s="1090"/>
      <c r="AE14" s="1084"/>
      <c r="AF14" s="1090"/>
      <c r="AG14" s="1090"/>
      <c r="AH14" s="1090"/>
      <c r="AI14" s="1090"/>
      <c r="AJ14" s="1090"/>
      <c r="AK14" s="1090"/>
      <c r="AL14" s="1090"/>
      <c r="AM14" s="1090"/>
      <c r="AN14" s="1090"/>
    </row>
    <row r="15" spans="1:44" ht="27" customHeight="1" collapsed="1">
      <c r="A15" s="1924" t="s">
        <v>431</v>
      </c>
      <c r="B15" s="1924"/>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c r="AL15" s="1924"/>
      <c r="AM15" s="1924"/>
      <c r="AN15" s="1924"/>
      <c r="AO15" s="1924"/>
      <c r="AP15" s="1924"/>
      <c r="AQ15" s="1924"/>
    </row>
    <row r="16" spans="1:44">
      <c r="B16" s="165"/>
      <c r="C16" s="165"/>
      <c r="D16" s="165"/>
      <c r="E16" s="165"/>
      <c r="F16" s="165"/>
      <c r="G16" s="165"/>
      <c r="H16" s="165"/>
      <c r="I16" s="165"/>
      <c r="J16" s="165"/>
      <c r="K16" s="165"/>
      <c r="L16" s="165"/>
      <c r="M16" s="165"/>
      <c r="N16" s="165"/>
      <c r="O16" s="168"/>
      <c r="P16" s="168"/>
      <c r="Q16" s="168"/>
      <c r="R16" s="168"/>
      <c r="S16" s="168"/>
      <c r="T16" s="168"/>
      <c r="U16" s="168"/>
      <c r="V16" s="168"/>
      <c r="W16" s="168"/>
      <c r="X16" s="169"/>
      <c r="Y16" s="166"/>
      <c r="Z16" s="166"/>
      <c r="AA16" s="166"/>
      <c r="AB16" s="166"/>
      <c r="AC16" s="166"/>
      <c r="AD16" s="166"/>
      <c r="AE16" s="1084"/>
      <c r="AF16" s="166"/>
      <c r="AG16" s="166"/>
      <c r="AH16" s="166"/>
      <c r="AI16" s="166"/>
      <c r="AJ16" s="166"/>
      <c r="AK16" s="166"/>
      <c r="AL16" s="166"/>
      <c r="AM16" s="166"/>
      <c r="AN16" s="166"/>
    </row>
    <row r="17" spans="2:43">
      <c r="B17" s="170" t="s">
        <v>1218</v>
      </c>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084"/>
      <c r="AF17" s="171"/>
      <c r="AG17" s="171"/>
      <c r="AH17" s="171"/>
      <c r="AI17" s="171"/>
      <c r="AJ17" s="171"/>
      <c r="AK17" s="171"/>
      <c r="AL17" s="171"/>
      <c r="AM17" s="171"/>
      <c r="AN17" s="171"/>
    </row>
    <row r="18" spans="2:43">
      <c r="B18" s="165"/>
      <c r="C18" s="165"/>
      <c r="D18" s="165"/>
      <c r="E18" s="165"/>
      <c r="F18" s="165"/>
      <c r="G18" s="165"/>
      <c r="H18" s="165"/>
      <c r="I18" s="165"/>
      <c r="J18" s="165"/>
      <c r="K18" s="165"/>
      <c r="L18" s="165"/>
      <c r="M18" s="165"/>
      <c r="N18" s="165"/>
      <c r="O18" s="168"/>
      <c r="P18" s="168"/>
      <c r="Q18" s="168"/>
      <c r="R18" s="168"/>
      <c r="S18" s="168"/>
      <c r="T18" s="168"/>
      <c r="U18" s="168"/>
      <c r="V18" s="168"/>
      <c r="W18" s="168"/>
      <c r="X18" s="169"/>
      <c r="Y18" s="166"/>
      <c r="Z18" s="166"/>
      <c r="AA18" s="166"/>
      <c r="AB18" s="166"/>
      <c r="AC18" s="166"/>
      <c r="AD18" s="166"/>
      <c r="AE18" s="1084"/>
      <c r="AF18" s="166"/>
      <c r="AG18" s="166"/>
      <c r="AH18" s="166"/>
      <c r="AI18" s="166"/>
      <c r="AJ18" s="166"/>
      <c r="AK18" s="166"/>
      <c r="AL18" s="166"/>
      <c r="AM18" s="166"/>
      <c r="AN18" s="166"/>
    </row>
    <row r="19" spans="2:43">
      <c r="B19" s="170" t="s">
        <v>1647</v>
      </c>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084"/>
      <c r="AF19" s="171"/>
      <c r="AG19" s="171"/>
      <c r="AH19" s="171"/>
      <c r="AI19" s="171"/>
      <c r="AJ19" s="171"/>
      <c r="AK19" s="171"/>
      <c r="AL19" s="171"/>
      <c r="AM19" s="171"/>
      <c r="AN19" s="171"/>
    </row>
    <row r="20" spans="2:43">
      <c r="B20" s="172"/>
      <c r="C20" s="172"/>
      <c r="D20" s="172"/>
      <c r="E20" s="172"/>
      <c r="F20" s="172"/>
      <c r="G20" s="172"/>
      <c r="H20" s="172"/>
      <c r="I20" s="172"/>
      <c r="J20" s="172"/>
      <c r="K20" s="172"/>
      <c r="L20" s="172"/>
      <c r="M20" s="172"/>
      <c r="N20" s="172"/>
      <c r="O20" s="173"/>
      <c r="P20" s="173"/>
      <c r="Q20" s="173"/>
      <c r="R20" s="173"/>
      <c r="S20" s="173"/>
      <c r="T20" s="173"/>
      <c r="U20" s="173"/>
      <c r="V20" s="173"/>
      <c r="W20" s="173"/>
      <c r="X20" s="256"/>
      <c r="Y20" s="256"/>
      <c r="Z20" s="256"/>
      <c r="AA20" s="256"/>
      <c r="AB20" s="256"/>
      <c r="AC20" s="256"/>
      <c r="AD20" s="256"/>
      <c r="AE20" s="1091"/>
      <c r="AF20" s="256"/>
      <c r="AG20" s="169"/>
      <c r="AH20" s="169"/>
      <c r="AI20" s="169"/>
      <c r="AJ20" s="169"/>
      <c r="AK20" s="169"/>
      <c r="AL20" s="169"/>
      <c r="AM20" s="169"/>
      <c r="AN20" s="169"/>
    </row>
    <row r="21" spans="2:43">
      <c r="B21" s="165"/>
      <c r="C21" s="165"/>
      <c r="D21" s="165"/>
      <c r="E21" s="165"/>
      <c r="F21" s="165"/>
      <c r="G21" s="165"/>
      <c r="H21" s="165"/>
      <c r="I21" s="165"/>
      <c r="J21" s="165"/>
      <c r="K21" s="165"/>
      <c r="L21" s="165"/>
      <c r="M21" s="165"/>
      <c r="N21" s="165"/>
      <c r="O21" s="168"/>
      <c r="P21" s="168"/>
      <c r="Q21" s="168"/>
      <c r="R21" s="168"/>
      <c r="S21" s="168"/>
      <c r="T21" s="168"/>
      <c r="U21" s="168"/>
      <c r="V21" s="168"/>
      <c r="W21" s="168"/>
      <c r="X21" s="257">
        <v>2001</v>
      </c>
      <c r="Y21" s="546"/>
      <c r="Z21" s="259">
        <v>2003</v>
      </c>
      <c r="AA21" s="546"/>
      <c r="AB21" s="259">
        <v>2005</v>
      </c>
      <c r="AC21" s="546"/>
      <c r="AD21" s="257">
        <v>2007</v>
      </c>
      <c r="AE21" s="1084"/>
      <c r="AF21" s="257">
        <v>2009</v>
      </c>
      <c r="AG21" s="1082">
        <v>2010</v>
      </c>
      <c r="AH21" s="1082">
        <v>2011</v>
      </c>
      <c r="AI21" s="1082">
        <v>2012</v>
      </c>
      <c r="AJ21" s="1082">
        <v>2013</v>
      </c>
      <c r="AK21" s="1082">
        <v>2014</v>
      </c>
      <c r="AL21" s="1082">
        <v>2015</v>
      </c>
      <c r="AM21" s="1082">
        <v>2016</v>
      </c>
      <c r="AN21" s="1082">
        <v>2017</v>
      </c>
      <c r="AO21" s="1082">
        <v>2018</v>
      </c>
      <c r="AP21" s="1082">
        <v>2019</v>
      </c>
      <c r="AQ21" s="1082">
        <v>2020</v>
      </c>
    </row>
    <row r="22" spans="2:43">
      <c r="B22" s="1092"/>
      <c r="C22" s="1093"/>
      <c r="D22" s="165"/>
      <c r="E22" s="165"/>
      <c r="F22" s="165"/>
      <c r="G22" s="165"/>
      <c r="H22" s="165"/>
      <c r="I22" s="165"/>
      <c r="J22" s="165"/>
      <c r="K22" s="165"/>
      <c r="L22" s="165"/>
      <c r="M22" s="165"/>
      <c r="N22" s="165"/>
      <c r="O22" s="168"/>
      <c r="P22" s="168"/>
      <c r="Q22" s="168"/>
      <c r="R22" s="168"/>
      <c r="S22" s="168"/>
      <c r="T22" s="168"/>
      <c r="U22" s="168"/>
      <c r="V22" s="168"/>
      <c r="W22" s="168"/>
      <c r="X22" s="169"/>
      <c r="Y22" s="169"/>
      <c r="Z22" s="169"/>
      <c r="AA22" s="169"/>
      <c r="AB22" s="169"/>
      <c r="AC22" s="169"/>
      <c r="AD22" s="169"/>
      <c r="AE22" s="1084"/>
      <c r="AF22" s="169"/>
      <c r="AG22" s="169"/>
      <c r="AH22" s="169"/>
      <c r="AI22" s="169"/>
      <c r="AJ22" s="169"/>
      <c r="AK22" s="169"/>
      <c r="AL22" s="169"/>
      <c r="AM22" s="169"/>
      <c r="AN22" s="169"/>
    </row>
    <row r="23" spans="2:43">
      <c r="B23" s="623"/>
      <c r="C23" s="623" t="s">
        <v>1644</v>
      </c>
      <c r="D23" s="165"/>
      <c r="E23" s="165"/>
      <c r="F23" s="165"/>
      <c r="G23" s="165"/>
      <c r="H23" s="165"/>
      <c r="I23" s="165"/>
      <c r="J23" s="165"/>
      <c r="K23" s="165"/>
      <c r="L23" s="165"/>
      <c r="M23" s="165"/>
      <c r="N23" s="165"/>
      <c r="O23" s="168"/>
      <c r="P23" s="168"/>
      <c r="Q23" s="168"/>
      <c r="R23" s="168"/>
      <c r="S23" s="168"/>
      <c r="T23" s="168"/>
      <c r="U23" s="168"/>
      <c r="V23" s="168"/>
      <c r="W23" s="168"/>
      <c r="X23" s="932" t="s">
        <v>237</v>
      </c>
      <c r="Y23" s="932" t="s">
        <v>237</v>
      </c>
      <c r="Z23" s="932" t="s">
        <v>237</v>
      </c>
      <c r="AA23" s="932" t="s">
        <v>237</v>
      </c>
      <c r="AB23" s="932" t="s">
        <v>237</v>
      </c>
      <c r="AC23" s="169"/>
      <c r="AD23" s="932">
        <v>21.04</v>
      </c>
      <c r="AE23" s="1084">
        <v>20.53</v>
      </c>
      <c r="AF23" s="932">
        <v>20.75</v>
      </c>
      <c r="AG23" s="932">
        <v>21.28</v>
      </c>
      <c r="AH23" s="932">
        <v>21.15</v>
      </c>
      <c r="AI23" s="932">
        <v>21.07</v>
      </c>
      <c r="AJ23" s="932">
        <v>20.68</v>
      </c>
      <c r="AK23" s="932">
        <v>21.13</v>
      </c>
      <c r="AL23" s="932">
        <v>21.36</v>
      </c>
      <c r="AM23" s="932">
        <v>21.78</v>
      </c>
      <c r="AN23" s="932">
        <v>22.29</v>
      </c>
      <c r="AO23" s="932">
        <v>22.68</v>
      </c>
      <c r="AP23" s="1090">
        <v>20.63</v>
      </c>
      <c r="AQ23" s="932"/>
    </row>
    <row r="24" spans="2:43">
      <c r="B24" s="623"/>
      <c r="C24" s="623" t="s">
        <v>193</v>
      </c>
      <c r="D24" s="165"/>
      <c r="E24" s="165"/>
      <c r="F24" s="165"/>
      <c r="G24" s="165"/>
      <c r="H24" s="165"/>
      <c r="I24" s="165"/>
      <c r="J24" s="165"/>
      <c r="K24" s="165"/>
      <c r="L24" s="165"/>
      <c r="M24" s="165"/>
      <c r="N24" s="165"/>
      <c r="O24" s="168"/>
      <c r="P24" s="168"/>
      <c r="Q24" s="168"/>
      <c r="R24" s="168"/>
      <c r="S24" s="168"/>
      <c r="T24" s="168"/>
      <c r="U24" s="168"/>
      <c r="V24" s="168"/>
      <c r="W24" s="168"/>
      <c r="X24" s="932" t="s">
        <v>237</v>
      </c>
      <c r="Y24" s="932" t="s">
        <v>237</v>
      </c>
      <c r="Z24" s="932" t="s">
        <v>237</v>
      </c>
      <c r="AA24" s="932" t="s">
        <v>237</v>
      </c>
      <c r="AB24" s="932" t="s">
        <v>237</v>
      </c>
      <c r="AC24" s="169"/>
      <c r="AD24" s="932">
        <v>18.75</v>
      </c>
      <c r="AE24" s="1084">
        <v>19.079999999999998</v>
      </c>
      <c r="AF24" s="932">
        <v>19.239999999999998</v>
      </c>
      <c r="AG24" s="932">
        <v>19.62</v>
      </c>
      <c r="AH24" s="932">
        <v>19.309999999999999</v>
      </c>
      <c r="AI24" s="932">
        <v>16.91</v>
      </c>
      <c r="AJ24" s="932">
        <v>16.93</v>
      </c>
      <c r="AK24" s="932">
        <v>16.899999999999999</v>
      </c>
      <c r="AL24" s="932">
        <v>16.899999999999999</v>
      </c>
      <c r="AM24" s="932">
        <v>16.850000000000001</v>
      </c>
      <c r="AN24" s="932">
        <v>19.440000000000001</v>
      </c>
      <c r="AO24" s="932">
        <v>25.05</v>
      </c>
      <c r="AP24" s="1090">
        <v>24.9</v>
      </c>
      <c r="AQ24" s="932"/>
    </row>
    <row r="25" spans="2:43">
      <c r="B25" s="623"/>
      <c r="C25" s="623" t="s">
        <v>1643</v>
      </c>
      <c r="D25" s="165"/>
      <c r="E25" s="165"/>
      <c r="F25" s="165"/>
      <c r="G25" s="165"/>
      <c r="H25" s="165"/>
      <c r="I25" s="165"/>
      <c r="J25" s="165"/>
      <c r="K25" s="165"/>
      <c r="L25" s="165"/>
      <c r="M25" s="165"/>
      <c r="N25" s="165"/>
      <c r="O25" s="168"/>
      <c r="P25" s="168"/>
      <c r="Q25" s="168"/>
      <c r="R25" s="168"/>
      <c r="S25" s="168"/>
      <c r="T25" s="168"/>
      <c r="U25" s="168"/>
      <c r="V25" s="168"/>
      <c r="W25" s="168"/>
      <c r="X25" s="932" t="s">
        <v>237</v>
      </c>
      <c r="Y25" s="932" t="s">
        <v>237</v>
      </c>
      <c r="Z25" s="932" t="s">
        <v>237</v>
      </c>
      <c r="AA25" s="932" t="s">
        <v>237</v>
      </c>
      <c r="AB25" s="932" t="s">
        <v>237</v>
      </c>
      <c r="AC25" s="169"/>
      <c r="AD25" s="932">
        <v>13.1</v>
      </c>
      <c r="AE25" s="1084">
        <v>13.52</v>
      </c>
      <c r="AF25" s="932">
        <v>12.05</v>
      </c>
      <c r="AG25" s="932">
        <v>12.13</v>
      </c>
      <c r="AH25" s="932">
        <v>12.88</v>
      </c>
      <c r="AI25" s="932">
        <v>12.07</v>
      </c>
      <c r="AJ25" s="932">
        <v>12.21</v>
      </c>
      <c r="AK25" s="932">
        <v>12.59</v>
      </c>
      <c r="AL25" s="932">
        <v>12.69</v>
      </c>
      <c r="AM25" s="932">
        <v>11.27</v>
      </c>
      <c r="AN25" s="932">
        <v>11.24</v>
      </c>
      <c r="AO25" s="932">
        <v>11.16</v>
      </c>
      <c r="AP25" s="1090">
        <v>11.83</v>
      </c>
      <c r="AQ25" s="932"/>
    </row>
    <row r="26" spans="2:43">
      <c r="B26" s="623"/>
      <c r="C26" s="623" t="s">
        <v>1645</v>
      </c>
      <c r="D26" s="165"/>
      <c r="E26" s="165"/>
      <c r="F26" s="165"/>
      <c r="G26" s="165"/>
      <c r="H26" s="165"/>
      <c r="I26" s="165"/>
      <c r="J26" s="165"/>
      <c r="K26" s="165"/>
      <c r="L26" s="165"/>
      <c r="M26" s="165"/>
      <c r="N26" s="165"/>
      <c r="O26" s="168"/>
      <c r="P26" s="168"/>
      <c r="Q26" s="168"/>
      <c r="R26" s="168"/>
      <c r="S26" s="168"/>
      <c r="T26" s="168"/>
      <c r="U26" s="168"/>
      <c r="V26" s="168"/>
      <c r="W26" s="168"/>
      <c r="X26" s="932" t="s">
        <v>237</v>
      </c>
      <c r="Y26" s="932" t="s">
        <v>237</v>
      </c>
      <c r="Z26" s="932" t="s">
        <v>237</v>
      </c>
      <c r="AA26" s="932" t="s">
        <v>237</v>
      </c>
      <c r="AB26" s="932" t="s">
        <v>237</v>
      </c>
      <c r="AC26" s="169"/>
      <c r="AD26" s="932">
        <v>13.86</v>
      </c>
      <c r="AE26" s="1084">
        <v>13.54</v>
      </c>
      <c r="AF26" s="932">
        <v>13.67</v>
      </c>
      <c r="AG26" s="932">
        <v>13.78</v>
      </c>
      <c r="AH26" s="932">
        <v>13.45</v>
      </c>
      <c r="AI26" s="932">
        <v>13.34</v>
      </c>
      <c r="AJ26" s="932">
        <v>12.64</v>
      </c>
      <c r="AK26" s="932">
        <v>12.94</v>
      </c>
      <c r="AL26" s="932">
        <v>13.08</v>
      </c>
      <c r="AM26" s="932">
        <v>13.35</v>
      </c>
      <c r="AN26" s="932">
        <v>13.33</v>
      </c>
      <c r="AO26" s="932">
        <v>13.88</v>
      </c>
      <c r="AP26" s="1090">
        <v>15.73</v>
      </c>
      <c r="AQ26" s="932"/>
    </row>
    <row r="27" spans="2:43">
      <c r="B27" s="623"/>
      <c r="C27" s="623" t="s">
        <v>425</v>
      </c>
      <c r="D27" s="165"/>
      <c r="E27" s="165"/>
      <c r="F27" s="165"/>
      <c r="G27" s="165"/>
      <c r="H27" s="165"/>
      <c r="I27" s="165"/>
      <c r="J27" s="165"/>
      <c r="K27" s="165"/>
      <c r="L27" s="165"/>
      <c r="M27" s="165"/>
      <c r="N27" s="165"/>
      <c r="O27" s="168"/>
      <c r="P27" s="168"/>
      <c r="Q27" s="168"/>
      <c r="R27" s="168"/>
      <c r="S27" s="168"/>
      <c r="T27" s="168"/>
      <c r="U27" s="168"/>
      <c r="V27" s="168"/>
      <c r="W27" s="168"/>
      <c r="X27" s="932" t="s">
        <v>237</v>
      </c>
      <c r="Y27" s="932" t="s">
        <v>237</v>
      </c>
      <c r="Z27" s="932" t="s">
        <v>237</v>
      </c>
      <c r="AA27" s="932" t="s">
        <v>237</v>
      </c>
      <c r="AB27" s="932" t="s">
        <v>237</v>
      </c>
      <c r="AC27" s="169"/>
      <c r="AD27" s="932">
        <v>19.5</v>
      </c>
      <c r="AE27" s="1084">
        <v>21.6</v>
      </c>
      <c r="AF27" s="932">
        <v>22.98</v>
      </c>
      <c r="AG27" s="932">
        <v>21.93</v>
      </c>
      <c r="AH27" s="932">
        <v>21.11</v>
      </c>
      <c r="AI27" s="932">
        <v>21.77</v>
      </c>
      <c r="AJ27" s="932">
        <v>21.81</v>
      </c>
      <c r="AK27" s="932">
        <v>21.56</v>
      </c>
      <c r="AL27" s="932">
        <v>21.71</v>
      </c>
      <c r="AM27" s="932">
        <v>21.76</v>
      </c>
      <c r="AN27" s="932">
        <v>21.53</v>
      </c>
      <c r="AO27" s="932">
        <v>21.58</v>
      </c>
      <c r="AP27" s="1079">
        <v>21.21</v>
      </c>
      <c r="AQ27" s="932"/>
    </row>
    <row r="28" spans="2:43">
      <c r="B28" s="623"/>
      <c r="C28" s="623" t="s">
        <v>1646</v>
      </c>
      <c r="D28" s="165"/>
      <c r="E28" s="165"/>
      <c r="F28" s="165"/>
      <c r="G28" s="165"/>
      <c r="H28" s="165"/>
      <c r="I28" s="165"/>
      <c r="J28" s="165"/>
      <c r="K28" s="165"/>
      <c r="L28" s="165"/>
      <c r="M28" s="165"/>
      <c r="N28" s="165"/>
      <c r="O28" s="168"/>
      <c r="P28" s="168"/>
      <c r="Q28" s="168"/>
      <c r="R28" s="168"/>
      <c r="S28" s="168"/>
      <c r="T28" s="168"/>
      <c r="U28" s="168"/>
      <c r="V28" s="168"/>
      <c r="W28" s="168"/>
      <c r="X28" s="932" t="s">
        <v>237</v>
      </c>
      <c r="Y28" s="932" t="s">
        <v>237</v>
      </c>
      <c r="Z28" s="932" t="s">
        <v>237</v>
      </c>
      <c r="AA28" s="932" t="s">
        <v>237</v>
      </c>
      <c r="AB28" s="932" t="s">
        <v>237</v>
      </c>
      <c r="AC28" s="169"/>
      <c r="AD28" s="932">
        <v>0</v>
      </c>
      <c r="AE28" s="1084"/>
      <c r="AF28" s="932">
        <v>0</v>
      </c>
      <c r="AG28" s="932">
        <v>0</v>
      </c>
      <c r="AH28" s="932">
        <v>0</v>
      </c>
      <c r="AI28" s="932">
        <v>0</v>
      </c>
      <c r="AJ28" s="932">
        <v>0</v>
      </c>
      <c r="AK28" s="932">
        <v>0</v>
      </c>
      <c r="AL28" s="932">
        <v>0</v>
      </c>
      <c r="AM28" s="932">
        <v>0</v>
      </c>
      <c r="AN28" s="932">
        <v>0</v>
      </c>
      <c r="AO28" s="932">
        <v>0</v>
      </c>
      <c r="AP28" s="932">
        <v>0</v>
      </c>
      <c r="AQ28" s="932"/>
    </row>
    <row r="29" spans="2:43">
      <c r="B29" s="957"/>
      <c r="C29" s="904"/>
      <c r="D29" s="172"/>
      <c r="E29" s="172"/>
      <c r="F29" s="172"/>
      <c r="G29" s="172"/>
      <c r="H29" s="172"/>
      <c r="I29" s="172"/>
      <c r="J29" s="172"/>
      <c r="K29" s="172"/>
      <c r="L29" s="172"/>
      <c r="M29" s="172"/>
      <c r="N29" s="172"/>
      <c r="O29" s="173"/>
      <c r="P29" s="173"/>
      <c r="Q29" s="173"/>
      <c r="R29" s="173"/>
      <c r="S29" s="173"/>
      <c r="T29" s="173"/>
      <c r="U29" s="173"/>
      <c r="V29" s="173"/>
      <c r="W29" s="173"/>
      <c r="X29" s="256"/>
      <c r="Y29" s="256"/>
      <c r="Z29" s="256"/>
      <c r="AA29" s="256"/>
      <c r="AB29" s="256"/>
      <c r="AC29" s="256"/>
      <c r="AD29" s="256"/>
      <c r="AE29" s="1091"/>
      <c r="AF29" s="256"/>
      <c r="AG29" s="256"/>
      <c r="AH29" s="256"/>
      <c r="AI29" s="256"/>
      <c r="AJ29" s="256"/>
      <c r="AK29" s="256"/>
      <c r="AL29" s="256"/>
      <c r="AM29" s="256"/>
      <c r="AN29" s="256"/>
      <c r="AO29" s="256"/>
      <c r="AP29" s="256"/>
      <c r="AQ29" s="256"/>
    </row>
    <row r="30" spans="2:43">
      <c r="B30" s="165" t="s">
        <v>1642</v>
      </c>
      <c r="C30" s="165"/>
      <c r="D30" s="165"/>
      <c r="E30" s="165"/>
      <c r="F30" s="165"/>
      <c r="G30" s="165"/>
      <c r="H30" s="165"/>
      <c r="I30" s="165"/>
      <c r="J30" s="165"/>
      <c r="K30" s="165"/>
      <c r="L30" s="165"/>
      <c r="M30" s="165"/>
      <c r="N30" s="165"/>
      <c r="O30" s="168"/>
      <c r="P30" s="168"/>
      <c r="Q30" s="168"/>
      <c r="R30" s="168"/>
      <c r="S30" s="168"/>
      <c r="T30" s="168"/>
      <c r="U30" s="168"/>
      <c r="V30" s="168"/>
      <c r="W30" s="168"/>
      <c r="X30" s="169"/>
      <c r="Y30" s="169"/>
      <c r="Z30" s="169"/>
      <c r="AA30" s="169"/>
      <c r="AB30" s="169"/>
      <c r="AC30" s="169"/>
      <c r="AD30" s="169"/>
      <c r="AE30" s="1084"/>
      <c r="AF30" s="169"/>
      <c r="AG30" s="169"/>
      <c r="AH30" s="169"/>
      <c r="AI30" s="169"/>
      <c r="AJ30" s="169"/>
      <c r="AK30" s="169"/>
      <c r="AL30" s="169"/>
      <c r="AM30" s="169"/>
      <c r="AN30" s="169"/>
    </row>
    <row r="31" spans="2:43">
      <c r="B31" s="1094"/>
      <c r="C31" s="165"/>
      <c r="D31" s="165"/>
      <c r="E31" s="165"/>
      <c r="F31" s="165"/>
      <c r="G31" s="165"/>
      <c r="H31" s="165"/>
      <c r="I31" s="165"/>
      <c r="J31" s="165"/>
      <c r="K31" s="165"/>
      <c r="L31" s="165"/>
      <c r="M31" s="165"/>
      <c r="N31" s="165"/>
      <c r="O31" s="168"/>
      <c r="P31" s="168"/>
      <c r="Q31" s="168"/>
      <c r="R31" s="168"/>
      <c r="S31" s="168"/>
      <c r="T31" s="168"/>
      <c r="U31" s="168"/>
      <c r="V31" s="168"/>
      <c r="W31" s="168"/>
      <c r="X31" s="169"/>
      <c r="Y31" s="169"/>
      <c r="Z31" s="169"/>
      <c r="AA31" s="169"/>
      <c r="AB31" s="169"/>
      <c r="AC31" s="169"/>
      <c r="AD31" s="932"/>
      <c r="AE31" s="1084"/>
      <c r="AF31" s="932"/>
      <c r="AG31" s="932"/>
      <c r="AH31" s="932"/>
      <c r="AI31" s="932"/>
      <c r="AJ31" s="932"/>
      <c r="AK31" s="932"/>
      <c r="AL31" s="932"/>
      <c r="AM31" s="932"/>
      <c r="AN31" s="932"/>
      <c r="AO31" s="1084"/>
    </row>
    <row r="32" spans="2:43" hidden="1">
      <c r="R32" s="1084"/>
      <c r="S32" s="1084"/>
      <c r="T32" s="1084"/>
      <c r="U32" s="1084"/>
      <c r="V32" s="1084"/>
      <c r="W32" s="1084"/>
      <c r="X32" s="1090"/>
      <c r="Y32" s="1090"/>
      <c r="Z32" s="1090"/>
      <c r="AA32" s="1090"/>
      <c r="AB32" s="1090"/>
      <c r="AC32" s="1090"/>
      <c r="AD32" s="1090"/>
      <c r="AE32" s="1084"/>
      <c r="AF32" s="1090"/>
      <c r="AG32" s="1090"/>
      <c r="AH32" s="1090"/>
      <c r="AI32" s="1090"/>
      <c r="AJ32" s="1090"/>
      <c r="AK32" s="1090"/>
      <c r="AL32" s="1090"/>
      <c r="AM32" s="1090"/>
      <c r="AN32" s="1090"/>
    </row>
    <row r="33" spans="18:40" hidden="1">
      <c r="R33" s="1084"/>
      <c r="S33" s="1084"/>
      <c r="T33" s="1084"/>
      <c r="U33" s="1084"/>
      <c r="V33" s="1084"/>
      <c r="W33" s="1084"/>
      <c r="X33" s="1090"/>
      <c r="Y33" s="1090"/>
      <c r="Z33" s="1090"/>
      <c r="AA33" s="1090"/>
      <c r="AB33" s="1090"/>
      <c r="AC33" s="1090"/>
      <c r="AD33" s="1090"/>
      <c r="AE33" s="1084"/>
      <c r="AF33" s="1090"/>
      <c r="AG33" s="1090"/>
      <c r="AH33" s="1090"/>
      <c r="AI33" s="1090"/>
      <c r="AJ33" s="1090"/>
      <c r="AK33" s="1090"/>
      <c r="AL33" s="1090"/>
      <c r="AM33" s="1090"/>
      <c r="AN33" s="1090"/>
    </row>
    <row r="34" spans="18:40" hidden="1">
      <c r="R34" s="1084"/>
      <c r="S34" s="1084"/>
      <c r="T34" s="1084"/>
      <c r="U34" s="1084"/>
      <c r="V34" s="1084"/>
      <c r="W34" s="1084"/>
      <c r="X34" s="1090"/>
      <c r="Y34" s="1090"/>
      <c r="Z34" s="1090"/>
      <c r="AA34" s="1090"/>
      <c r="AB34" s="1090"/>
      <c r="AC34" s="1090"/>
      <c r="AD34" s="1090"/>
      <c r="AE34" s="1084"/>
      <c r="AF34" s="1090"/>
      <c r="AG34" s="1090"/>
      <c r="AH34" s="1090"/>
      <c r="AI34" s="1090"/>
      <c r="AJ34" s="1090"/>
      <c r="AK34" s="1090"/>
      <c r="AL34" s="1090"/>
      <c r="AM34" s="1090"/>
      <c r="AN34" s="1090"/>
    </row>
    <row r="35" spans="18:40" hidden="1">
      <c r="R35" s="1084"/>
      <c r="S35" s="1084"/>
      <c r="T35" s="1084"/>
      <c r="U35" s="1084"/>
      <c r="V35" s="1084"/>
      <c r="W35" s="1084"/>
      <c r="X35" s="1090"/>
      <c r="Y35" s="1090"/>
      <c r="Z35" s="1090"/>
      <c r="AA35" s="1090"/>
      <c r="AB35" s="1090"/>
      <c r="AC35" s="1090"/>
      <c r="AD35" s="1090"/>
      <c r="AE35" s="1084"/>
      <c r="AF35" s="1090"/>
      <c r="AG35" s="1090"/>
      <c r="AH35" s="1090"/>
      <c r="AI35" s="1090"/>
      <c r="AJ35" s="1090"/>
      <c r="AK35" s="1090"/>
      <c r="AL35" s="1090"/>
      <c r="AM35" s="1090"/>
      <c r="AN35" s="1090"/>
    </row>
    <row r="36" spans="18:40" hidden="1">
      <c r="R36" s="1084"/>
      <c r="S36" s="1084"/>
      <c r="T36" s="1084"/>
      <c r="U36" s="1084"/>
      <c r="V36" s="1084"/>
      <c r="W36" s="1084"/>
      <c r="X36" s="1090"/>
      <c r="Y36" s="1090"/>
      <c r="Z36" s="1090"/>
      <c r="AA36" s="1090"/>
      <c r="AB36" s="1090"/>
      <c r="AC36" s="1090"/>
      <c r="AD36" s="1090"/>
      <c r="AE36" s="1084"/>
      <c r="AF36" s="1090"/>
      <c r="AG36" s="1090"/>
      <c r="AH36" s="1090"/>
      <c r="AI36" s="1090"/>
      <c r="AJ36" s="1090"/>
      <c r="AK36" s="1090"/>
      <c r="AL36" s="1090"/>
      <c r="AM36" s="1090"/>
      <c r="AN36" s="1090"/>
    </row>
    <row r="37" spans="18:40" hidden="1">
      <c r="R37" s="1084"/>
      <c r="S37" s="1084"/>
      <c r="T37" s="1084"/>
      <c r="U37" s="1084"/>
      <c r="V37" s="1084"/>
      <c r="W37" s="1084"/>
      <c r="X37" s="1090"/>
      <c r="Y37" s="1090"/>
      <c r="Z37" s="1090"/>
      <c r="AA37" s="1090"/>
      <c r="AB37" s="1090"/>
      <c r="AC37" s="1090"/>
      <c r="AD37" s="1090"/>
      <c r="AE37" s="1084"/>
      <c r="AF37" s="1090"/>
      <c r="AG37" s="1090"/>
      <c r="AH37" s="1090"/>
      <c r="AI37" s="1090"/>
      <c r="AJ37" s="1090"/>
      <c r="AK37" s="1090"/>
      <c r="AL37" s="1090"/>
      <c r="AM37" s="1090"/>
      <c r="AN37" s="1090"/>
    </row>
    <row r="38" spans="18:40" hidden="1">
      <c r="R38" s="1084"/>
      <c r="S38" s="1084"/>
      <c r="T38" s="1084"/>
      <c r="U38" s="1084"/>
      <c r="V38" s="1084"/>
      <c r="W38" s="1084"/>
      <c r="X38" s="1090"/>
      <c r="Y38" s="1090"/>
      <c r="Z38" s="1090"/>
      <c r="AA38" s="1090"/>
      <c r="AB38" s="1090"/>
      <c r="AC38" s="1090"/>
      <c r="AD38" s="1090"/>
      <c r="AE38" s="1084"/>
      <c r="AF38" s="1090"/>
      <c r="AG38" s="1090"/>
      <c r="AH38" s="1090"/>
      <c r="AI38" s="1090"/>
      <c r="AJ38" s="1090"/>
      <c r="AK38" s="1090"/>
      <c r="AL38" s="1090"/>
      <c r="AM38" s="1090"/>
      <c r="AN38" s="1090"/>
    </row>
    <row r="39" spans="18:40" hidden="1">
      <c r="R39" s="1084"/>
      <c r="S39" s="1084"/>
      <c r="T39" s="1084"/>
      <c r="U39" s="1084"/>
      <c r="V39" s="1084"/>
      <c r="W39" s="1084"/>
      <c r="X39" s="1090"/>
      <c r="Y39" s="1090"/>
      <c r="Z39" s="1090"/>
      <c r="AA39" s="1090"/>
      <c r="AB39" s="1090"/>
      <c r="AC39" s="1090"/>
      <c r="AD39" s="1090"/>
      <c r="AE39" s="1084"/>
      <c r="AF39" s="1090"/>
      <c r="AG39" s="1090"/>
      <c r="AH39" s="1090"/>
      <c r="AI39" s="1090"/>
      <c r="AJ39" s="1090"/>
      <c r="AK39" s="1090"/>
      <c r="AL39" s="1090"/>
      <c r="AM39" s="1090"/>
      <c r="AN39" s="1090"/>
    </row>
    <row r="40" spans="18:40" hidden="1">
      <c r="R40" s="1084"/>
      <c r="S40" s="1084"/>
      <c r="T40" s="1084"/>
      <c r="U40" s="1084"/>
      <c r="V40" s="1084"/>
      <c r="W40" s="1084"/>
      <c r="X40" s="1090"/>
      <c r="Y40" s="1090"/>
      <c r="Z40" s="1090"/>
      <c r="AA40" s="1090"/>
      <c r="AB40" s="1090"/>
      <c r="AC40" s="1090"/>
      <c r="AD40" s="1090"/>
      <c r="AE40" s="1084"/>
      <c r="AF40" s="1090"/>
      <c r="AG40" s="1090"/>
      <c r="AH40" s="1090"/>
      <c r="AI40" s="1090"/>
      <c r="AJ40" s="1090"/>
      <c r="AK40" s="1090"/>
      <c r="AL40" s="1090"/>
      <c r="AM40" s="1090"/>
      <c r="AN40" s="1090"/>
    </row>
    <row r="41" spans="18:40" hidden="1">
      <c r="R41" s="1084"/>
      <c r="S41" s="1084"/>
      <c r="T41" s="1084"/>
      <c r="U41" s="1084"/>
      <c r="V41" s="1084"/>
      <c r="W41" s="1084"/>
      <c r="X41" s="1090"/>
      <c r="Y41" s="1090"/>
      <c r="Z41" s="1090"/>
      <c r="AA41" s="1090"/>
      <c r="AB41" s="1090"/>
      <c r="AC41" s="1090"/>
      <c r="AD41" s="1090"/>
      <c r="AE41" s="1084"/>
      <c r="AF41" s="1090"/>
      <c r="AG41" s="1090"/>
      <c r="AH41" s="1090"/>
      <c r="AI41" s="1090"/>
      <c r="AJ41" s="1090"/>
      <c r="AK41" s="1090"/>
      <c r="AL41" s="1090"/>
      <c r="AM41" s="1090"/>
      <c r="AN41" s="1090"/>
    </row>
    <row r="42" spans="18:40" hidden="1">
      <c r="R42" s="1084"/>
      <c r="S42" s="1084"/>
      <c r="T42" s="1084"/>
      <c r="U42" s="1084"/>
      <c r="V42" s="1084"/>
      <c r="W42" s="1084"/>
      <c r="X42" s="1090"/>
      <c r="Y42" s="1090"/>
      <c r="Z42" s="1090"/>
      <c r="AA42" s="1090"/>
      <c r="AB42" s="1090"/>
      <c r="AC42" s="1090"/>
      <c r="AD42" s="1090"/>
      <c r="AE42" s="1084"/>
      <c r="AF42" s="1090"/>
      <c r="AG42" s="1090"/>
      <c r="AH42" s="1090"/>
      <c r="AI42" s="1090"/>
      <c r="AJ42" s="1090"/>
      <c r="AK42" s="1090"/>
      <c r="AL42" s="1090"/>
      <c r="AM42" s="1090"/>
      <c r="AN42" s="1090"/>
    </row>
    <row r="43" spans="18:40" hidden="1">
      <c r="R43" s="1084"/>
      <c r="S43" s="1084"/>
      <c r="T43" s="1084"/>
      <c r="U43" s="1084"/>
      <c r="V43" s="1084"/>
      <c r="W43" s="1084"/>
      <c r="X43" s="1090"/>
      <c r="Y43" s="1090"/>
      <c r="Z43" s="1090"/>
      <c r="AA43" s="1090"/>
      <c r="AB43" s="1090"/>
      <c r="AC43" s="1090"/>
      <c r="AD43" s="1090"/>
      <c r="AE43" s="1084"/>
      <c r="AF43" s="1090"/>
      <c r="AG43" s="1090"/>
      <c r="AH43" s="1090"/>
      <c r="AI43" s="1090"/>
      <c r="AJ43" s="1090"/>
      <c r="AK43" s="1090"/>
      <c r="AL43" s="1090"/>
      <c r="AM43" s="1090"/>
      <c r="AN43" s="1090"/>
    </row>
    <row r="44" spans="18:40" hidden="1">
      <c r="R44" s="1084"/>
      <c r="S44" s="1084"/>
      <c r="T44" s="1084"/>
      <c r="U44" s="1084"/>
      <c r="V44" s="1084"/>
      <c r="W44" s="1084"/>
      <c r="X44" s="1090"/>
      <c r="Y44" s="1090"/>
      <c r="Z44" s="1090"/>
      <c r="AA44" s="1090"/>
      <c r="AB44" s="1090"/>
      <c r="AC44" s="1090"/>
      <c r="AD44" s="1090"/>
      <c r="AE44" s="1084"/>
      <c r="AF44" s="1090"/>
      <c r="AG44" s="1090"/>
      <c r="AH44" s="1090"/>
      <c r="AI44" s="1090"/>
      <c r="AJ44" s="1090"/>
      <c r="AK44" s="1090"/>
      <c r="AL44" s="1090"/>
      <c r="AM44" s="1090"/>
      <c r="AN44" s="1090"/>
    </row>
    <row r="45" spans="18:40" hidden="1">
      <c r="R45" s="1084"/>
      <c r="S45" s="1084"/>
      <c r="T45" s="1084"/>
      <c r="U45" s="1084"/>
      <c r="V45" s="1084"/>
      <c r="W45" s="1084"/>
      <c r="X45" s="1090"/>
      <c r="Y45" s="1090"/>
      <c r="Z45" s="1090"/>
      <c r="AA45" s="1090"/>
      <c r="AB45" s="1090"/>
      <c r="AC45" s="1090"/>
      <c r="AD45" s="1090"/>
      <c r="AE45" s="1084"/>
      <c r="AF45" s="1090"/>
      <c r="AG45" s="1090"/>
      <c r="AH45" s="1090"/>
      <c r="AI45" s="1090"/>
      <c r="AJ45" s="1090"/>
      <c r="AK45" s="1090"/>
      <c r="AL45" s="1090"/>
      <c r="AM45" s="1090"/>
      <c r="AN45" s="1090"/>
    </row>
    <row r="46" spans="18:40" hidden="1">
      <c r="R46" s="1084"/>
      <c r="S46" s="1084"/>
      <c r="T46" s="1084"/>
      <c r="U46" s="1084"/>
      <c r="V46" s="1084"/>
      <c r="W46" s="1084"/>
      <c r="X46" s="1090"/>
      <c r="Y46" s="1090"/>
      <c r="Z46" s="1090"/>
      <c r="AA46" s="1090"/>
      <c r="AB46" s="1090"/>
      <c r="AC46" s="1090"/>
      <c r="AD46" s="1090"/>
      <c r="AE46" s="1084"/>
      <c r="AF46" s="1090"/>
      <c r="AG46" s="1090"/>
      <c r="AH46" s="1090"/>
      <c r="AI46" s="1090"/>
      <c r="AJ46" s="1090"/>
      <c r="AK46" s="1090"/>
      <c r="AL46" s="1090"/>
      <c r="AM46" s="1090"/>
      <c r="AN46" s="1090"/>
    </row>
    <row r="47" spans="18:40" hidden="1">
      <c r="R47" s="1084"/>
      <c r="S47" s="1084"/>
      <c r="T47" s="1084"/>
      <c r="U47" s="1084"/>
      <c r="V47" s="1084"/>
      <c r="W47" s="1084"/>
      <c r="X47" s="1090"/>
      <c r="Y47" s="1090"/>
      <c r="Z47" s="1090"/>
      <c r="AA47" s="1090"/>
      <c r="AB47" s="1090"/>
      <c r="AC47" s="1090"/>
      <c r="AD47" s="1090"/>
      <c r="AE47" s="1084"/>
      <c r="AF47" s="1090"/>
      <c r="AG47" s="1090"/>
      <c r="AH47" s="1090"/>
      <c r="AI47" s="1090"/>
      <c r="AJ47" s="1090"/>
      <c r="AK47" s="1090"/>
      <c r="AL47" s="1090"/>
      <c r="AM47" s="1090"/>
      <c r="AN47" s="1090"/>
    </row>
    <row r="48" spans="18:40" hidden="1">
      <c r="R48" s="1084"/>
      <c r="S48" s="1084"/>
      <c r="T48" s="1084"/>
      <c r="U48" s="1084"/>
      <c r="V48" s="1084"/>
      <c r="W48" s="1084"/>
      <c r="X48" s="1090"/>
      <c r="Y48" s="1090"/>
      <c r="Z48" s="1090"/>
      <c r="AA48" s="1090"/>
      <c r="AB48" s="1090"/>
      <c r="AC48" s="1090"/>
      <c r="AD48" s="1090"/>
      <c r="AE48" s="1084"/>
      <c r="AF48" s="1090"/>
      <c r="AG48" s="1090"/>
      <c r="AH48" s="1090"/>
      <c r="AI48" s="1090"/>
      <c r="AJ48" s="1090"/>
      <c r="AK48" s="1090"/>
      <c r="AL48" s="1090"/>
      <c r="AM48" s="1090"/>
      <c r="AN48" s="1090"/>
    </row>
    <row r="49" spans="2:44" ht="15" hidden="1">
      <c r="B49" s="1920"/>
      <c r="C49" s="1930"/>
      <c r="D49" s="1930"/>
      <c r="E49" s="1930"/>
      <c r="F49" s="1930"/>
      <c r="G49" s="1930"/>
      <c r="H49" s="1930"/>
      <c r="I49" s="1930"/>
      <c r="J49" s="1930"/>
      <c r="K49" s="1930"/>
      <c r="L49" s="1930"/>
      <c r="M49" s="1930"/>
      <c r="N49" s="1930"/>
      <c r="O49" s="1930"/>
      <c r="P49" s="1930"/>
      <c r="Q49" s="1930"/>
      <c r="R49" s="1930"/>
      <c r="S49" s="1930"/>
      <c r="T49" s="1930"/>
      <c r="U49" s="1930"/>
      <c r="V49" s="1930"/>
      <c r="W49" s="1930"/>
      <c r="X49" s="1930"/>
      <c r="Y49" s="1930"/>
      <c r="Z49" s="1930"/>
      <c r="AA49" s="1090"/>
      <c r="AB49" s="1090"/>
      <c r="AC49" s="1090"/>
      <c r="AD49" s="1090"/>
      <c r="AE49" s="1084"/>
      <c r="AF49" s="1090"/>
      <c r="AG49" s="1090"/>
      <c r="AH49" s="1090"/>
      <c r="AI49" s="1090"/>
      <c r="AJ49" s="1090"/>
      <c r="AK49" s="1090"/>
      <c r="AL49" s="1090"/>
      <c r="AM49" s="1090"/>
      <c r="AN49" s="1090"/>
    </row>
    <row r="50" spans="2:44" ht="15" hidden="1">
      <c r="B50" s="1920"/>
      <c r="C50" s="1930"/>
      <c r="D50" s="1930"/>
      <c r="E50" s="1930"/>
      <c r="F50" s="1930"/>
      <c r="G50" s="1930"/>
      <c r="H50" s="1930"/>
      <c r="I50" s="1930"/>
      <c r="J50" s="1930"/>
      <c r="K50" s="1930"/>
      <c r="L50" s="1930"/>
      <c r="M50" s="1930"/>
      <c r="N50" s="1930"/>
      <c r="O50" s="1930"/>
      <c r="P50" s="1930"/>
      <c r="Q50" s="1930"/>
      <c r="R50" s="1930"/>
      <c r="S50" s="1930"/>
      <c r="T50" s="1930"/>
      <c r="U50" s="1930"/>
      <c r="V50" s="1930"/>
      <c r="W50" s="1930"/>
      <c r="X50" s="1930"/>
      <c r="Y50" s="1930"/>
      <c r="Z50" s="1930"/>
      <c r="AA50" s="1090"/>
      <c r="AB50" s="1090"/>
      <c r="AC50" s="1090"/>
      <c r="AD50" s="1090"/>
      <c r="AE50" s="1084"/>
      <c r="AF50" s="1090"/>
      <c r="AG50" s="1090"/>
      <c r="AH50" s="1090"/>
      <c r="AI50" s="1090"/>
      <c r="AJ50" s="1090"/>
      <c r="AK50" s="1090"/>
      <c r="AL50" s="1090"/>
      <c r="AM50" s="1090"/>
      <c r="AN50" s="1090"/>
    </row>
    <row r="51" spans="2:44" ht="15" hidden="1">
      <c r="B51" s="266"/>
      <c r="C51" s="109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0"/>
      <c r="AB51" s="1090"/>
      <c r="AC51" s="1090"/>
      <c r="AD51" s="1090"/>
      <c r="AE51" s="1084"/>
      <c r="AF51" s="1090"/>
      <c r="AG51" s="1090"/>
      <c r="AH51" s="1090"/>
      <c r="AI51" s="1090"/>
      <c r="AJ51" s="1090"/>
      <c r="AK51" s="1090"/>
      <c r="AL51" s="1090"/>
      <c r="AM51" s="1090"/>
      <c r="AN51" s="1090"/>
    </row>
    <row r="52" spans="2:44" ht="15" hidden="1">
      <c r="B52" s="266"/>
      <c r="C52" s="1095"/>
      <c r="D52" s="1095"/>
      <c r="E52" s="1095"/>
      <c r="F52" s="1095"/>
      <c r="G52" s="1095"/>
      <c r="H52" s="1095"/>
      <c r="I52" s="1095"/>
      <c r="J52" s="1095"/>
      <c r="K52" s="1095"/>
      <c r="L52" s="1095"/>
      <c r="M52" s="1095"/>
      <c r="N52" s="1095"/>
      <c r="O52" s="1095"/>
      <c r="P52" s="1095"/>
      <c r="Q52" s="1095"/>
      <c r="R52" s="1095"/>
      <c r="S52" s="1095"/>
      <c r="T52" s="1095"/>
      <c r="U52" s="1095"/>
      <c r="V52" s="1095"/>
      <c r="W52" s="1095"/>
      <c r="X52" s="1095"/>
      <c r="Y52" s="1095"/>
      <c r="Z52" s="1095"/>
      <c r="AA52" s="1090"/>
      <c r="AB52" s="1090"/>
      <c r="AC52" s="1090"/>
      <c r="AD52" s="1090"/>
      <c r="AE52" s="1084"/>
      <c r="AF52" s="1090"/>
      <c r="AG52" s="1090"/>
      <c r="AH52" s="1090"/>
      <c r="AI52" s="1090"/>
      <c r="AJ52" s="1090"/>
      <c r="AK52" s="1090"/>
      <c r="AL52" s="1090"/>
      <c r="AM52" s="1090"/>
      <c r="AN52" s="1090"/>
    </row>
    <row r="53" spans="2:44" ht="15" hidden="1">
      <c r="B53" s="266"/>
      <c r="C53" s="1095"/>
      <c r="D53" s="1095"/>
      <c r="E53" s="1095"/>
      <c r="F53" s="1095"/>
      <c r="G53" s="1095"/>
      <c r="H53" s="1095"/>
      <c r="I53" s="1095"/>
      <c r="J53" s="1095"/>
      <c r="K53" s="1095"/>
      <c r="L53" s="1095"/>
      <c r="M53" s="1095"/>
      <c r="N53" s="1095"/>
      <c r="O53" s="1095"/>
      <c r="P53" s="1095"/>
      <c r="Q53" s="1095"/>
      <c r="R53" s="1095"/>
      <c r="S53" s="1095"/>
      <c r="T53" s="1095"/>
      <c r="U53" s="1095"/>
      <c r="V53" s="1095"/>
      <c r="W53" s="1095"/>
      <c r="X53" s="1095"/>
      <c r="Y53" s="1095"/>
      <c r="Z53" s="1095"/>
      <c r="AA53" s="1090"/>
      <c r="AB53" s="1090"/>
      <c r="AC53" s="1090"/>
      <c r="AD53" s="1090"/>
      <c r="AE53" s="1084"/>
      <c r="AF53" s="1090"/>
      <c r="AG53" s="1090"/>
      <c r="AH53" s="1090"/>
      <c r="AI53" s="1090"/>
      <c r="AJ53" s="1090"/>
      <c r="AK53" s="1090"/>
      <c r="AL53" s="1090"/>
      <c r="AM53" s="1090"/>
      <c r="AN53" s="1090"/>
    </row>
    <row r="54" spans="2:44" ht="15" hidden="1">
      <c r="B54" s="266"/>
      <c r="C54" s="1095"/>
      <c r="D54" s="1095"/>
      <c r="E54" s="1095"/>
      <c r="F54" s="1095"/>
      <c r="G54" s="1095"/>
      <c r="H54" s="1095"/>
      <c r="I54" s="1095"/>
      <c r="J54" s="1095"/>
      <c r="K54" s="1095"/>
      <c r="L54" s="1095"/>
      <c r="M54" s="1095"/>
      <c r="N54" s="1095"/>
      <c r="O54" s="1095"/>
      <c r="P54" s="1095"/>
      <c r="Q54" s="1095"/>
      <c r="R54" s="1095"/>
      <c r="S54" s="1095"/>
      <c r="T54" s="1095"/>
      <c r="U54" s="1095"/>
      <c r="V54" s="1095"/>
      <c r="W54" s="1095"/>
      <c r="X54" s="1095"/>
      <c r="Y54" s="1095"/>
      <c r="Z54" s="1095"/>
      <c r="AA54" s="1090"/>
      <c r="AB54" s="1090"/>
      <c r="AC54" s="1090"/>
      <c r="AD54" s="1090"/>
      <c r="AE54" s="1084"/>
      <c r="AF54" s="1090"/>
      <c r="AG54" s="1090"/>
      <c r="AH54" s="1090"/>
      <c r="AI54" s="1090"/>
      <c r="AJ54" s="1090"/>
      <c r="AK54" s="1090"/>
      <c r="AL54" s="1090"/>
      <c r="AM54" s="1090"/>
      <c r="AN54" s="1090"/>
    </row>
    <row r="55" spans="2:44" ht="15" hidden="1">
      <c r="B55" s="1920"/>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090"/>
      <c r="AB55" s="1090"/>
      <c r="AC55" s="1090"/>
      <c r="AD55" s="1090"/>
      <c r="AE55" s="1084"/>
      <c r="AF55" s="1090"/>
      <c r="AG55" s="1090"/>
      <c r="AH55" s="1090"/>
      <c r="AI55" s="1090"/>
      <c r="AJ55" s="1090"/>
      <c r="AK55" s="1090"/>
      <c r="AL55" s="1090"/>
      <c r="AM55" s="1090"/>
      <c r="AN55" s="1090"/>
    </row>
    <row r="56" spans="2:44" hidden="1">
      <c r="R56" s="1084"/>
      <c r="S56" s="1084"/>
      <c r="T56" s="1084"/>
      <c r="U56" s="1084"/>
      <c r="V56" s="1084"/>
      <c r="W56" s="1084"/>
      <c r="X56" s="1090"/>
      <c r="Y56" s="1090"/>
      <c r="Z56" s="1090"/>
      <c r="AA56" s="1090"/>
      <c r="AB56" s="1090"/>
      <c r="AC56" s="1090"/>
      <c r="AD56" s="1090"/>
      <c r="AE56" s="1084"/>
      <c r="AF56" s="1090"/>
      <c r="AG56" s="1090"/>
      <c r="AH56" s="1090"/>
      <c r="AI56" s="1090"/>
      <c r="AJ56" s="1090"/>
      <c r="AK56" s="1090"/>
      <c r="AL56" s="1090"/>
      <c r="AM56" s="1090"/>
      <c r="AN56" s="1090"/>
    </row>
    <row r="57" spans="2:44" hidden="1">
      <c r="R57" s="1084"/>
      <c r="S57" s="1084"/>
      <c r="T57" s="1084"/>
      <c r="U57" s="1084"/>
      <c r="V57" s="1084"/>
      <c r="W57" s="1084"/>
      <c r="X57" s="1090"/>
      <c r="Y57" s="1090"/>
      <c r="Z57" s="1090"/>
      <c r="AA57" s="1090"/>
      <c r="AB57" s="1090"/>
      <c r="AC57" s="1090"/>
      <c r="AD57" s="1090"/>
      <c r="AE57" s="1084"/>
      <c r="AF57" s="1090"/>
      <c r="AG57" s="1090"/>
      <c r="AH57" s="1090"/>
      <c r="AI57" s="1090"/>
      <c r="AJ57" s="1090"/>
      <c r="AK57" s="1090"/>
      <c r="AL57" s="1090"/>
      <c r="AM57" s="1090"/>
      <c r="AN57" s="1090"/>
    </row>
    <row r="58" spans="2:44" hidden="1">
      <c r="R58" s="1084"/>
      <c r="S58" s="1084"/>
      <c r="T58" s="1084"/>
      <c r="U58" s="1084"/>
      <c r="V58" s="1084"/>
      <c r="W58" s="1084"/>
      <c r="X58" s="1090"/>
      <c r="Y58" s="1090"/>
      <c r="Z58" s="1090"/>
      <c r="AA58" s="1090"/>
      <c r="AB58" s="1090"/>
      <c r="AC58" s="1090"/>
      <c r="AD58" s="1090"/>
      <c r="AE58" s="1084"/>
      <c r="AF58" s="1090"/>
      <c r="AG58" s="1090"/>
      <c r="AH58" s="1090"/>
      <c r="AI58" s="1090"/>
      <c r="AJ58" s="1090"/>
      <c r="AK58" s="1090"/>
      <c r="AL58" s="1090"/>
      <c r="AM58" s="1090"/>
      <c r="AN58" s="1090"/>
    </row>
    <row r="59" spans="2:44">
      <c r="R59" s="1084"/>
      <c r="S59" s="1084"/>
      <c r="T59" s="1084"/>
      <c r="U59" s="1084"/>
      <c r="V59" s="1084"/>
      <c r="W59" s="1084"/>
      <c r="X59" s="1090"/>
      <c r="Y59" s="1090"/>
      <c r="Z59" s="1090"/>
      <c r="AA59" s="1090"/>
      <c r="AB59" s="1090"/>
      <c r="AC59" s="1090"/>
      <c r="AD59" s="1090"/>
      <c r="AE59" s="1084"/>
      <c r="AF59" s="1090"/>
      <c r="AG59" s="1090"/>
      <c r="AH59" s="1090"/>
      <c r="AI59" s="1090"/>
      <c r="AJ59" s="1090"/>
      <c r="AK59" s="1090"/>
      <c r="AL59" s="1090"/>
      <c r="AM59" s="1090"/>
      <c r="AN59" s="1090"/>
    </row>
    <row r="60" spans="2:44" outlineLevel="1">
      <c r="B60" s="170" t="s">
        <v>26</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084"/>
      <c r="AF60" s="171"/>
      <c r="AG60" s="171"/>
      <c r="AH60" s="171"/>
      <c r="AI60" s="171"/>
      <c r="AJ60" s="171"/>
      <c r="AK60" s="171"/>
      <c r="AL60" s="171"/>
      <c r="AM60" s="171"/>
      <c r="AN60" s="171"/>
    </row>
    <row r="61" spans="2:44" outlineLevel="1">
      <c r="B61" s="190" t="s">
        <v>465</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084"/>
      <c r="AF61" s="191"/>
      <c r="AG61" s="191"/>
      <c r="AH61" s="191"/>
      <c r="AI61" s="191"/>
      <c r="AJ61" s="191"/>
      <c r="AK61" s="191"/>
      <c r="AL61" s="191"/>
      <c r="AM61" s="191"/>
      <c r="AN61" s="191"/>
      <c r="AO61" s="191"/>
      <c r="AP61" s="191"/>
      <c r="AQ61" s="191"/>
      <c r="AR61" s="191"/>
    </row>
    <row r="62" spans="2:44"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084"/>
      <c r="AF62" s="196"/>
      <c r="AG62" s="196"/>
      <c r="AH62" s="196"/>
      <c r="AI62" s="196"/>
      <c r="AJ62" s="196"/>
      <c r="AK62" s="196"/>
      <c r="AL62" s="196"/>
      <c r="AM62" s="196"/>
      <c r="AN62" s="191"/>
      <c r="AO62" s="191"/>
      <c r="AP62" s="191"/>
      <c r="AQ62" s="191"/>
      <c r="AR62" s="191"/>
    </row>
    <row r="63" spans="2:44" ht="15" outlineLevel="1">
      <c r="B63" s="165" t="s">
        <v>1819</v>
      </c>
      <c r="C63" s="165"/>
      <c r="D63" s="165"/>
      <c r="E63" s="167"/>
      <c r="F63" s="167"/>
      <c r="G63" s="167"/>
      <c r="H63" s="167"/>
      <c r="I63" s="167"/>
      <c r="J63" s="167"/>
      <c r="K63" s="167"/>
      <c r="L63" s="167"/>
      <c r="M63" s="167"/>
      <c r="N63" s="167"/>
      <c r="O63" s="197"/>
      <c r="P63" s="198"/>
      <c r="Q63" s="199"/>
      <c r="R63" s="198"/>
      <c r="S63" s="198"/>
      <c r="T63" s="198"/>
      <c r="U63" s="198"/>
      <c r="V63" s="198"/>
      <c r="W63" s="198"/>
      <c r="X63" s="200">
        <v>2001</v>
      </c>
      <c r="Y63" s="201"/>
      <c r="Z63" s="202">
        <v>2003</v>
      </c>
      <c r="AA63" s="201"/>
      <c r="AB63" s="202">
        <v>2005</v>
      </c>
      <c r="AC63" s="201"/>
      <c r="AD63" s="202">
        <v>2007</v>
      </c>
      <c r="AE63" s="1084"/>
      <c r="AF63" s="202">
        <v>2009</v>
      </c>
      <c r="AG63" s="1082">
        <v>2010</v>
      </c>
      <c r="AH63" s="1082">
        <v>2011</v>
      </c>
      <c r="AI63" s="1082">
        <v>2012</v>
      </c>
      <c r="AJ63" s="1082">
        <v>2013</v>
      </c>
      <c r="AK63" s="1082">
        <v>2014</v>
      </c>
      <c r="AL63" s="1082">
        <v>2015</v>
      </c>
      <c r="AM63" s="1082">
        <v>2016</v>
      </c>
      <c r="AN63" s="1082">
        <v>2017</v>
      </c>
      <c r="AO63" s="1082">
        <v>2018</v>
      </c>
      <c r="AP63" s="1082">
        <v>2019</v>
      </c>
      <c r="AQ63" s="1082">
        <v>2020</v>
      </c>
      <c r="AR63" s="1096"/>
    </row>
    <row r="64" spans="2:44" ht="15" outlineLevel="1">
      <c r="B64" s="165" t="s">
        <v>1820</v>
      </c>
      <c r="C64" s="165"/>
      <c r="D64" s="165"/>
      <c r="E64" s="167"/>
      <c r="F64" s="167"/>
      <c r="G64" s="167"/>
      <c r="H64" s="167"/>
      <c r="I64" s="167"/>
      <c r="J64" s="167"/>
      <c r="K64" s="167"/>
      <c r="L64" s="167"/>
      <c r="M64" s="167"/>
      <c r="N64" s="167"/>
      <c r="O64" s="197"/>
      <c r="P64" s="198"/>
      <c r="Q64" s="199"/>
      <c r="R64" s="198"/>
      <c r="S64" s="198"/>
      <c r="T64" s="198"/>
      <c r="U64" s="198"/>
      <c r="V64" s="198"/>
      <c r="W64" s="198"/>
      <c r="X64" s="75"/>
      <c r="Y64" s="203"/>
      <c r="Z64" s="75"/>
      <c r="AA64" s="203"/>
      <c r="AB64" s="203"/>
      <c r="AC64" s="203"/>
      <c r="AD64" s="75"/>
      <c r="AE64" s="1084"/>
      <c r="AF64" s="75"/>
      <c r="AG64" s="75"/>
      <c r="AH64" s="75"/>
      <c r="AI64" s="75"/>
      <c r="AJ64" s="75"/>
      <c r="AK64" s="75"/>
      <c r="AL64" s="75"/>
      <c r="AM64" s="75"/>
      <c r="AN64" s="191"/>
      <c r="AO64" s="191"/>
      <c r="AP64" s="191"/>
      <c r="AQ64" s="191"/>
      <c r="AR64" s="1096"/>
    </row>
    <row r="65" spans="2:44" ht="15" outlineLevel="1">
      <c r="B65" s="204" t="s">
        <v>28</v>
      </c>
      <c r="C65" s="165" t="s">
        <v>29</v>
      </c>
      <c r="D65" s="165"/>
      <c r="E65" s="167"/>
      <c r="F65" s="167"/>
      <c r="G65" s="167"/>
      <c r="H65" s="167"/>
      <c r="I65" s="167"/>
      <c r="J65" s="167"/>
      <c r="K65" s="167"/>
      <c r="L65" s="167"/>
      <c r="M65" s="167"/>
      <c r="N65" s="167"/>
      <c r="O65" s="197"/>
      <c r="P65" s="198"/>
      <c r="Q65" s="199"/>
      <c r="R65" s="198"/>
      <c r="S65" s="198"/>
      <c r="T65" s="198"/>
      <c r="U65" s="198"/>
      <c r="V65" s="198"/>
      <c r="W65" s="198"/>
      <c r="X65" s="166"/>
      <c r="Y65" s="75"/>
      <c r="Z65" s="166"/>
      <c r="AA65" s="75"/>
      <c r="AB65" s="166"/>
      <c r="AC65" s="75"/>
      <c r="AD65" s="166">
        <v>312295.69799999997</v>
      </c>
      <c r="AE65" s="75">
        <v>322791.25900000002</v>
      </c>
      <c r="AF65" s="166">
        <v>325831.71299999999</v>
      </c>
      <c r="AG65" s="166">
        <v>332955.17800000001</v>
      </c>
      <c r="AH65" s="166">
        <v>336172.44500000001</v>
      </c>
      <c r="AI65" s="166">
        <v>340217.31</v>
      </c>
      <c r="AJ65" s="166">
        <v>346804.37300000002</v>
      </c>
      <c r="AK65" s="166">
        <v>349355.36300000001</v>
      </c>
      <c r="AL65" s="166">
        <v>353060.66800000001</v>
      </c>
      <c r="AM65" s="166">
        <v>358152.56900000002</v>
      </c>
      <c r="AN65" s="166">
        <v>365272.315</v>
      </c>
      <c r="AO65" s="166">
        <v>372225.35800000001</v>
      </c>
      <c r="AP65" s="166">
        <v>375926.266</v>
      </c>
      <c r="AQ65" s="166">
        <v>360019.62900000002</v>
      </c>
      <c r="AR65" s="1096"/>
    </row>
    <row r="66" spans="2:44" ht="5.0999999999999996" customHeight="1" outlineLevel="1">
      <c r="B66" s="75"/>
      <c r="C66" s="165"/>
      <c r="D66" s="165"/>
      <c r="E66" s="167"/>
      <c r="F66" s="167"/>
      <c r="G66" s="167"/>
      <c r="H66" s="167"/>
      <c r="I66" s="167"/>
      <c r="J66" s="167"/>
      <c r="K66" s="167"/>
      <c r="L66" s="167"/>
      <c r="M66" s="167"/>
      <c r="N66" s="167"/>
      <c r="O66" s="197"/>
      <c r="P66" s="198"/>
      <c r="Q66" s="199"/>
      <c r="R66" s="198"/>
      <c r="S66" s="198"/>
      <c r="T66" s="198"/>
      <c r="U66" s="198"/>
      <c r="V66" s="198"/>
      <c r="W66" s="198"/>
      <c r="X66" s="166"/>
      <c r="Y66" s="75"/>
      <c r="Z66" s="166"/>
      <c r="AA66" s="75"/>
      <c r="AB66" s="166"/>
      <c r="AC66" s="75"/>
      <c r="AD66" s="166"/>
      <c r="AE66" s="75"/>
      <c r="AF66" s="166"/>
      <c r="AG66" s="166"/>
      <c r="AH66" s="166"/>
      <c r="AI66" s="166"/>
      <c r="AJ66" s="166"/>
      <c r="AK66" s="166"/>
      <c r="AL66" s="166"/>
      <c r="AM66" s="166"/>
      <c r="AN66" s="166"/>
      <c r="AO66" s="166"/>
      <c r="AP66" s="166"/>
      <c r="AQ66" s="166"/>
      <c r="AR66" s="1096"/>
    </row>
    <row r="67" spans="2:44" ht="15" outlineLevel="1">
      <c r="B67" s="204" t="s">
        <v>30</v>
      </c>
      <c r="C67" s="165" t="s">
        <v>31</v>
      </c>
      <c r="D67" s="165"/>
      <c r="E67" s="167"/>
      <c r="F67" s="167"/>
      <c r="G67" s="167"/>
      <c r="H67" s="167"/>
      <c r="I67" s="167"/>
      <c r="J67" s="167"/>
      <c r="K67" s="167"/>
      <c r="L67" s="167"/>
      <c r="M67" s="167"/>
      <c r="N67" s="167"/>
      <c r="O67" s="197"/>
      <c r="P67" s="198"/>
      <c r="Q67" s="199"/>
      <c r="R67" s="198"/>
      <c r="S67" s="198"/>
      <c r="T67" s="198"/>
      <c r="U67" s="198"/>
      <c r="V67" s="198"/>
      <c r="W67" s="198"/>
      <c r="X67" s="166"/>
      <c r="Y67" s="75"/>
      <c r="Z67" s="166"/>
      <c r="AA67" s="75"/>
      <c r="AB67" s="166"/>
      <c r="AC67" s="75"/>
      <c r="AD67" s="166">
        <v>334182.72699999996</v>
      </c>
      <c r="AE67" s="75">
        <v>345947.02900000004</v>
      </c>
      <c r="AF67" s="166">
        <v>350607.65599999996</v>
      </c>
      <c r="AG67" s="166">
        <v>357729.23900000006</v>
      </c>
      <c r="AH67" s="166">
        <v>361716.44799999997</v>
      </c>
      <c r="AI67" s="166">
        <v>365854.44799999997</v>
      </c>
      <c r="AJ67" s="166">
        <v>373548.95800000004</v>
      </c>
      <c r="AK67" s="166">
        <v>377052.99300000002</v>
      </c>
      <c r="AL67" s="166">
        <v>380484.17800000001</v>
      </c>
      <c r="AM67" s="166">
        <v>385960.79300000001</v>
      </c>
      <c r="AN67" s="166">
        <v>392939.17200000002</v>
      </c>
      <c r="AO67" s="166">
        <v>400432.58499999996</v>
      </c>
      <c r="AP67" s="166">
        <v>404477.43400000001</v>
      </c>
      <c r="AQ67" s="166">
        <v>389907.91800000001</v>
      </c>
      <c r="AR67" s="1096"/>
    </row>
    <row r="68" spans="2:44" ht="5.0999999999999996" customHeight="1" outlineLevel="1">
      <c r="B68" s="75"/>
      <c r="C68" s="165"/>
      <c r="D68" s="165"/>
      <c r="E68" s="167"/>
      <c r="F68" s="167"/>
      <c r="G68" s="167"/>
      <c r="H68" s="167"/>
      <c r="I68" s="167"/>
      <c r="J68" s="167"/>
      <c r="K68" s="167"/>
      <c r="L68" s="167"/>
      <c r="M68" s="167"/>
      <c r="N68" s="167"/>
      <c r="O68" s="197"/>
      <c r="P68" s="198"/>
      <c r="Q68" s="199"/>
      <c r="R68" s="198"/>
      <c r="S68" s="198"/>
      <c r="T68" s="198"/>
      <c r="U68" s="198"/>
      <c r="V68" s="198"/>
      <c r="W68" s="198"/>
      <c r="X68" s="75"/>
      <c r="Y68" s="75"/>
      <c r="Z68" s="75"/>
      <c r="AA68" s="75"/>
      <c r="AB68" s="75"/>
      <c r="AC68" s="75"/>
      <c r="AD68" s="75"/>
      <c r="AE68" s="75"/>
      <c r="AF68" s="75"/>
      <c r="AG68" s="75"/>
      <c r="AH68" s="75"/>
      <c r="AI68" s="75"/>
      <c r="AJ68" s="75"/>
      <c r="AK68" s="75"/>
      <c r="AL68" s="75"/>
      <c r="AM68" s="75"/>
      <c r="AN68" s="75"/>
      <c r="AO68" s="75"/>
      <c r="AP68" s="75"/>
      <c r="AQ68" s="75"/>
      <c r="AR68" s="1096"/>
    </row>
    <row r="69" spans="2:44" ht="15" outlineLevel="1">
      <c r="B69" s="204" t="s">
        <v>32</v>
      </c>
      <c r="C69" s="165" t="s">
        <v>33</v>
      </c>
      <c r="D69" s="165"/>
      <c r="E69" s="167"/>
      <c r="F69" s="167"/>
      <c r="G69" s="167"/>
      <c r="H69" s="167"/>
      <c r="I69" s="167"/>
      <c r="J69" s="167"/>
      <c r="K69" s="167"/>
      <c r="L69" s="167"/>
      <c r="M69" s="167"/>
      <c r="N69" s="167"/>
      <c r="O69" s="197"/>
      <c r="P69" s="198"/>
      <c r="Q69" s="199"/>
      <c r="R69" s="198"/>
      <c r="S69" s="198"/>
      <c r="T69" s="198"/>
      <c r="U69" s="198"/>
      <c r="V69" s="198"/>
      <c r="W69" s="198"/>
      <c r="X69" s="166"/>
      <c r="Y69" s="75"/>
      <c r="Z69" s="166"/>
      <c r="AA69" s="75"/>
      <c r="AB69" s="166"/>
      <c r="AC69" s="75"/>
      <c r="AD69" s="166">
        <f t="shared" ref="AD69:AQ69" si="9">SUM(AD71:AD72)</f>
        <v>27580.475999999999</v>
      </c>
      <c r="AE69" s="75">
        <f t="shared" si="9"/>
        <v>28586.133999999998</v>
      </c>
      <c r="AF69" s="166">
        <f t="shared" si="9"/>
        <v>27898.132999999998</v>
      </c>
      <c r="AG69" s="166">
        <f t="shared" si="9"/>
        <v>29173.752</v>
      </c>
      <c r="AH69" s="166">
        <f t="shared" si="9"/>
        <v>29875.449999999997</v>
      </c>
      <c r="AI69" s="166">
        <f t="shared" si="9"/>
        <v>30435.875</v>
      </c>
      <c r="AJ69" s="166">
        <f t="shared" si="9"/>
        <v>30802.334000000003</v>
      </c>
      <c r="AK69" s="166">
        <f t="shared" si="9"/>
        <v>30822.427000000003</v>
      </c>
      <c r="AL69" s="166">
        <f t="shared" si="9"/>
        <v>30673.273999999998</v>
      </c>
      <c r="AM69" s="166">
        <f t="shared" si="9"/>
        <v>30608.471999999998</v>
      </c>
      <c r="AN69" s="166">
        <f t="shared" si="9"/>
        <v>31300.117999999999</v>
      </c>
      <c r="AO69" s="166">
        <f t="shared" si="9"/>
        <v>31351.842000000001</v>
      </c>
      <c r="AP69" s="166">
        <f t="shared" si="9"/>
        <v>31097.055</v>
      </c>
      <c r="AQ69" s="166">
        <f t="shared" si="9"/>
        <v>28560.500999999997</v>
      </c>
      <c r="AR69" s="1096"/>
    </row>
    <row r="70" spans="2:44" ht="5.0999999999999996" customHeight="1" outlineLevel="1">
      <c r="B70" s="75"/>
      <c r="C70" s="165"/>
      <c r="D70" s="165"/>
      <c r="E70" s="167"/>
      <c r="F70" s="167"/>
      <c r="G70" s="167"/>
      <c r="H70" s="167"/>
      <c r="I70" s="167"/>
      <c r="J70" s="167"/>
      <c r="K70" s="167"/>
      <c r="L70" s="167"/>
      <c r="M70" s="167"/>
      <c r="N70" s="167"/>
      <c r="O70" s="197"/>
      <c r="P70" s="198"/>
      <c r="Q70" s="199"/>
      <c r="R70" s="198"/>
      <c r="S70" s="198"/>
      <c r="T70" s="198"/>
      <c r="U70" s="198"/>
      <c r="V70" s="198"/>
      <c r="W70" s="198"/>
      <c r="X70" s="75"/>
      <c r="Y70" s="75"/>
      <c r="Z70" s="75"/>
      <c r="AA70" s="75"/>
      <c r="AB70" s="75"/>
      <c r="AC70" s="75"/>
      <c r="AD70" s="75"/>
      <c r="AE70" s="75"/>
      <c r="AF70" s="75"/>
      <c r="AG70" s="75"/>
      <c r="AH70" s="75"/>
      <c r="AI70" s="75"/>
      <c r="AJ70" s="75"/>
      <c r="AK70" s="75"/>
      <c r="AL70" s="75"/>
      <c r="AM70" s="75"/>
      <c r="AN70" s="75"/>
      <c r="AO70" s="75"/>
      <c r="AP70" s="75"/>
      <c r="AQ70" s="75"/>
      <c r="AR70" s="1096"/>
    </row>
    <row r="71" spans="2:44" ht="15" outlineLevel="1">
      <c r="B71" s="75"/>
      <c r="C71" s="165" t="s">
        <v>34</v>
      </c>
      <c r="D71" s="165"/>
      <c r="E71" s="167"/>
      <c r="F71" s="167"/>
      <c r="G71" s="167"/>
      <c r="H71" s="167"/>
      <c r="I71" s="167"/>
      <c r="J71" s="167"/>
      <c r="K71" s="167"/>
      <c r="L71" s="167"/>
      <c r="M71" s="167"/>
      <c r="N71" s="167"/>
      <c r="O71" s="197"/>
      <c r="P71" s="198"/>
      <c r="Q71" s="199"/>
      <c r="R71" s="198"/>
      <c r="S71" s="198"/>
      <c r="T71" s="198"/>
      <c r="U71" s="198"/>
      <c r="V71" s="198"/>
      <c r="W71" s="198"/>
      <c r="X71" s="166"/>
      <c r="Y71" s="75"/>
      <c r="Z71" s="166"/>
      <c r="AA71" s="75"/>
      <c r="AB71" s="166"/>
      <c r="AC71" s="75"/>
      <c r="AD71" s="166">
        <v>19775.863999999998</v>
      </c>
      <c r="AE71" s="75">
        <v>20638.632999999998</v>
      </c>
      <c r="AF71" s="166">
        <v>19957.136999999999</v>
      </c>
      <c r="AG71" s="166">
        <v>20878.362000000001</v>
      </c>
      <c r="AH71" s="166">
        <v>21854.023999999998</v>
      </c>
      <c r="AI71" s="166">
        <v>22202.768</v>
      </c>
      <c r="AJ71" s="166">
        <v>22703.465</v>
      </c>
      <c r="AK71" s="166">
        <v>22725.579000000002</v>
      </c>
      <c r="AL71" s="166">
        <v>22616.987999999998</v>
      </c>
      <c r="AM71" s="166">
        <v>22519.936999999998</v>
      </c>
      <c r="AN71" s="166">
        <v>23195.526999999998</v>
      </c>
      <c r="AO71" s="166">
        <v>22895.216</v>
      </c>
      <c r="AP71" s="166">
        <v>22743.982</v>
      </c>
      <c r="AQ71" s="166">
        <v>20888.78</v>
      </c>
      <c r="AR71" s="1096"/>
    </row>
    <row r="72" spans="2:44" ht="15" outlineLevel="1">
      <c r="B72" s="75"/>
      <c r="C72" s="165" t="s">
        <v>35</v>
      </c>
      <c r="D72" s="165"/>
      <c r="E72" s="167"/>
      <c r="F72" s="167"/>
      <c r="G72" s="167"/>
      <c r="H72" s="167"/>
      <c r="I72" s="167"/>
      <c r="J72" s="167"/>
      <c r="K72" s="167"/>
      <c r="L72" s="167"/>
      <c r="M72" s="167"/>
      <c r="N72" s="167"/>
      <c r="O72" s="197"/>
      <c r="P72" s="198"/>
      <c r="Q72" s="199"/>
      <c r="R72" s="198"/>
      <c r="S72" s="198"/>
      <c r="T72" s="198"/>
      <c r="U72" s="198"/>
      <c r="V72" s="198"/>
      <c r="W72" s="198"/>
      <c r="X72" s="166"/>
      <c r="Y72" s="75"/>
      <c r="Z72" s="166"/>
      <c r="AA72" s="75"/>
      <c r="AB72" s="166"/>
      <c r="AC72" s="75"/>
      <c r="AD72" s="166">
        <v>7804.6120000000001</v>
      </c>
      <c r="AE72" s="75">
        <v>7947.5010000000002</v>
      </c>
      <c r="AF72" s="166">
        <v>7940.9960000000001</v>
      </c>
      <c r="AG72" s="166">
        <v>8295.39</v>
      </c>
      <c r="AH72" s="166">
        <v>8021.4260000000004</v>
      </c>
      <c r="AI72" s="166">
        <v>8233.107</v>
      </c>
      <c r="AJ72" s="166">
        <v>8098.8690000000006</v>
      </c>
      <c r="AK72" s="166">
        <v>8096.848</v>
      </c>
      <c r="AL72" s="166">
        <v>8056.2860000000001</v>
      </c>
      <c r="AM72" s="166">
        <v>8088.5349999999999</v>
      </c>
      <c r="AN72" s="166">
        <v>8104.5909999999994</v>
      </c>
      <c r="AO72" s="166">
        <v>8456.6260000000002</v>
      </c>
      <c r="AP72" s="166">
        <v>8353.0730000000003</v>
      </c>
      <c r="AQ72" s="166">
        <v>7671.7209999999995</v>
      </c>
      <c r="AR72" s="1096"/>
    </row>
    <row r="73" spans="2:44" ht="5.0999999999999996" customHeight="1" outlineLevel="1">
      <c r="B73" s="75"/>
      <c r="C73" s="165"/>
      <c r="D73" s="165"/>
      <c r="E73" s="167"/>
      <c r="F73" s="167"/>
      <c r="G73" s="167"/>
      <c r="H73" s="167"/>
      <c r="I73" s="167"/>
      <c r="J73" s="167"/>
      <c r="K73" s="167"/>
      <c r="L73" s="167"/>
      <c r="M73" s="167"/>
      <c r="N73" s="167"/>
      <c r="O73" s="197"/>
      <c r="P73" s="198"/>
      <c r="Q73" s="199"/>
      <c r="R73" s="198"/>
      <c r="S73" s="198"/>
      <c r="T73" s="198"/>
      <c r="U73" s="198"/>
      <c r="V73" s="198"/>
      <c r="W73" s="198"/>
      <c r="X73" s="166"/>
      <c r="Y73" s="75"/>
      <c r="Z73" s="166"/>
      <c r="AA73" s="75"/>
      <c r="AB73" s="166"/>
      <c r="AC73" s="75"/>
      <c r="AD73" s="166"/>
      <c r="AE73" s="75"/>
      <c r="AF73" s="166"/>
      <c r="AG73" s="166"/>
      <c r="AH73" s="166"/>
      <c r="AI73" s="166"/>
      <c r="AJ73" s="166"/>
      <c r="AK73" s="166"/>
      <c r="AL73" s="166"/>
      <c r="AM73" s="166"/>
      <c r="AN73" s="166"/>
      <c r="AO73" s="166"/>
      <c r="AP73" s="166"/>
      <c r="AQ73" s="166"/>
      <c r="AR73" s="1096"/>
    </row>
    <row r="74" spans="2:44" ht="15" outlineLevel="1">
      <c r="B74" s="204" t="s">
        <v>36</v>
      </c>
      <c r="C74" s="165" t="s">
        <v>37</v>
      </c>
      <c r="D74" s="165"/>
      <c r="E74" s="167"/>
      <c r="F74" s="167"/>
      <c r="G74" s="167"/>
      <c r="H74" s="167"/>
      <c r="I74" s="167"/>
      <c r="J74" s="167"/>
      <c r="K74" s="167"/>
      <c r="L74" s="167"/>
      <c r="M74" s="167"/>
      <c r="N74" s="167"/>
      <c r="O74" s="197"/>
      <c r="P74" s="198"/>
      <c r="Q74" s="199"/>
      <c r="R74" s="198"/>
      <c r="S74" s="198"/>
      <c r="T74" s="198"/>
      <c r="U74" s="198"/>
      <c r="V74" s="198"/>
      <c r="W74" s="198"/>
      <c r="X74" s="166"/>
      <c r="Y74" s="75"/>
      <c r="Z74" s="166"/>
      <c r="AA74" s="75"/>
      <c r="AB74" s="166"/>
      <c r="AC74" s="75"/>
      <c r="AD74" s="166">
        <v>30483.175999999999</v>
      </c>
      <c r="AE74" s="75">
        <v>31467.973000000002</v>
      </c>
      <c r="AF74" s="166">
        <v>30824.75</v>
      </c>
      <c r="AG74" s="166">
        <v>32107.084999999999</v>
      </c>
      <c r="AH74" s="166">
        <v>32774.307999999997</v>
      </c>
      <c r="AI74" s="166">
        <v>33303.704000000005</v>
      </c>
      <c r="AJ74" s="166">
        <v>33694.603999999999</v>
      </c>
      <c r="AK74" s="166">
        <v>33755.135000000002</v>
      </c>
      <c r="AL74" s="166">
        <v>33596.917000000001</v>
      </c>
      <c r="AM74" s="166">
        <v>33561.843999999997</v>
      </c>
      <c r="AN74" s="166">
        <v>34294.798000000003</v>
      </c>
      <c r="AO74" s="166">
        <v>34338.712999999996</v>
      </c>
      <c r="AP74" s="166">
        <v>34167.231999999996</v>
      </c>
      <c r="AQ74" s="166">
        <v>31435.665000000001</v>
      </c>
      <c r="AR74" s="1096"/>
    </row>
    <row r="75" spans="2:44" ht="5.0999999999999996" customHeight="1" outlineLevel="1">
      <c r="B75" s="75"/>
      <c r="C75" s="165"/>
      <c r="D75" s="165"/>
      <c r="E75" s="167"/>
      <c r="F75" s="167"/>
      <c r="G75" s="167"/>
      <c r="H75" s="167"/>
      <c r="I75" s="167"/>
      <c r="J75" s="167"/>
      <c r="K75" s="167"/>
      <c r="L75" s="167"/>
      <c r="M75" s="167"/>
      <c r="N75" s="167"/>
      <c r="O75" s="197"/>
      <c r="P75" s="198"/>
      <c r="Q75" s="199"/>
      <c r="R75" s="198"/>
      <c r="S75" s="198"/>
      <c r="T75" s="198"/>
      <c r="U75" s="198"/>
      <c r="V75" s="198"/>
      <c r="W75" s="198"/>
      <c r="X75" s="166"/>
      <c r="Y75" s="75"/>
      <c r="Z75" s="166"/>
      <c r="AA75" s="75"/>
      <c r="AB75" s="166"/>
      <c r="AC75" s="75"/>
      <c r="AD75" s="166"/>
      <c r="AE75" s="75"/>
      <c r="AF75" s="166"/>
      <c r="AG75" s="166"/>
      <c r="AH75" s="166"/>
      <c r="AI75" s="166"/>
      <c r="AJ75" s="166"/>
      <c r="AK75" s="166"/>
      <c r="AL75" s="166"/>
      <c r="AM75" s="166"/>
      <c r="AN75" s="166"/>
      <c r="AO75" s="166"/>
      <c r="AP75" s="166"/>
      <c r="AQ75" s="166"/>
      <c r="AR75" s="1096"/>
    </row>
    <row r="76" spans="2:44" ht="15" outlineLevel="1">
      <c r="B76" s="204" t="s">
        <v>38</v>
      </c>
      <c r="C76" s="165" t="s">
        <v>39</v>
      </c>
      <c r="D76" s="165"/>
      <c r="E76" s="167"/>
      <c r="F76" s="167"/>
      <c r="G76" s="167"/>
      <c r="H76" s="167"/>
      <c r="I76" s="167"/>
      <c r="J76" s="167"/>
      <c r="K76" s="167"/>
      <c r="L76" s="167"/>
      <c r="M76" s="167"/>
      <c r="N76" s="167"/>
      <c r="O76" s="197"/>
      <c r="P76" s="198"/>
      <c r="Q76" s="199"/>
      <c r="R76" s="198"/>
      <c r="S76" s="198"/>
      <c r="T76" s="198"/>
      <c r="U76" s="198"/>
      <c r="V76" s="198"/>
      <c r="W76" s="198"/>
      <c r="X76" s="166"/>
      <c r="Y76" s="75"/>
      <c r="Z76" s="166"/>
      <c r="AA76" s="75"/>
      <c r="AB76" s="166"/>
      <c r="AC76" s="75"/>
      <c r="AD76" s="166">
        <v>33976.576999999997</v>
      </c>
      <c r="AE76" s="75">
        <v>35236.404000000002</v>
      </c>
      <c r="AF76" s="166">
        <v>34660.117999999995</v>
      </c>
      <c r="AG76" s="166">
        <v>36356.108</v>
      </c>
      <c r="AH76" s="166">
        <v>37017.871999999996</v>
      </c>
      <c r="AI76" s="166">
        <v>37739.279999999999</v>
      </c>
      <c r="AJ76" s="166">
        <v>38110.123</v>
      </c>
      <c r="AK76" s="166">
        <v>38324.205000000002</v>
      </c>
      <c r="AL76" s="166">
        <v>38357.514999999999</v>
      </c>
      <c r="AM76" s="166">
        <v>38557.563999999998</v>
      </c>
      <c r="AN76" s="166">
        <v>39454.392</v>
      </c>
      <c r="AO76" s="166">
        <v>39504.865000000005</v>
      </c>
      <c r="AP76" s="166">
        <v>39531.78</v>
      </c>
      <c r="AQ76" s="166">
        <v>36561.422999999995</v>
      </c>
      <c r="AR76" s="1096"/>
    </row>
    <row r="77" spans="2:44" ht="15" outlineLevel="1">
      <c r="B77" s="204"/>
      <c r="C77" s="165"/>
      <c r="D77" s="165"/>
      <c r="E77" s="167"/>
      <c r="F77" s="167"/>
      <c r="G77" s="167"/>
      <c r="H77" s="167"/>
      <c r="I77" s="167"/>
      <c r="J77" s="167"/>
      <c r="K77" s="167"/>
      <c r="L77" s="167"/>
      <c r="M77" s="167"/>
      <c r="N77" s="167"/>
      <c r="O77" s="197"/>
      <c r="P77" s="198"/>
      <c r="Q77" s="199"/>
      <c r="R77" s="198"/>
      <c r="S77" s="198"/>
      <c r="T77" s="198"/>
      <c r="U77" s="198"/>
      <c r="V77" s="198"/>
      <c r="W77" s="198"/>
      <c r="X77" s="166"/>
      <c r="Y77" s="75"/>
      <c r="Z77" s="166"/>
      <c r="AA77" s="75"/>
      <c r="AB77" s="166"/>
      <c r="AC77" s="75"/>
      <c r="AD77" s="166"/>
      <c r="AE77" s="75"/>
      <c r="AF77" s="166"/>
      <c r="AG77" s="166"/>
      <c r="AH77" s="166"/>
      <c r="AI77" s="166"/>
      <c r="AJ77" s="166"/>
      <c r="AK77" s="166"/>
      <c r="AL77" s="166"/>
      <c r="AM77" s="166"/>
      <c r="AN77" s="166"/>
      <c r="AO77" s="166"/>
      <c r="AP77" s="166"/>
      <c r="AQ77" s="166"/>
      <c r="AR77" s="1096"/>
    </row>
    <row r="78" spans="2:44" ht="15" outlineLevel="1">
      <c r="B78" s="165" t="s">
        <v>40</v>
      </c>
      <c r="D78" s="165"/>
      <c r="E78" s="167"/>
      <c r="F78" s="167"/>
      <c r="G78" s="167"/>
      <c r="H78" s="167"/>
      <c r="I78" s="167"/>
      <c r="J78" s="167"/>
      <c r="K78" s="167"/>
      <c r="L78" s="167"/>
      <c r="M78" s="167"/>
      <c r="N78" s="167"/>
      <c r="O78" s="197"/>
      <c r="P78" s="198"/>
      <c r="Q78" s="199"/>
      <c r="R78" s="198"/>
      <c r="S78" s="198"/>
      <c r="T78" s="198"/>
      <c r="U78" s="198"/>
      <c r="V78" s="198"/>
      <c r="W78" s="198"/>
      <c r="X78" s="166"/>
      <c r="Y78" s="75"/>
      <c r="Z78" s="166"/>
      <c r="AA78" s="75"/>
      <c r="AB78" s="166"/>
      <c r="AC78" s="75"/>
      <c r="AD78" s="166"/>
      <c r="AE78" s="75"/>
      <c r="AF78" s="166"/>
      <c r="AG78" s="166"/>
      <c r="AH78" s="166"/>
      <c r="AI78" s="166"/>
      <c r="AJ78" s="166"/>
      <c r="AK78" s="166"/>
      <c r="AL78" s="166"/>
      <c r="AM78" s="166"/>
      <c r="AN78" s="166"/>
      <c r="AO78" s="166"/>
      <c r="AP78" s="166"/>
      <c r="AQ78" s="166"/>
      <c r="AR78" s="1096"/>
    </row>
    <row r="79" spans="2:44" ht="6" customHeight="1" outlineLevel="1">
      <c r="B79" s="75"/>
      <c r="C79" s="165"/>
      <c r="D79" s="165"/>
      <c r="E79" s="167"/>
      <c r="F79" s="167"/>
      <c r="G79" s="167"/>
      <c r="H79" s="167"/>
      <c r="I79" s="167"/>
      <c r="J79" s="167"/>
      <c r="K79" s="167"/>
      <c r="L79" s="167"/>
      <c r="M79" s="167"/>
      <c r="N79" s="167"/>
      <c r="O79" s="197"/>
      <c r="P79" s="198"/>
      <c r="Q79" s="199"/>
      <c r="R79" s="198"/>
      <c r="S79" s="198"/>
      <c r="T79" s="198"/>
      <c r="U79" s="198"/>
      <c r="V79" s="198"/>
      <c r="W79" s="198"/>
      <c r="X79" s="166"/>
      <c r="Y79" s="75"/>
      <c r="Z79" s="166"/>
      <c r="AA79" s="75"/>
      <c r="AB79" s="166"/>
      <c r="AC79" s="75"/>
      <c r="AD79" s="166"/>
      <c r="AE79" s="75"/>
      <c r="AF79" s="166"/>
      <c r="AG79" s="166"/>
      <c r="AH79" s="166"/>
      <c r="AI79" s="166"/>
      <c r="AJ79" s="166"/>
      <c r="AK79" s="166"/>
      <c r="AL79" s="166"/>
      <c r="AM79" s="166"/>
      <c r="AN79" s="166"/>
      <c r="AO79" s="166"/>
      <c r="AP79" s="166"/>
      <c r="AQ79" s="166"/>
      <c r="AR79" s="1096"/>
    </row>
    <row r="80" spans="2:44" ht="15" outlineLevel="1">
      <c r="B80" s="205" t="s">
        <v>41</v>
      </c>
      <c r="C80" s="206" t="s">
        <v>42</v>
      </c>
      <c r="D80" s="206"/>
      <c r="E80" s="167"/>
      <c r="F80" s="167"/>
      <c r="G80" s="167"/>
      <c r="H80" s="167"/>
      <c r="I80" s="167"/>
      <c r="J80" s="167"/>
      <c r="K80" s="167"/>
      <c r="L80" s="167"/>
      <c r="M80" s="167"/>
      <c r="N80" s="167"/>
      <c r="O80" s="197"/>
      <c r="P80" s="198"/>
      <c r="Q80" s="199"/>
      <c r="R80" s="198"/>
      <c r="S80" s="198"/>
      <c r="T80" s="198"/>
      <c r="U80" s="198"/>
      <c r="V80" s="198"/>
      <c r="W80" s="198"/>
      <c r="X80" s="207"/>
      <c r="Y80" s="171"/>
      <c r="Z80" s="207"/>
      <c r="AA80" s="171"/>
      <c r="AB80" s="207"/>
      <c r="AC80" s="171"/>
      <c r="AD80" s="207">
        <f>AD69/AD67</f>
        <v>8.2531123758529876E-2</v>
      </c>
      <c r="AE80" s="171">
        <f t="shared" ref="AE80:AQ80" si="10">AE69/AE67</f>
        <v>8.2631534898945452E-2</v>
      </c>
      <c r="AF80" s="207">
        <f t="shared" si="10"/>
        <v>7.9570803781877489E-2</v>
      </c>
      <c r="AG80" s="207">
        <f t="shared" si="10"/>
        <v>8.1552606886573217E-2</v>
      </c>
      <c r="AH80" s="207">
        <f t="shared" si="10"/>
        <v>8.259356234748827E-2</v>
      </c>
      <c r="AI80" s="207">
        <f t="shared" si="10"/>
        <v>8.3191212151123017E-2</v>
      </c>
      <c r="AJ80" s="207">
        <f t="shared" si="10"/>
        <v>8.2458626480762395E-2</v>
      </c>
      <c r="AK80" s="207">
        <f t="shared" si="10"/>
        <v>8.1745610225138834E-2</v>
      </c>
      <c r="AL80" s="207">
        <f t="shared" si="10"/>
        <v>8.0616424475868739E-2</v>
      </c>
      <c r="AM80" s="207">
        <f t="shared" si="10"/>
        <v>7.9304614756556369E-2</v>
      </c>
      <c r="AN80" s="207">
        <f t="shared" si="10"/>
        <v>7.965639526516842E-2</v>
      </c>
      <c r="AO80" s="207">
        <f t="shared" si="10"/>
        <v>7.8294931967137493E-2</v>
      </c>
      <c r="AP80" s="207">
        <f t="shared" si="10"/>
        <v>7.6882051719107766E-2</v>
      </c>
      <c r="AQ80" s="207">
        <f t="shared" si="10"/>
        <v>7.3249348580810295E-2</v>
      </c>
      <c r="AR80" s="1096"/>
    </row>
    <row r="81" spans="2:45" ht="5.0999999999999996" customHeight="1" outlineLevel="1">
      <c r="B81" s="75"/>
      <c r="C81" s="165"/>
      <c r="D81" s="165"/>
      <c r="E81" s="167"/>
      <c r="F81" s="167"/>
      <c r="G81" s="167"/>
      <c r="H81" s="167"/>
      <c r="I81" s="167"/>
      <c r="J81" s="167"/>
      <c r="K81" s="167"/>
      <c r="L81" s="167"/>
      <c r="M81" s="167"/>
      <c r="N81" s="167"/>
      <c r="O81" s="197"/>
      <c r="P81" s="198"/>
      <c r="Q81" s="199"/>
      <c r="R81" s="198"/>
      <c r="S81" s="198"/>
      <c r="T81" s="198"/>
      <c r="U81" s="198"/>
      <c r="V81" s="198"/>
      <c r="W81" s="198"/>
      <c r="X81" s="166"/>
      <c r="Y81" s="75"/>
      <c r="Z81" s="166"/>
      <c r="AA81" s="75"/>
      <c r="AB81" s="166"/>
      <c r="AC81" s="75"/>
      <c r="AD81" s="166"/>
      <c r="AE81" s="75"/>
      <c r="AF81" s="166"/>
      <c r="AG81" s="166"/>
      <c r="AH81" s="166"/>
      <c r="AI81" s="166"/>
      <c r="AJ81" s="166"/>
      <c r="AK81" s="166"/>
      <c r="AL81" s="166"/>
      <c r="AM81" s="166"/>
      <c r="AN81" s="166"/>
      <c r="AO81" s="166"/>
      <c r="AP81" s="166"/>
      <c r="AQ81" s="166"/>
      <c r="AR81" s="1096"/>
    </row>
    <row r="82" spans="2:45" ht="15" outlineLevel="1">
      <c r="B82" s="204" t="s">
        <v>43</v>
      </c>
      <c r="C82" s="165" t="s">
        <v>44</v>
      </c>
      <c r="D82" s="165"/>
      <c r="E82" s="167"/>
      <c r="F82" s="167"/>
      <c r="G82" s="167"/>
      <c r="H82" s="167"/>
      <c r="I82" s="167"/>
      <c r="J82" s="167"/>
      <c r="K82" s="167"/>
      <c r="L82" s="167"/>
      <c r="M82" s="167"/>
      <c r="N82" s="167"/>
      <c r="O82" s="197"/>
      <c r="P82" s="198"/>
      <c r="Q82" s="199"/>
      <c r="R82" s="198"/>
      <c r="S82" s="198"/>
      <c r="T82" s="198"/>
      <c r="U82" s="198"/>
      <c r="V82" s="198"/>
      <c r="W82" s="198"/>
      <c r="X82" s="208"/>
      <c r="Y82" s="75"/>
      <c r="Z82" s="208"/>
      <c r="AA82" s="75"/>
      <c r="AB82" s="208"/>
      <c r="AC82" s="75"/>
      <c r="AD82" s="208">
        <f t="shared" ref="AD82:AQ82" si="11">AD76/AD67</f>
        <v>0.10167065576671772</v>
      </c>
      <c r="AE82" s="75">
        <f t="shared" si="11"/>
        <v>0.10185491143501046</v>
      </c>
      <c r="AF82" s="208">
        <f t="shared" si="11"/>
        <v>9.8857276522221746E-2</v>
      </c>
      <c r="AG82" s="208">
        <f t="shared" si="11"/>
        <v>0.10163023884105821</v>
      </c>
      <c r="AH82" s="208">
        <f t="shared" si="11"/>
        <v>0.10233947669418671</v>
      </c>
      <c r="AI82" s="208">
        <f t="shared" si="11"/>
        <v>0.10315380940783314</v>
      </c>
      <c r="AJ82" s="208">
        <f t="shared" si="11"/>
        <v>0.10202176229869177</v>
      </c>
      <c r="AK82" s="208">
        <f t="shared" si="11"/>
        <v>0.10164142895425843</v>
      </c>
      <c r="AL82" s="208">
        <f t="shared" si="11"/>
        <v>0.10081237858989237</v>
      </c>
      <c r="AM82" s="208">
        <f t="shared" si="11"/>
        <v>9.990020929405645E-2</v>
      </c>
      <c r="AN82" s="208">
        <f t="shared" si="11"/>
        <v>0.10040839603540468</v>
      </c>
      <c r="AO82" s="208">
        <f t="shared" si="11"/>
        <v>9.8655470308441573E-2</v>
      </c>
      <c r="AP82" s="208">
        <f t="shared" si="11"/>
        <v>9.7735440044351141E-2</v>
      </c>
      <c r="AQ82" s="208">
        <f t="shared" si="11"/>
        <v>9.3769378133018569E-2</v>
      </c>
      <c r="AR82" s="1096"/>
    </row>
    <row r="83" spans="2:45" ht="5.0999999999999996" customHeight="1" outlineLevel="1">
      <c r="B83" s="75"/>
      <c r="C83" s="165"/>
      <c r="D83" s="165"/>
      <c r="E83" s="167"/>
      <c r="F83" s="167"/>
      <c r="G83" s="167"/>
      <c r="H83" s="167"/>
      <c r="I83" s="167"/>
      <c r="J83" s="167"/>
      <c r="K83" s="167"/>
      <c r="L83" s="167"/>
      <c r="M83" s="167"/>
      <c r="N83" s="167"/>
      <c r="O83" s="197"/>
      <c r="P83" s="198"/>
      <c r="Q83" s="199"/>
      <c r="R83" s="198"/>
      <c r="S83" s="198"/>
      <c r="T83" s="198"/>
      <c r="U83" s="198"/>
      <c r="V83" s="198"/>
      <c r="W83" s="198"/>
      <c r="X83" s="166"/>
      <c r="Y83" s="75"/>
      <c r="Z83" s="166"/>
      <c r="AA83" s="75"/>
      <c r="AB83" s="166"/>
      <c r="AC83" s="75"/>
      <c r="AD83" s="166"/>
      <c r="AE83" s="75"/>
      <c r="AF83" s="166"/>
      <c r="AG83" s="166"/>
      <c r="AH83" s="166"/>
      <c r="AI83" s="166"/>
      <c r="AJ83" s="166"/>
      <c r="AK83" s="166"/>
      <c r="AL83" s="166"/>
      <c r="AM83" s="166"/>
      <c r="AN83" s="166"/>
      <c r="AO83" s="166"/>
      <c r="AP83" s="166"/>
      <c r="AQ83" s="166"/>
      <c r="AR83" s="1096"/>
    </row>
    <row r="84" spans="2:45" ht="15" outlineLevel="1">
      <c r="B84" s="204" t="s">
        <v>45</v>
      </c>
      <c r="C84" s="165" t="s">
        <v>46</v>
      </c>
      <c r="D84" s="165"/>
      <c r="E84" s="167"/>
      <c r="F84" s="167"/>
      <c r="G84" s="167"/>
      <c r="H84" s="167"/>
      <c r="I84" s="167"/>
      <c r="J84" s="167"/>
      <c r="K84" s="167"/>
      <c r="L84" s="167"/>
      <c r="M84" s="167"/>
      <c r="N84" s="167"/>
      <c r="O84" s="197"/>
      <c r="P84" s="198"/>
      <c r="Q84" s="199"/>
      <c r="R84" s="198"/>
      <c r="S84" s="198"/>
      <c r="T84" s="198"/>
      <c r="U84" s="198"/>
      <c r="V84" s="198"/>
      <c r="W84" s="198"/>
      <c r="X84" s="208"/>
      <c r="Y84" s="75"/>
      <c r="Z84" s="208"/>
      <c r="AA84" s="75"/>
      <c r="AB84" s="208"/>
      <c r="AC84" s="75"/>
      <c r="AD84" s="208">
        <f t="shared" ref="AD84:AQ84" si="12">AD76/AD65</f>
        <v>0.10879617368280238</v>
      </c>
      <c r="AE84" s="75">
        <f t="shared" si="12"/>
        <v>0.10916158048753111</v>
      </c>
      <c r="AF84" s="208">
        <f t="shared" si="12"/>
        <v>0.10637429267052344</v>
      </c>
      <c r="AG84" s="208">
        <f t="shared" si="12"/>
        <v>0.10919219883704587</v>
      </c>
      <c r="AH84" s="208">
        <f t="shared" si="12"/>
        <v>0.11011572349423224</v>
      </c>
      <c r="AI84" s="208">
        <f t="shared" si="12"/>
        <v>0.11092698369756671</v>
      </c>
      <c r="AJ84" s="208">
        <f t="shared" si="12"/>
        <v>0.10988939577183474</v>
      </c>
      <c r="AK84" s="208">
        <f t="shared" si="12"/>
        <v>0.10969977581251558</v>
      </c>
      <c r="AL84" s="208">
        <f t="shared" si="12"/>
        <v>0.10864284378457019</v>
      </c>
      <c r="AM84" s="208">
        <f t="shared" si="12"/>
        <v>0.10765681259150761</v>
      </c>
      <c r="AN84" s="208">
        <f t="shared" si="12"/>
        <v>0.10801363908458268</v>
      </c>
      <c r="AO84" s="208">
        <f t="shared" si="12"/>
        <v>0.10613157903121691</v>
      </c>
      <c r="AP84" s="208">
        <f t="shared" si="12"/>
        <v>0.10515833442720919</v>
      </c>
      <c r="AQ84" s="208">
        <f t="shared" si="12"/>
        <v>0.10155397110305892</v>
      </c>
      <c r="AR84" s="1096"/>
    </row>
    <row r="85" spans="2:45" ht="5.0999999999999996" customHeight="1" outlineLevel="1">
      <c r="B85" s="172"/>
      <c r="C85" s="172"/>
      <c r="D85" s="172"/>
      <c r="E85" s="562"/>
      <c r="F85" s="562"/>
      <c r="G85" s="562"/>
      <c r="H85" s="562"/>
      <c r="I85" s="562"/>
      <c r="J85" s="562"/>
      <c r="K85" s="562"/>
      <c r="L85" s="562"/>
      <c r="M85" s="562"/>
      <c r="N85" s="562"/>
      <c r="O85" s="561"/>
      <c r="P85" s="194"/>
      <c r="Q85" s="194"/>
      <c r="R85" s="194"/>
      <c r="S85" s="194"/>
      <c r="T85" s="194"/>
      <c r="U85" s="194"/>
      <c r="V85" s="194"/>
      <c r="W85" s="194"/>
      <c r="X85" s="200"/>
      <c r="Y85" s="200"/>
      <c r="Z85" s="200"/>
      <c r="AA85" s="200"/>
      <c r="AB85" s="200"/>
      <c r="AC85" s="200"/>
      <c r="AD85" s="200"/>
      <c r="AE85" s="200"/>
      <c r="AF85" s="200"/>
      <c r="AG85" s="200"/>
      <c r="AH85" s="200"/>
      <c r="AI85" s="200"/>
      <c r="AJ85" s="200"/>
      <c r="AK85" s="200"/>
      <c r="AL85" s="200"/>
      <c r="AM85" s="200"/>
      <c r="AN85" s="200"/>
      <c r="AO85" s="200"/>
      <c r="AP85" s="200"/>
      <c r="AQ85" s="200"/>
      <c r="AR85" s="1096"/>
    </row>
    <row r="86" spans="2:45" ht="6" customHeight="1" outlineLevel="1">
      <c r="B86" s="165"/>
      <c r="C86" s="165"/>
      <c r="D86" s="165"/>
      <c r="E86" s="167"/>
      <c r="F86" s="167"/>
      <c r="G86" s="167"/>
      <c r="H86" s="167"/>
      <c r="I86" s="167"/>
      <c r="J86" s="167"/>
      <c r="K86" s="167"/>
      <c r="L86" s="167"/>
      <c r="M86" s="167"/>
      <c r="N86" s="167"/>
      <c r="O86" s="197"/>
      <c r="P86" s="198"/>
      <c r="Q86" s="199"/>
      <c r="R86" s="198"/>
      <c r="S86" s="198"/>
      <c r="T86" s="198"/>
      <c r="U86" s="198"/>
      <c r="V86" s="198"/>
      <c r="W86" s="198"/>
      <c r="X86" s="75"/>
      <c r="Y86" s="75"/>
      <c r="Z86" s="75"/>
      <c r="AA86" s="75"/>
      <c r="AB86" s="75"/>
      <c r="AC86" s="75"/>
      <c r="AD86" s="75"/>
      <c r="AE86" s="1084"/>
      <c r="AF86" s="75"/>
      <c r="AG86" s="75"/>
      <c r="AH86" s="75"/>
      <c r="AI86" s="75"/>
      <c r="AJ86" s="75"/>
      <c r="AK86" s="75"/>
      <c r="AL86" s="75"/>
      <c r="AM86" s="75"/>
      <c r="AN86" s="191"/>
      <c r="AO86" s="191"/>
      <c r="AP86" s="191"/>
      <c r="AQ86" s="191"/>
      <c r="AR86" s="1096"/>
    </row>
    <row r="87" spans="2:45" ht="30" customHeight="1" outlineLevel="1">
      <c r="B87" s="1922" t="s">
        <v>47</v>
      </c>
      <c r="C87" s="1931"/>
      <c r="D87" s="1931"/>
      <c r="E87" s="1931"/>
      <c r="F87" s="1931"/>
      <c r="G87" s="1931"/>
      <c r="H87" s="1931"/>
      <c r="I87" s="1931"/>
      <c r="J87" s="1931"/>
      <c r="K87" s="1931"/>
      <c r="L87" s="1931"/>
      <c r="M87" s="1931"/>
      <c r="N87" s="1931"/>
      <c r="O87" s="1931"/>
      <c r="P87" s="1931"/>
      <c r="Q87" s="1931"/>
      <c r="R87" s="1931"/>
      <c r="S87" s="1931"/>
      <c r="T87" s="1931"/>
      <c r="U87" s="1931"/>
      <c r="V87" s="1931"/>
      <c r="W87" s="1931"/>
      <c r="X87" s="1931"/>
      <c r="Y87" s="1931"/>
      <c r="Z87" s="1931"/>
      <c r="AA87" s="1931"/>
      <c r="AB87" s="1931"/>
      <c r="AC87" s="1931"/>
      <c r="AD87" s="1931"/>
      <c r="AE87" s="1084"/>
      <c r="AF87" s="369"/>
      <c r="AG87" s="369"/>
      <c r="AH87" s="369"/>
      <c r="AI87" s="369"/>
      <c r="AJ87" s="369"/>
      <c r="AK87" s="369"/>
      <c r="AL87" s="369"/>
      <c r="AM87" s="369"/>
      <c r="AN87" s="369"/>
    </row>
    <row r="88" spans="2:45">
      <c r="R88" s="1084"/>
      <c r="S88" s="1084"/>
      <c r="T88" s="1084"/>
      <c r="U88" s="1084"/>
      <c r="V88" s="1084"/>
      <c r="W88" s="1084"/>
      <c r="X88" s="1090"/>
      <c r="Y88" s="1090"/>
      <c r="Z88" s="1090"/>
      <c r="AA88" s="1090"/>
      <c r="AB88" s="1090"/>
      <c r="AC88" s="1090"/>
      <c r="AD88" s="1090"/>
      <c r="AE88" s="1084"/>
      <c r="AF88" s="1090"/>
      <c r="AG88" s="1090"/>
      <c r="AH88" s="1090"/>
      <c r="AI88" s="1090"/>
      <c r="AJ88" s="1090"/>
      <c r="AK88" s="1090"/>
      <c r="AL88" s="1090"/>
      <c r="AM88" s="1090"/>
      <c r="AN88" s="1090"/>
    </row>
    <row r="89" spans="2:45">
      <c r="R89" s="1084"/>
      <c r="S89" s="1084"/>
      <c r="T89" s="1084"/>
      <c r="U89" s="1084"/>
      <c r="V89" s="1084"/>
      <c r="W89" s="1084"/>
      <c r="X89" s="1090"/>
      <c r="Y89" s="1090"/>
      <c r="Z89" s="1090"/>
      <c r="AA89" s="1090"/>
      <c r="AB89" s="1090"/>
      <c r="AC89" s="1090"/>
      <c r="AD89" s="1090"/>
      <c r="AE89" s="1084"/>
      <c r="AF89" s="1090"/>
      <c r="AG89" s="1090"/>
      <c r="AH89" s="1090"/>
      <c r="AI89" s="1090"/>
      <c r="AJ89" s="1090"/>
      <c r="AK89" s="1090"/>
      <c r="AL89" s="1090"/>
      <c r="AM89" s="1090"/>
      <c r="AN89" s="1090"/>
    </row>
    <row r="90" spans="2:45">
      <c r="B90" s="170" t="s">
        <v>48</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084"/>
      <c r="AF90" s="171"/>
      <c r="AG90" s="171"/>
      <c r="AH90" s="171"/>
      <c r="AI90" s="171"/>
      <c r="AJ90" s="171"/>
      <c r="AK90" s="171"/>
      <c r="AL90" s="171"/>
      <c r="AM90" s="171"/>
      <c r="AN90" s="171"/>
    </row>
    <row r="91" spans="2:45">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091"/>
      <c r="AF91" s="195"/>
      <c r="AG91" s="196"/>
      <c r="AH91" s="196"/>
      <c r="AI91" s="196"/>
      <c r="AJ91" s="196"/>
      <c r="AK91" s="196"/>
      <c r="AL91" s="196"/>
      <c r="AM91" s="196"/>
      <c r="AN91" s="196"/>
    </row>
    <row r="92" spans="2:45">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196"/>
      <c r="AD92" s="1098">
        <v>2007</v>
      </c>
      <c r="AE92" s="196"/>
      <c r="AF92" s="1098">
        <v>2009</v>
      </c>
      <c r="AG92" s="1082">
        <v>2010</v>
      </c>
      <c r="AH92" s="1082">
        <v>2011</v>
      </c>
      <c r="AI92" s="1082">
        <v>2012</v>
      </c>
      <c r="AJ92" s="1082">
        <v>2013</v>
      </c>
      <c r="AK92" s="1082">
        <v>2014</v>
      </c>
      <c r="AL92" s="1082">
        <v>2015</v>
      </c>
      <c r="AM92" s="1082">
        <v>2016</v>
      </c>
      <c r="AN92" s="1082">
        <v>2017</v>
      </c>
      <c r="AO92" s="1082">
        <v>2018</v>
      </c>
      <c r="AP92" s="1082">
        <v>2019</v>
      </c>
      <c r="AQ92" s="1082">
        <v>2020</v>
      </c>
      <c r="AR92" s="369" t="s">
        <v>1222</v>
      </c>
      <c r="AS92" s="369" t="s">
        <v>1223</v>
      </c>
    </row>
    <row r="93" spans="2:45">
      <c r="B93" s="1099"/>
      <c r="C93" s="1099"/>
      <c r="D93" s="1099"/>
      <c r="E93" s="1099"/>
      <c r="F93" s="1099"/>
      <c r="G93" s="1099"/>
      <c r="H93" s="1099"/>
      <c r="I93" s="1099"/>
      <c r="J93" s="1099"/>
      <c r="K93" s="1099"/>
      <c r="L93" s="1099"/>
      <c r="M93" s="1099"/>
      <c r="N93" s="1099"/>
      <c r="O93" s="1099"/>
      <c r="P93" s="1099"/>
      <c r="Q93" s="1099"/>
      <c r="R93" s="1100"/>
      <c r="S93" s="1100"/>
      <c r="T93" s="1100"/>
      <c r="U93" s="1100"/>
      <c r="V93" s="1100"/>
      <c r="W93" s="1100"/>
      <c r="X93" s="1101"/>
      <c r="Y93" s="1101"/>
      <c r="Z93" s="1101"/>
      <c r="AA93" s="1101"/>
      <c r="AB93" s="1101"/>
      <c r="AC93" s="1101"/>
      <c r="AD93" s="1101"/>
      <c r="AE93" s="1101"/>
      <c r="AF93" s="1101"/>
      <c r="AG93" s="1101"/>
      <c r="AH93" s="1101"/>
      <c r="AI93" s="1101"/>
      <c r="AJ93" s="1101"/>
      <c r="AK93" s="1101"/>
      <c r="AL93" s="1101"/>
      <c r="AM93" s="1101"/>
      <c r="AN93" s="1101"/>
    </row>
    <row r="94" spans="2:45" s="1102" customFormat="1">
      <c r="B94" s="217" t="s">
        <v>49</v>
      </c>
      <c r="P94" s="1103">
        <v>0</v>
      </c>
      <c r="Q94" s="1103">
        <v>0</v>
      </c>
      <c r="R94" s="1103">
        <v>0</v>
      </c>
      <c r="S94" s="1103">
        <v>0</v>
      </c>
      <c r="T94" s="1103">
        <v>0</v>
      </c>
      <c r="U94" s="1103">
        <v>0</v>
      </c>
      <c r="V94" s="1103">
        <v>0</v>
      </c>
      <c r="W94" s="1103"/>
      <c r="X94" s="1104">
        <v>0</v>
      </c>
      <c r="Y94" s="1104"/>
      <c r="Z94" s="1104">
        <v>0</v>
      </c>
      <c r="AA94" s="1104"/>
      <c r="AB94" s="1104">
        <v>0</v>
      </c>
      <c r="AC94" s="1104"/>
      <c r="AD94" s="1104">
        <v>2740</v>
      </c>
      <c r="AE94" s="1104"/>
      <c r="AF94" s="1104">
        <v>2200</v>
      </c>
      <c r="AG94" s="1104">
        <v>2280</v>
      </c>
      <c r="AH94" s="1104">
        <v>2240</v>
      </c>
      <c r="AI94" s="1104">
        <v>3060</v>
      </c>
      <c r="AJ94" s="1104">
        <v>2990</v>
      </c>
      <c r="AK94" s="1104">
        <v>3080</v>
      </c>
      <c r="AL94" s="1104">
        <v>3200</v>
      </c>
      <c r="AM94" s="1104">
        <v>3180</v>
      </c>
      <c r="AN94" s="1104">
        <v>3350</v>
      </c>
      <c r="AO94" s="1104">
        <v>3510</v>
      </c>
      <c r="AP94" s="1104">
        <v>3560</v>
      </c>
      <c r="AQ94" s="1104">
        <v>3720</v>
      </c>
    </row>
    <row r="95" spans="2:45">
      <c r="R95" s="1084"/>
      <c r="S95" s="1084"/>
      <c r="T95" s="1084"/>
      <c r="U95" s="1084"/>
      <c r="V95" s="1084"/>
      <c r="W95" s="1084"/>
      <c r="X95" s="1085"/>
      <c r="Y95" s="1085"/>
      <c r="Z95" s="1085"/>
      <c r="AA95" s="1085"/>
      <c r="AB95" s="1085"/>
      <c r="AC95" s="1085"/>
      <c r="AD95" s="1085"/>
      <c r="AE95" s="1085"/>
      <c r="AF95" s="1105"/>
      <c r="AG95" s="1105"/>
      <c r="AH95" s="1105"/>
      <c r="AI95" s="1105"/>
      <c r="AJ95" s="1105"/>
      <c r="AK95" s="1106"/>
      <c r="AL95" s="1106"/>
      <c r="AM95" s="1106"/>
      <c r="AN95" s="1106"/>
    </row>
    <row r="96" spans="2:45">
      <c r="B96" s="1102" t="s">
        <v>50</v>
      </c>
      <c r="R96" s="1084"/>
      <c r="S96" s="1084"/>
      <c r="T96" s="1084"/>
      <c r="U96" s="1084"/>
      <c r="V96" s="1084"/>
      <c r="W96" s="1084"/>
      <c r="X96" s="1085"/>
      <c r="Y96" s="1085"/>
      <c r="Z96" s="1085"/>
      <c r="AA96" s="1085"/>
      <c r="AB96" s="1085"/>
      <c r="AC96" s="1085"/>
      <c r="AD96" s="1085"/>
      <c r="AE96" s="1085"/>
      <c r="AF96" s="1105"/>
      <c r="AG96" s="1105"/>
      <c r="AH96" s="1105"/>
      <c r="AI96" s="1105"/>
      <c r="AJ96" s="1105"/>
      <c r="AK96" s="1106"/>
      <c r="AL96" s="1106"/>
      <c r="AM96" s="1106"/>
      <c r="AN96" s="1106"/>
      <c r="AO96" s="1087"/>
      <c r="AP96" s="1087"/>
      <c r="AQ96" s="1087"/>
      <c r="AS96" s="1107" t="s">
        <v>1220</v>
      </c>
    </row>
    <row r="97" spans="2:45">
      <c r="B97" s="369" t="s">
        <v>394</v>
      </c>
      <c r="C97" s="369" t="s">
        <v>1224</v>
      </c>
      <c r="R97" s="1084"/>
      <c r="S97" s="1084"/>
      <c r="T97" s="1084"/>
      <c r="U97" s="1084"/>
      <c r="V97" s="1084"/>
      <c r="W97" s="1084"/>
      <c r="X97" s="1085"/>
      <c r="Y97" s="1085"/>
      <c r="Z97" s="1085"/>
      <c r="AA97" s="1085"/>
      <c r="AB97" s="1085"/>
      <c r="AC97" s="1085"/>
      <c r="AD97" s="166">
        <v>665</v>
      </c>
      <c r="AE97" s="1085"/>
      <c r="AF97" s="1105">
        <v>530</v>
      </c>
      <c r="AG97" s="1105">
        <v>550</v>
      </c>
      <c r="AH97" s="1105">
        <v>540</v>
      </c>
      <c r="AI97" s="1105">
        <v>570</v>
      </c>
      <c r="AJ97" s="1105">
        <v>540</v>
      </c>
      <c r="AK97" s="1106">
        <v>560</v>
      </c>
      <c r="AL97" s="1106">
        <v>590</v>
      </c>
      <c r="AM97" s="1106">
        <v>580</v>
      </c>
      <c r="AN97" s="1106">
        <v>620</v>
      </c>
      <c r="AO97" s="1106">
        <v>660</v>
      </c>
      <c r="AP97" s="1106">
        <v>670</v>
      </c>
      <c r="AQ97" s="1106">
        <v>710</v>
      </c>
      <c r="AS97" s="1107" t="s">
        <v>1221</v>
      </c>
    </row>
    <row r="98" spans="2:45">
      <c r="B98" s="369" t="s">
        <v>1225</v>
      </c>
      <c r="C98" s="1108" t="s">
        <v>1226</v>
      </c>
      <c r="R98" s="1084"/>
      <c r="S98" s="1084"/>
      <c r="T98" s="1084"/>
      <c r="U98" s="1084"/>
      <c r="V98" s="1084"/>
      <c r="W98" s="1084"/>
      <c r="X98" s="1085"/>
      <c r="Y98" s="1085"/>
      <c r="Z98" s="1085"/>
      <c r="AA98" s="1085"/>
      <c r="AB98" s="1085"/>
      <c r="AC98" s="1085"/>
      <c r="AD98" s="1105">
        <v>20</v>
      </c>
      <c r="AE98" s="1085"/>
      <c r="AF98" s="1105">
        <v>20</v>
      </c>
      <c r="AG98" s="1105">
        <v>20</v>
      </c>
      <c r="AH98" s="1105">
        <v>20</v>
      </c>
      <c r="AI98" s="1105">
        <v>20</v>
      </c>
      <c r="AJ98" s="1105">
        <v>20</v>
      </c>
      <c r="AK98" s="1106">
        <v>20</v>
      </c>
      <c r="AL98" s="1106">
        <v>20</v>
      </c>
      <c r="AM98" s="1106">
        <v>20</v>
      </c>
      <c r="AN98" s="1106">
        <v>20</v>
      </c>
      <c r="AO98" s="1106">
        <v>20</v>
      </c>
      <c r="AP98" s="1106">
        <v>20</v>
      </c>
      <c r="AQ98" s="1106">
        <v>20</v>
      </c>
      <c r="AS98" s="1107" t="s">
        <v>1227</v>
      </c>
    </row>
    <row r="99" spans="2:45">
      <c r="B99" s="369" t="s">
        <v>396</v>
      </c>
      <c r="C99" s="369" t="s">
        <v>1536</v>
      </c>
      <c r="R99" s="1084"/>
      <c r="S99" s="1084"/>
      <c r="T99" s="1084"/>
      <c r="U99" s="1084"/>
      <c r="V99" s="1084"/>
      <c r="W99" s="1084"/>
      <c r="X99" s="1085"/>
      <c r="Y99" s="1085"/>
      <c r="Z99" s="1085"/>
      <c r="AA99" s="1085"/>
      <c r="AB99" s="1085"/>
      <c r="AC99" s="1085"/>
      <c r="AD99" s="1109"/>
      <c r="AE99" s="1109"/>
      <c r="AF99" s="1109"/>
      <c r="AG99" s="1109"/>
      <c r="AH99" s="1109"/>
      <c r="AI99" s="1109"/>
      <c r="AJ99" s="1109"/>
      <c r="AK99" s="1110"/>
      <c r="AL99" s="1110"/>
      <c r="AM99" s="1110"/>
      <c r="AN99" s="1106"/>
      <c r="AO99" s="1089"/>
      <c r="AP99" s="1089"/>
      <c r="AQ99" s="1089"/>
      <c r="AS99" s="1107" t="s">
        <v>1228</v>
      </c>
    </row>
    <row r="100" spans="2:45">
      <c r="B100" s="369" t="s">
        <v>398</v>
      </c>
      <c r="C100" s="369" t="s">
        <v>1229</v>
      </c>
      <c r="R100" s="1084"/>
      <c r="S100" s="1084"/>
      <c r="T100" s="1084"/>
      <c r="U100" s="1084"/>
      <c r="V100" s="1084"/>
      <c r="W100" s="1084"/>
      <c r="X100" s="1085"/>
      <c r="Y100" s="1085"/>
      <c r="Z100" s="1085"/>
      <c r="AA100" s="1085"/>
      <c r="AB100" s="1085"/>
      <c r="AC100" s="1085"/>
      <c r="AD100" s="1105"/>
      <c r="AE100" s="1085"/>
      <c r="AF100" s="1105"/>
      <c r="AG100" s="1105"/>
      <c r="AH100" s="1105"/>
      <c r="AI100" s="1105">
        <v>55</v>
      </c>
      <c r="AJ100" s="1105">
        <v>60</v>
      </c>
      <c r="AK100" s="1106">
        <v>60</v>
      </c>
      <c r="AL100" s="1106">
        <v>60</v>
      </c>
      <c r="AM100" s="1106">
        <v>60</v>
      </c>
      <c r="AN100" s="1106">
        <v>60</v>
      </c>
      <c r="AO100" s="1106">
        <v>60</v>
      </c>
      <c r="AP100" s="1106">
        <v>60</v>
      </c>
      <c r="AQ100" s="1106">
        <v>60</v>
      </c>
      <c r="AR100" s="369">
        <v>180</v>
      </c>
      <c r="AS100" s="369" t="s">
        <v>1230</v>
      </c>
    </row>
    <row r="101" spans="2:45">
      <c r="B101" s="369" t="s">
        <v>400</v>
      </c>
      <c r="C101" s="369" t="s">
        <v>1231</v>
      </c>
      <c r="R101" s="1084"/>
      <c r="S101" s="1084"/>
      <c r="T101" s="1084"/>
      <c r="U101" s="1084"/>
      <c r="V101" s="1084"/>
      <c r="W101" s="1084"/>
      <c r="X101" s="1085"/>
      <c r="Y101" s="1085"/>
      <c r="Z101" s="1085"/>
      <c r="AA101" s="1085"/>
      <c r="AB101" s="1085"/>
      <c r="AC101" s="1085"/>
      <c r="AD101" s="1105"/>
      <c r="AE101" s="1085"/>
      <c r="AF101" s="1105"/>
      <c r="AG101" s="1105"/>
      <c r="AH101" s="1105"/>
      <c r="AI101" s="1105">
        <v>65</v>
      </c>
      <c r="AJ101" s="1105">
        <v>70</v>
      </c>
      <c r="AK101" s="1106">
        <v>70</v>
      </c>
      <c r="AL101" s="1106">
        <v>70</v>
      </c>
      <c r="AM101" s="1106">
        <v>70</v>
      </c>
      <c r="AN101" s="1106">
        <v>70</v>
      </c>
      <c r="AO101" s="1106">
        <v>70</v>
      </c>
      <c r="AP101" s="1106">
        <v>70</v>
      </c>
      <c r="AQ101" s="1106">
        <v>70</v>
      </c>
      <c r="AR101" s="369">
        <v>170</v>
      </c>
      <c r="AS101" s="369" t="s">
        <v>1232</v>
      </c>
    </row>
    <row r="102" spans="2:45">
      <c r="B102" s="369" t="s">
        <v>402</v>
      </c>
      <c r="C102" s="369" t="s">
        <v>1233</v>
      </c>
      <c r="R102" s="1084"/>
      <c r="S102" s="1084"/>
      <c r="T102" s="1084"/>
      <c r="U102" s="1084"/>
      <c r="V102" s="1084"/>
      <c r="W102" s="1084"/>
      <c r="X102" s="1085"/>
      <c r="Y102" s="1085"/>
      <c r="Z102" s="1085"/>
      <c r="AA102" s="1085"/>
      <c r="AB102" s="1085"/>
      <c r="AC102" s="1085"/>
      <c r="AD102" s="1105"/>
      <c r="AE102" s="1085"/>
      <c r="AF102" s="1105"/>
      <c r="AG102" s="1105"/>
      <c r="AH102" s="1105"/>
      <c r="AI102" s="1105">
        <v>220</v>
      </c>
      <c r="AJ102" s="1105">
        <v>230</v>
      </c>
      <c r="AK102" s="1106">
        <v>240</v>
      </c>
      <c r="AL102" s="1106">
        <v>240</v>
      </c>
      <c r="AM102" s="1106">
        <v>260</v>
      </c>
      <c r="AN102" s="1106">
        <v>270</v>
      </c>
      <c r="AO102" s="1106">
        <v>270</v>
      </c>
      <c r="AP102" s="1106">
        <v>280</v>
      </c>
      <c r="AQ102" s="1106">
        <v>280</v>
      </c>
      <c r="AR102" s="369">
        <v>0</v>
      </c>
      <c r="AS102" s="369" t="s">
        <v>1234</v>
      </c>
    </row>
    <row r="103" spans="2:45">
      <c r="B103" s="369" t="s">
        <v>404</v>
      </c>
      <c r="C103" s="369" t="s">
        <v>1235</v>
      </c>
      <c r="R103" s="1084"/>
      <c r="S103" s="1084"/>
      <c r="T103" s="1084"/>
      <c r="U103" s="1084"/>
      <c r="V103" s="1084"/>
      <c r="W103" s="1084"/>
      <c r="X103" s="1085"/>
      <c r="Y103" s="1085"/>
      <c r="Z103" s="1085"/>
      <c r="AA103" s="1085"/>
      <c r="AB103" s="1085"/>
      <c r="AC103" s="1085"/>
      <c r="AD103" s="1106">
        <v>2055</v>
      </c>
      <c r="AE103" s="1106"/>
      <c r="AF103" s="1106">
        <v>1650</v>
      </c>
      <c r="AG103" s="1106">
        <v>1710</v>
      </c>
      <c r="AH103" s="1106">
        <v>1680</v>
      </c>
      <c r="AI103" s="1106">
        <v>2130</v>
      </c>
      <c r="AJ103" s="1106">
        <v>2070</v>
      </c>
      <c r="AK103" s="1106">
        <v>2130</v>
      </c>
      <c r="AL103" s="1106">
        <v>2220</v>
      </c>
      <c r="AM103" s="1106">
        <v>2190</v>
      </c>
      <c r="AN103" s="1106">
        <v>2310</v>
      </c>
      <c r="AO103" s="1106">
        <v>2430</v>
      </c>
      <c r="AP103" s="1106">
        <v>2460</v>
      </c>
      <c r="AQ103" s="1106">
        <v>2580</v>
      </c>
      <c r="AS103" s="369" t="s">
        <v>1236</v>
      </c>
    </row>
    <row r="104" spans="2:45">
      <c r="R104" s="1084"/>
      <c r="S104" s="1084"/>
      <c r="T104" s="1084"/>
      <c r="U104" s="1084"/>
      <c r="V104" s="1084"/>
      <c r="W104" s="1084"/>
      <c r="X104" s="1085"/>
      <c r="Y104" s="1085"/>
      <c r="Z104" s="1085"/>
      <c r="AA104" s="1085"/>
      <c r="AB104" s="1085"/>
      <c r="AC104" s="1085"/>
      <c r="AD104" s="1105"/>
      <c r="AE104" s="1085"/>
      <c r="AF104" s="1105"/>
      <c r="AG104" s="1105"/>
      <c r="AH104" s="1105"/>
      <c r="AI104" s="1105"/>
      <c r="AJ104" s="1105"/>
      <c r="AK104" s="1106"/>
      <c r="AL104" s="1106"/>
      <c r="AM104" s="1106"/>
      <c r="AN104" s="1106"/>
      <c r="AS104" s="369" t="s">
        <v>1237</v>
      </c>
    </row>
    <row r="105" spans="2:45">
      <c r="R105" s="1084"/>
      <c r="S105" s="1084"/>
      <c r="T105" s="1084"/>
      <c r="U105" s="1084"/>
      <c r="V105" s="1084"/>
      <c r="W105" s="1084"/>
      <c r="X105" s="1085"/>
      <c r="Y105" s="1085"/>
      <c r="Z105" s="1085"/>
      <c r="AA105" s="1085"/>
      <c r="AB105" s="1085"/>
      <c r="AC105" s="1085"/>
      <c r="AD105" s="1105"/>
      <c r="AE105" s="1085"/>
      <c r="AF105" s="1105"/>
      <c r="AG105" s="1105"/>
      <c r="AH105" s="1105"/>
      <c r="AI105" s="1105"/>
      <c r="AJ105" s="1105"/>
      <c r="AK105" s="1106"/>
      <c r="AL105" s="1106"/>
      <c r="AM105" s="1106"/>
      <c r="AN105" s="1106"/>
      <c r="AS105" s="369" t="s">
        <v>1238</v>
      </c>
    </row>
    <row r="106" spans="2:45">
      <c r="R106" s="1084"/>
      <c r="S106" s="1084"/>
      <c r="T106" s="1084"/>
      <c r="U106" s="1084"/>
      <c r="V106" s="1084"/>
      <c r="W106" s="1084"/>
      <c r="X106" s="1085"/>
      <c r="Y106" s="1085"/>
      <c r="Z106" s="1085"/>
      <c r="AA106" s="1085"/>
      <c r="AB106" s="1085"/>
      <c r="AC106" s="1085"/>
      <c r="AD106" s="1105"/>
      <c r="AE106" s="1085"/>
      <c r="AF106" s="1105"/>
      <c r="AG106" s="1105"/>
      <c r="AH106" s="1105"/>
      <c r="AI106" s="1105"/>
      <c r="AJ106" s="1105"/>
      <c r="AK106" s="1106"/>
      <c r="AL106" s="1106"/>
      <c r="AM106" s="1106"/>
      <c r="AN106" s="1106"/>
      <c r="AS106" s="369" t="s">
        <v>1239</v>
      </c>
    </row>
    <row r="107" spans="2:45" s="1102" customFormat="1">
      <c r="B107" s="217" t="s">
        <v>78</v>
      </c>
      <c r="P107" s="1103">
        <v>0</v>
      </c>
      <c r="Q107" s="1103">
        <v>0</v>
      </c>
      <c r="R107" s="1103">
        <v>0</v>
      </c>
      <c r="S107" s="1103">
        <v>0</v>
      </c>
      <c r="T107" s="1103">
        <v>0</v>
      </c>
      <c r="U107" s="1103">
        <v>0</v>
      </c>
      <c r="V107" s="1103">
        <v>0</v>
      </c>
      <c r="W107" s="1103"/>
      <c r="X107" s="1104">
        <v>0</v>
      </c>
      <c r="Y107" s="1104"/>
      <c r="Z107" s="1104">
        <v>0</v>
      </c>
      <c r="AA107" s="1104"/>
      <c r="AB107" s="1104">
        <v>0</v>
      </c>
      <c r="AC107" s="1104"/>
      <c r="AD107" s="1104">
        <v>224</v>
      </c>
      <c r="AE107" s="1104"/>
      <c r="AF107" s="1104">
        <v>260</v>
      </c>
      <c r="AG107" s="1104">
        <v>255</v>
      </c>
      <c r="AH107" s="1104">
        <v>270</v>
      </c>
      <c r="AI107" s="1104">
        <v>270</v>
      </c>
      <c r="AJ107" s="1104">
        <v>270</v>
      </c>
      <c r="AK107" s="1104">
        <v>270</v>
      </c>
      <c r="AL107" s="1104">
        <v>275</v>
      </c>
      <c r="AM107" s="1104">
        <v>275</v>
      </c>
      <c r="AN107" s="1104">
        <v>275</v>
      </c>
      <c r="AO107" s="1104">
        <v>275</v>
      </c>
      <c r="AP107" s="1104">
        <v>275</v>
      </c>
      <c r="AQ107" s="1104">
        <v>275</v>
      </c>
      <c r="AS107" s="1102" t="s">
        <v>1240</v>
      </c>
    </row>
    <row r="108" spans="2:45">
      <c r="R108" s="1084"/>
      <c r="S108" s="1084"/>
      <c r="T108" s="1084"/>
      <c r="U108" s="1084"/>
      <c r="V108" s="1084"/>
      <c r="W108" s="1084"/>
      <c r="X108" s="1085"/>
      <c r="Y108" s="1085"/>
      <c r="Z108" s="1085"/>
      <c r="AA108" s="1085"/>
      <c r="AB108" s="1085"/>
      <c r="AC108" s="1085"/>
      <c r="AD108" s="1105"/>
      <c r="AE108" s="1085"/>
      <c r="AF108" s="1105"/>
      <c r="AG108" s="1105"/>
      <c r="AH108" s="1105"/>
      <c r="AI108" s="1105"/>
      <c r="AJ108" s="1105"/>
      <c r="AK108" s="1105"/>
      <c r="AL108" s="1105"/>
      <c r="AM108" s="1105"/>
      <c r="AN108" s="1105"/>
      <c r="AO108" s="1105"/>
      <c r="AP108" s="1105"/>
      <c r="AQ108" s="1105"/>
      <c r="AS108" s="369" t="s">
        <v>1241</v>
      </c>
    </row>
    <row r="109" spans="2:45">
      <c r="B109" s="1108" t="s">
        <v>394</v>
      </c>
      <c r="C109" s="1111" t="s">
        <v>1242</v>
      </c>
      <c r="X109" s="1085"/>
      <c r="Y109" s="1085"/>
      <c r="Z109" s="1085"/>
      <c r="AA109" s="1085"/>
      <c r="AB109" s="1085"/>
      <c r="AC109" s="1085"/>
      <c r="AD109" s="166" t="s">
        <v>300</v>
      </c>
      <c r="AE109" s="1085"/>
      <c r="AF109" s="1105" t="s">
        <v>300</v>
      </c>
      <c r="AG109" s="1105" t="s">
        <v>1243</v>
      </c>
      <c r="AH109" s="1105" t="s">
        <v>300</v>
      </c>
      <c r="AI109" s="1105" t="s">
        <v>300</v>
      </c>
      <c r="AJ109" s="1105" t="s">
        <v>300</v>
      </c>
      <c r="AK109" s="1105" t="s">
        <v>300</v>
      </c>
      <c r="AL109" s="1105" t="s">
        <v>300</v>
      </c>
      <c r="AM109" s="1105" t="s">
        <v>300</v>
      </c>
      <c r="AN109" s="1105" t="s">
        <v>300</v>
      </c>
      <c r="AO109" s="1105" t="s">
        <v>300</v>
      </c>
      <c r="AP109" s="1105" t="s">
        <v>300</v>
      </c>
      <c r="AQ109" s="1105" t="s">
        <v>300</v>
      </c>
      <c r="AS109" s="369" t="s">
        <v>1244</v>
      </c>
    </row>
    <row r="110" spans="2:45">
      <c r="B110" s="1108" t="s">
        <v>1225</v>
      </c>
      <c r="C110" s="1108" t="s">
        <v>1245</v>
      </c>
      <c r="X110" s="1085"/>
      <c r="Y110" s="1085"/>
      <c r="Z110" s="1085"/>
      <c r="AA110" s="1085"/>
      <c r="AB110" s="1085"/>
      <c r="AC110" s="1085"/>
      <c r="AD110" s="166">
        <v>68</v>
      </c>
      <c r="AE110" s="1085"/>
      <c r="AF110" s="1105">
        <v>80</v>
      </c>
      <c r="AG110" s="1105">
        <v>80</v>
      </c>
      <c r="AH110" s="1105">
        <v>85</v>
      </c>
      <c r="AI110" s="1105">
        <v>85</v>
      </c>
      <c r="AJ110" s="1105">
        <v>85</v>
      </c>
      <c r="AK110" s="1105">
        <v>85</v>
      </c>
      <c r="AL110" s="1105">
        <v>85</v>
      </c>
      <c r="AM110" s="1105">
        <v>85</v>
      </c>
      <c r="AN110" s="1105">
        <v>85</v>
      </c>
      <c r="AO110" s="1105">
        <v>85</v>
      </c>
      <c r="AP110" s="1105">
        <v>85</v>
      </c>
      <c r="AQ110" s="1105">
        <v>85</v>
      </c>
      <c r="AS110" s="369" t="s">
        <v>1246</v>
      </c>
    </row>
    <row r="111" spans="2:45">
      <c r="B111" s="1108" t="s">
        <v>396</v>
      </c>
      <c r="C111" s="1108" t="s">
        <v>1247</v>
      </c>
      <c r="X111" s="1085"/>
      <c r="Y111" s="1085"/>
      <c r="Z111" s="1085"/>
      <c r="AA111" s="1085"/>
      <c r="AB111" s="1085"/>
      <c r="AC111" s="1085"/>
      <c r="AD111" s="166">
        <v>156</v>
      </c>
      <c r="AE111" s="1085"/>
      <c r="AF111" s="1105">
        <v>180</v>
      </c>
      <c r="AG111" s="1105">
        <v>175</v>
      </c>
      <c r="AH111" s="1105">
        <v>185</v>
      </c>
      <c r="AI111" s="1105">
        <v>185</v>
      </c>
      <c r="AJ111" s="1105">
        <v>185</v>
      </c>
      <c r="AK111" s="1105">
        <v>185</v>
      </c>
      <c r="AL111" s="1105">
        <v>190</v>
      </c>
      <c r="AM111" s="1105">
        <v>190</v>
      </c>
      <c r="AN111" s="1105">
        <v>190</v>
      </c>
      <c r="AO111" s="1105">
        <v>190</v>
      </c>
      <c r="AP111" s="1105">
        <v>190</v>
      </c>
      <c r="AQ111" s="1105">
        <v>190</v>
      </c>
    </row>
    <row r="112" spans="2:45">
      <c r="X112" s="1085"/>
      <c r="Y112" s="1085"/>
      <c r="Z112" s="1085"/>
      <c r="AA112" s="1085"/>
      <c r="AB112" s="1085"/>
      <c r="AC112" s="1085"/>
      <c r="AD112" s="1105"/>
      <c r="AE112" s="1085"/>
      <c r="AF112" s="1105"/>
      <c r="AG112" s="1105"/>
      <c r="AH112" s="1105"/>
      <c r="AI112" s="1105"/>
      <c r="AJ112" s="1105"/>
      <c r="AK112" s="1105"/>
      <c r="AL112" s="1105"/>
      <c r="AM112" s="1105"/>
      <c r="AN112" s="1105"/>
    </row>
    <row r="113" spans="2:45">
      <c r="X113" s="1085"/>
      <c r="Y113" s="1085"/>
      <c r="Z113" s="1085"/>
      <c r="AA113" s="1085"/>
      <c r="AB113" s="1085"/>
      <c r="AC113" s="1085"/>
      <c r="AD113" s="1105"/>
      <c r="AE113" s="1085"/>
      <c r="AF113" s="1105"/>
      <c r="AG113" s="1105"/>
      <c r="AH113" s="1105"/>
      <c r="AI113" s="1105"/>
      <c r="AJ113" s="1105"/>
      <c r="AK113" s="1105"/>
      <c r="AL113" s="1105"/>
      <c r="AM113" s="1105"/>
      <c r="AN113" s="1105"/>
    </row>
    <row r="114" spans="2:45">
      <c r="X114" s="1085"/>
      <c r="Y114" s="1085"/>
      <c r="Z114" s="1085"/>
      <c r="AA114" s="1085"/>
      <c r="AB114" s="1085"/>
      <c r="AC114" s="1085"/>
      <c r="AD114" s="1105"/>
      <c r="AE114" s="1085"/>
      <c r="AF114" s="1105"/>
      <c r="AG114" s="1105"/>
      <c r="AH114" s="1105"/>
      <c r="AI114" s="1105"/>
      <c r="AJ114" s="1105"/>
      <c r="AK114" s="1105"/>
      <c r="AL114" s="1105"/>
      <c r="AM114" s="1105"/>
      <c r="AN114" s="1105"/>
    </row>
    <row r="115" spans="2:45" ht="13.5">
      <c r="B115" s="1112" t="s">
        <v>446</v>
      </c>
      <c r="X115" s="1085"/>
      <c r="Y115" s="1085"/>
      <c r="Z115" s="1085"/>
      <c r="AA115" s="1085"/>
      <c r="AB115" s="1085"/>
      <c r="AC115" s="1085"/>
      <c r="AD115" s="1105"/>
      <c r="AE115" s="1085"/>
      <c r="AF115" s="1105"/>
      <c r="AG115" s="1105"/>
      <c r="AH115" s="1105"/>
      <c r="AI115" s="1105"/>
      <c r="AJ115" s="1105"/>
      <c r="AK115" s="1105"/>
      <c r="AL115" s="1105"/>
      <c r="AM115" s="1105"/>
      <c r="AN115" s="1105"/>
    </row>
    <row r="116" spans="2:45">
      <c r="B116" s="217" t="s">
        <v>447</v>
      </c>
      <c r="P116" s="1103">
        <v>0</v>
      </c>
      <c r="Q116" s="1103">
        <v>0</v>
      </c>
      <c r="R116" s="1103">
        <v>0</v>
      </c>
      <c r="S116" s="1103">
        <v>0</v>
      </c>
      <c r="T116" s="1103">
        <v>0</v>
      </c>
      <c r="U116" s="1103">
        <v>0</v>
      </c>
      <c r="V116" s="1103">
        <v>0</v>
      </c>
      <c r="W116" s="1084"/>
      <c r="X116" s="1104">
        <v>0</v>
      </c>
      <c r="Y116" s="1104"/>
      <c r="Z116" s="1104">
        <v>0</v>
      </c>
      <c r="AA116" s="1105"/>
      <c r="AB116" s="1113">
        <v>0</v>
      </c>
      <c r="AC116" s="1104"/>
      <c r="AD116" s="1104">
        <v>7053</v>
      </c>
      <c r="AE116" s="1104"/>
      <c r="AF116" s="1104">
        <v>6670</v>
      </c>
      <c r="AG116" s="1104">
        <v>7410</v>
      </c>
      <c r="AH116" s="1104">
        <v>7365</v>
      </c>
      <c r="AI116" s="1104">
        <v>7605</v>
      </c>
      <c r="AJ116" s="1104">
        <v>7945</v>
      </c>
      <c r="AK116" s="1104">
        <v>8185</v>
      </c>
      <c r="AL116" s="1104">
        <v>8125</v>
      </c>
      <c r="AM116" s="1104">
        <v>8125</v>
      </c>
      <c r="AN116" s="1104">
        <v>8505</v>
      </c>
      <c r="AO116" s="1104">
        <v>8605</v>
      </c>
      <c r="AP116" s="1104">
        <v>9076</v>
      </c>
      <c r="AQ116" s="1104">
        <v>9677</v>
      </c>
    </row>
    <row r="117" spans="2:45">
      <c r="B117" s="217"/>
      <c r="R117" s="1084"/>
      <c r="S117" s="1084"/>
      <c r="T117" s="1084"/>
      <c r="U117" s="1084"/>
      <c r="V117" s="1084"/>
      <c r="W117" s="1084"/>
      <c r="X117" s="1085"/>
      <c r="Y117" s="1085"/>
      <c r="Z117" s="1085"/>
      <c r="AA117" s="1105"/>
      <c r="AB117" s="1085"/>
      <c r="AC117" s="1085"/>
      <c r="AD117" s="1105"/>
      <c r="AE117" s="1085"/>
      <c r="AF117" s="1105"/>
      <c r="AG117" s="1105"/>
      <c r="AH117" s="1105"/>
      <c r="AI117" s="1105"/>
      <c r="AJ117" s="1105"/>
      <c r="AK117" s="1105"/>
      <c r="AL117" s="1105"/>
      <c r="AM117" s="1105"/>
      <c r="AN117" s="1105"/>
    </row>
    <row r="118" spans="2:45">
      <c r="B118" s="369" t="s">
        <v>1248</v>
      </c>
      <c r="C118" s="369" t="s">
        <v>1249</v>
      </c>
      <c r="R118" s="1084"/>
      <c r="S118" s="1084"/>
      <c r="T118" s="1084"/>
      <c r="U118" s="1084"/>
      <c r="V118" s="1084"/>
      <c r="W118" s="1084"/>
      <c r="X118" s="1085"/>
      <c r="Y118" s="1085"/>
      <c r="Z118" s="1085"/>
      <c r="AA118" s="1105"/>
      <c r="AB118" s="1085"/>
      <c r="AC118" s="1085"/>
      <c r="AD118" s="820">
        <v>4030</v>
      </c>
      <c r="AE118" s="1085"/>
      <c r="AF118" s="1105">
        <v>3665</v>
      </c>
      <c r="AG118" s="1105">
        <v>4320</v>
      </c>
      <c r="AH118" s="1105">
        <v>4400</v>
      </c>
      <c r="AI118" s="1085">
        <v>4520</v>
      </c>
      <c r="AJ118" s="1105">
        <v>5020</v>
      </c>
      <c r="AK118" s="1105">
        <v>5110</v>
      </c>
      <c r="AL118" s="1105">
        <v>5110</v>
      </c>
      <c r="AM118" s="1105">
        <v>5130</v>
      </c>
      <c r="AN118" s="1105">
        <v>5140</v>
      </c>
      <c r="AO118" s="1105">
        <v>5340</v>
      </c>
      <c r="AP118" s="1105">
        <v>5620</v>
      </c>
      <c r="AQ118" s="1105">
        <v>5920</v>
      </c>
      <c r="AS118" s="369" t="s">
        <v>1537</v>
      </c>
    </row>
    <row r="119" spans="2:45">
      <c r="B119" s="369" t="s">
        <v>1225</v>
      </c>
      <c r="C119" s="369" t="s">
        <v>1250</v>
      </c>
      <c r="R119" s="1084"/>
      <c r="S119" s="1084"/>
      <c r="T119" s="1084"/>
      <c r="U119" s="1084"/>
      <c r="V119" s="1084"/>
      <c r="W119" s="1084"/>
      <c r="X119" s="1085"/>
      <c r="Y119" s="1085"/>
      <c r="Z119" s="1085"/>
      <c r="AA119" s="1105"/>
      <c r="AB119" s="1085"/>
      <c r="AC119" s="1085"/>
      <c r="AD119" s="820">
        <v>1455</v>
      </c>
      <c r="AE119" s="1085"/>
      <c r="AF119" s="1105">
        <v>1450</v>
      </c>
      <c r="AG119" s="1105">
        <v>1470</v>
      </c>
      <c r="AH119" s="1105">
        <v>1380</v>
      </c>
      <c r="AI119" s="1105">
        <v>1440</v>
      </c>
      <c r="AJ119" s="1105">
        <v>1340</v>
      </c>
      <c r="AK119" s="1105">
        <v>1440</v>
      </c>
      <c r="AL119" s="1105">
        <v>1300</v>
      </c>
      <c r="AM119" s="1105">
        <v>1300</v>
      </c>
      <c r="AN119" s="1105">
        <v>1560</v>
      </c>
      <c r="AO119" s="1105">
        <v>1350</v>
      </c>
      <c r="AP119" s="1105">
        <v>1530</v>
      </c>
      <c r="AQ119" s="1105">
        <v>1730</v>
      </c>
      <c r="AS119" s="369" t="s">
        <v>1537</v>
      </c>
    </row>
    <row r="120" spans="2:45">
      <c r="B120" s="369" t="s">
        <v>1251</v>
      </c>
      <c r="C120" s="369" t="s">
        <v>1252</v>
      </c>
      <c r="R120" s="1084"/>
      <c r="S120" s="1084"/>
      <c r="T120" s="1084"/>
      <c r="U120" s="1084"/>
      <c r="V120" s="1084"/>
      <c r="W120" s="1084"/>
      <c r="X120" s="1085"/>
      <c r="Y120" s="1085"/>
      <c r="Z120" s="1085"/>
      <c r="AA120" s="1105"/>
      <c r="AB120" s="1085"/>
      <c r="AC120" s="1085"/>
      <c r="AD120" s="820">
        <v>731</v>
      </c>
      <c r="AE120" s="1085"/>
      <c r="AF120" s="1105">
        <v>830</v>
      </c>
      <c r="AG120" s="1105">
        <v>810</v>
      </c>
      <c r="AH120" s="1105">
        <v>810</v>
      </c>
      <c r="AI120" s="1105">
        <v>840</v>
      </c>
      <c r="AJ120" s="1105">
        <v>810</v>
      </c>
      <c r="AK120" s="1105">
        <v>840</v>
      </c>
      <c r="AL120" s="1105">
        <v>880</v>
      </c>
      <c r="AM120" s="1105">
        <v>870</v>
      </c>
      <c r="AN120" s="1105">
        <v>930</v>
      </c>
      <c r="AO120" s="1105">
        <v>990</v>
      </c>
      <c r="AP120" s="1105">
        <v>1000</v>
      </c>
      <c r="AQ120" s="1105">
        <v>1050</v>
      </c>
    </row>
    <row r="121" spans="2:45">
      <c r="B121" s="369" t="s">
        <v>1253</v>
      </c>
      <c r="C121" s="369" t="s">
        <v>1254</v>
      </c>
      <c r="R121" s="1084"/>
      <c r="S121" s="1084"/>
      <c r="T121" s="1084"/>
      <c r="U121" s="1084"/>
      <c r="V121" s="1084"/>
      <c r="W121" s="1084"/>
      <c r="X121" s="1085"/>
      <c r="Y121" s="1085"/>
      <c r="Z121" s="1085"/>
      <c r="AA121" s="1105"/>
      <c r="AB121" s="1085"/>
      <c r="AC121" s="1085"/>
      <c r="AD121" s="820" t="s">
        <v>300</v>
      </c>
      <c r="AE121" s="1085"/>
      <c r="AF121" s="1105">
        <v>125</v>
      </c>
      <c r="AG121" s="1105">
        <v>125</v>
      </c>
      <c r="AH121" s="1105">
        <v>125</v>
      </c>
      <c r="AI121" s="1105">
        <v>125</v>
      </c>
      <c r="AJ121" s="1105">
        <v>125</v>
      </c>
      <c r="AK121" s="1105">
        <v>125</v>
      </c>
      <c r="AL121" s="1105">
        <v>125</v>
      </c>
      <c r="AM121" s="1105">
        <v>125</v>
      </c>
      <c r="AN121" s="1105">
        <v>125</v>
      </c>
      <c r="AO121" s="1105">
        <v>125</v>
      </c>
      <c r="AP121" s="1105">
        <v>126</v>
      </c>
      <c r="AQ121" s="1105">
        <v>127</v>
      </c>
    </row>
    <row r="122" spans="2:45">
      <c r="B122" s="369" t="s">
        <v>1255</v>
      </c>
      <c r="C122" s="369" t="s">
        <v>1256</v>
      </c>
      <c r="R122" s="1084"/>
      <c r="S122" s="1084"/>
      <c r="T122" s="1084"/>
      <c r="U122" s="1084"/>
      <c r="V122" s="1084"/>
      <c r="W122" s="1084"/>
      <c r="X122" s="1085"/>
      <c r="Y122" s="1085"/>
      <c r="Z122" s="1085"/>
      <c r="AA122" s="1105"/>
      <c r="AB122" s="1085"/>
      <c r="AC122" s="1085"/>
      <c r="AD122" s="820">
        <v>837</v>
      </c>
      <c r="AE122" s="1085"/>
      <c r="AF122" s="1105">
        <v>600</v>
      </c>
      <c r="AG122" s="1105">
        <v>685</v>
      </c>
      <c r="AH122" s="1105">
        <v>650</v>
      </c>
      <c r="AI122" s="1105">
        <v>680</v>
      </c>
      <c r="AJ122" s="1105">
        <v>650</v>
      </c>
      <c r="AK122" s="1105">
        <v>670</v>
      </c>
      <c r="AL122" s="1105">
        <v>710</v>
      </c>
      <c r="AM122" s="1105">
        <v>700</v>
      </c>
      <c r="AN122" s="1105">
        <v>750</v>
      </c>
      <c r="AO122" s="1105">
        <v>800</v>
      </c>
      <c r="AP122" s="1105">
        <v>800</v>
      </c>
      <c r="AQ122" s="1105">
        <v>850</v>
      </c>
    </row>
    <row r="123" spans="2:45">
      <c r="R123" s="1084"/>
      <c r="S123" s="1084"/>
      <c r="T123" s="1084"/>
      <c r="U123" s="1084"/>
      <c r="V123" s="1084"/>
      <c r="W123" s="1084"/>
      <c r="X123" s="1090"/>
      <c r="Y123" s="1090"/>
      <c r="Z123" s="1090"/>
      <c r="AA123" s="1114"/>
      <c r="AB123" s="1106"/>
      <c r="AC123" s="1090"/>
      <c r="AD123" s="1106"/>
      <c r="AE123" s="1090"/>
      <c r="AF123" s="1106"/>
      <c r="AG123" s="1106"/>
      <c r="AH123" s="1106"/>
      <c r="AI123" s="1106"/>
      <c r="AJ123" s="1106"/>
      <c r="AK123" s="1106"/>
      <c r="AL123" s="1106"/>
      <c r="AM123" s="1106"/>
      <c r="AN123" s="1106"/>
    </row>
    <row r="124" spans="2:45">
      <c r="R124" s="1084"/>
      <c r="S124" s="1084"/>
      <c r="T124" s="1084"/>
      <c r="U124" s="1084"/>
      <c r="V124" s="1084"/>
      <c r="W124" s="1084"/>
      <c r="X124" s="1090"/>
      <c r="Y124" s="1090"/>
      <c r="Z124" s="1090"/>
      <c r="AA124" s="1106"/>
      <c r="AB124" s="1090"/>
      <c r="AC124" s="1090"/>
      <c r="AD124" s="1106"/>
      <c r="AE124" s="1090"/>
      <c r="AF124" s="1106"/>
      <c r="AG124" s="1106"/>
      <c r="AH124" s="1106"/>
      <c r="AI124" s="1106"/>
      <c r="AJ124" s="1106"/>
      <c r="AK124" s="1106"/>
      <c r="AL124" s="1106"/>
      <c r="AM124" s="1106"/>
      <c r="AN124" s="1106"/>
    </row>
    <row r="125" spans="2:45" ht="36" customHeight="1">
      <c r="R125" s="1084"/>
      <c r="S125" s="1084"/>
      <c r="T125" s="1084"/>
      <c r="U125" s="1084"/>
      <c r="V125" s="1084"/>
      <c r="W125" s="1084"/>
      <c r="X125" s="1090"/>
      <c r="Y125" s="1090"/>
      <c r="Z125" s="1090"/>
      <c r="AA125" s="1090"/>
      <c r="AB125" s="1090"/>
      <c r="AC125" s="1090"/>
      <c r="AD125" s="1106"/>
      <c r="AE125" s="1090"/>
      <c r="AF125" s="1106"/>
      <c r="AG125" s="1106"/>
      <c r="AH125" s="1106"/>
      <c r="AI125" s="1106"/>
      <c r="AJ125" s="1106"/>
      <c r="AK125" s="1106"/>
      <c r="AL125" s="1106"/>
      <c r="AM125" s="1106"/>
      <c r="AN125" s="1106"/>
    </row>
    <row r="126" spans="2:45">
      <c r="B126" s="1081"/>
      <c r="C126" s="1081"/>
      <c r="D126" s="1081"/>
      <c r="E126" s="1081"/>
      <c r="F126" s="1081"/>
      <c r="G126" s="1081"/>
      <c r="H126" s="1081"/>
      <c r="I126" s="1081"/>
      <c r="J126" s="1081"/>
      <c r="K126" s="1081"/>
      <c r="L126" s="1081"/>
      <c r="M126" s="1081"/>
      <c r="N126" s="1081"/>
      <c r="O126" s="1081"/>
      <c r="P126" s="1081"/>
      <c r="Q126" s="1081"/>
      <c r="R126" s="1081"/>
      <c r="S126" s="1081"/>
      <c r="T126" s="1081"/>
      <c r="U126" s="1081"/>
      <c r="V126" s="1081"/>
      <c r="W126" s="1081"/>
      <c r="X126" s="1115"/>
      <c r="Y126" s="1115"/>
      <c r="Z126" s="1115"/>
      <c r="AA126" s="1115"/>
      <c r="AB126" s="1115"/>
      <c r="AC126" s="1115"/>
      <c r="AD126" s="1115"/>
      <c r="AE126" s="1115"/>
      <c r="AF126" s="1115"/>
      <c r="AG126" s="1115"/>
      <c r="AH126" s="1115"/>
      <c r="AI126" s="1115"/>
      <c r="AJ126" s="1115"/>
      <c r="AK126" s="1115"/>
      <c r="AL126" s="1115"/>
      <c r="AM126" s="1115"/>
      <c r="AN126" s="1115"/>
      <c r="AO126" s="1115"/>
      <c r="AP126" s="1115"/>
      <c r="AQ126" s="1115"/>
    </row>
    <row r="127" spans="2:45">
      <c r="AE127" s="1079"/>
    </row>
    <row r="128" spans="2:45">
      <c r="B128" s="1929" t="s">
        <v>1257</v>
      </c>
      <c r="C128" s="1929"/>
      <c r="D128" s="1929"/>
      <c r="E128" s="1929"/>
      <c r="F128" s="1929"/>
      <c r="G128" s="1929"/>
      <c r="H128" s="1929"/>
      <c r="I128" s="1929"/>
      <c r="J128" s="1929"/>
      <c r="K128" s="1929"/>
      <c r="L128" s="1929"/>
      <c r="M128" s="1929"/>
      <c r="N128" s="1929"/>
      <c r="O128" s="1929"/>
      <c r="P128" s="1929"/>
      <c r="Q128" s="1929"/>
      <c r="R128" s="1929"/>
      <c r="S128" s="1929"/>
      <c r="T128" s="1929"/>
      <c r="U128" s="1929"/>
      <c r="V128" s="1929"/>
      <c r="W128" s="1929"/>
      <c r="X128" s="1929"/>
      <c r="Y128" s="1929"/>
      <c r="Z128" s="1929"/>
      <c r="AA128" s="1929"/>
      <c r="AB128" s="1929"/>
      <c r="AC128" s="1929"/>
      <c r="AD128" s="1929"/>
      <c r="AE128" s="1929"/>
      <c r="AF128" s="1929"/>
      <c r="AG128" s="1116"/>
      <c r="AH128" s="1116"/>
      <c r="AI128" s="1116"/>
      <c r="AJ128" s="1116"/>
      <c r="AK128" s="1116"/>
      <c r="AL128" s="1116"/>
      <c r="AM128" s="1116"/>
      <c r="AN128" s="1116"/>
    </row>
    <row r="134" spans="2:40">
      <c r="B134" s="165"/>
      <c r="X134" s="369"/>
      <c r="Y134" s="369"/>
      <c r="Z134" s="369"/>
      <c r="AA134" s="369"/>
      <c r="AB134" s="369"/>
      <c r="AC134" s="369"/>
      <c r="AD134" s="369"/>
      <c r="AF134" s="369"/>
      <c r="AG134" s="369"/>
      <c r="AH134" s="369"/>
      <c r="AI134" s="369"/>
      <c r="AJ134" s="369"/>
      <c r="AK134" s="369"/>
      <c r="AL134" s="369"/>
      <c r="AM134" s="369"/>
      <c r="AN134" s="369"/>
    </row>
    <row r="137" spans="2:40">
      <c r="B137" s="1117"/>
      <c r="X137" s="369"/>
      <c r="Y137" s="369"/>
      <c r="Z137" s="369"/>
      <c r="AA137" s="369"/>
      <c r="AB137" s="369"/>
      <c r="AC137" s="369"/>
      <c r="AD137" s="369"/>
      <c r="AF137" s="369"/>
      <c r="AG137" s="369"/>
      <c r="AH137" s="369"/>
      <c r="AI137" s="369"/>
      <c r="AJ137" s="369"/>
      <c r="AK137" s="369"/>
      <c r="AL137" s="369"/>
      <c r="AM137" s="369"/>
      <c r="AN137" s="369"/>
    </row>
  </sheetData>
  <mergeCells count="6">
    <mergeCell ref="B128:AF128"/>
    <mergeCell ref="A15:AQ15"/>
    <mergeCell ref="B49:Z49"/>
    <mergeCell ref="B50:Z50"/>
    <mergeCell ref="B55:Z55"/>
    <mergeCell ref="B87:AD87"/>
  </mergeCells>
  <hyperlinks>
    <hyperlink ref="AR12" r:id="rId1" xr:uid="{00000000-0004-0000-0400-000000000000}"/>
    <hyperlink ref="AO97" r:id="rId2" display="http://www.estv.admin.ch/dokumentation/00075/00803/index.html?lang=fr&amp;download=NHzLpZeg7t,lnp6I0NTU042l2Z6ln1ae2IZn4Z2qZpnO2Yuq2Z6gpJCDdYJ,hGym162epYbg2c_JjKbNoKSn6A--" xr:uid="{00000000-0004-0000-0400-000001000000}"/>
    <hyperlink ref="AO99" r:id="rId3" display="http://www.estv.admin.ch/index.html?lang=dt&amp;webcode=d_1787_de " xr:uid="{00000000-0004-0000-0400-000002000000}"/>
  </hyperlinks>
  <pageMargins left="0.70866141732283472" right="0.70866141732283472" top="0.74803149606299213" bottom="0.74803149606299213" header="0.31496062992125984" footer="0.31496062992125984"/>
  <pageSetup paperSize="9" scale="49" orientation="landscape"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R145"/>
  <sheetViews>
    <sheetView topLeftCell="B15" zoomScale="80" zoomScaleNormal="80" workbookViewId="0">
      <selection activeCell="B15" sqref="B15:AR149"/>
    </sheetView>
  </sheetViews>
  <sheetFormatPr defaultColWidth="8.88671875" defaultRowHeight="12.75" outlineLevelRow="1"/>
  <cols>
    <col min="1" max="1" width="10.77734375" style="158" hidden="1" customWidth="1"/>
    <col min="2" max="2" width="10.5546875" style="158" customWidth="1"/>
    <col min="3" max="3" width="20.33203125" style="158" customWidth="1"/>
    <col min="4" max="17" width="0.77734375" style="158" hidden="1" customWidth="1"/>
    <col min="18" max="23" width="5.77734375" style="158" hidden="1" customWidth="1"/>
    <col min="24" max="24" width="9.33203125" style="276" hidden="1" customWidth="1"/>
    <col min="25" max="25" width="3.44140625" style="276" hidden="1" customWidth="1"/>
    <col min="26" max="26" width="8.88671875" style="276" customWidth="1"/>
    <col min="27" max="27" width="3.44140625" style="276" hidden="1" customWidth="1"/>
    <col min="28" max="28" width="9.21875" style="276" customWidth="1"/>
    <col min="29" max="29" width="4.21875" style="276" hidden="1" customWidth="1"/>
    <col min="30" max="30" width="9.6640625" style="276" customWidth="1"/>
    <col min="31" max="31" width="3.77734375" style="276" hidden="1" customWidth="1"/>
    <col min="32" max="40" width="7.77734375" style="276" customWidth="1"/>
    <col min="41" max="41" width="7.77734375" style="743" customWidth="1"/>
    <col min="42" max="43" width="7.77734375" style="158" customWidth="1"/>
    <col min="44" max="44" width="7" style="158" customWidth="1"/>
    <col min="45" max="45" width="8.88671875" style="158" customWidth="1"/>
    <col min="46" max="16384" width="8.88671875" style="158"/>
  </cols>
  <sheetData>
    <row r="1" spans="1:44" hidden="1" outlineLevel="1">
      <c r="B1" s="158" t="s">
        <v>388</v>
      </c>
    </row>
    <row r="2" spans="1:44" hidden="1" outlineLevel="1"/>
    <row r="3" spans="1:44" hidden="1" outlineLevel="1"/>
    <row r="4" spans="1:44" hidden="1" outlineLevel="1">
      <c r="B4" s="570" t="s">
        <v>389</v>
      </c>
      <c r="C4" s="570"/>
      <c r="R4" s="158">
        <v>1995</v>
      </c>
      <c r="S4" s="158">
        <v>1996</v>
      </c>
      <c r="T4" s="158">
        <v>1997</v>
      </c>
      <c r="U4" s="158">
        <v>1998</v>
      </c>
      <c r="V4" s="158">
        <v>1999</v>
      </c>
      <c r="W4" s="158">
        <v>2000</v>
      </c>
      <c r="X4" s="276">
        <v>2001</v>
      </c>
      <c r="Z4" s="290">
        <v>2003</v>
      </c>
      <c r="AA4" s="290"/>
      <c r="AB4" s="290">
        <v>2005</v>
      </c>
      <c r="AC4" s="290"/>
      <c r="AD4" s="290">
        <v>2007</v>
      </c>
      <c r="AE4" s="290"/>
      <c r="AF4" s="290">
        <v>2009</v>
      </c>
      <c r="AG4" s="290">
        <v>2010</v>
      </c>
      <c r="AH4" s="290">
        <v>2011</v>
      </c>
      <c r="AI4" s="290">
        <v>2012</v>
      </c>
      <c r="AJ4" s="290">
        <v>2013</v>
      </c>
      <c r="AK4" s="290">
        <v>2014</v>
      </c>
      <c r="AL4" s="290">
        <v>2015</v>
      </c>
      <c r="AM4" s="290">
        <v>2016</v>
      </c>
      <c r="AN4" s="290">
        <v>2017</v>
      </c>
      <c r="AO4" s="290">
        <v>2018</v>
      </c>
      <c r="AP4" s="290">
        <v>2019</v>
      </c>
      <c r="AQ4" s="290">
        <v>2020</v>
      </c>
      <c r="AR4" s="290">
        <v>2021</v>
      </c>
    </row>
    <row r="5" spans="1:44" hidden="1" outlineLevel="1">
      <c r="AO5" s="276"/>
      <c r="AP5" s="276"/>
      <c r="AQ5" s="276"/>
      <c r="AR5" s="276"/>
    </row>
    <row r="6" spans="1:44" hidden="1" outlineLevel="1">
      <c r="A6" s="311" t="s">
        <v>2</v>
      </c>
      <c r="B6" s="158" t="s">
        <v>3</v>
      </c>
      <c r="R6" s="282">
        <v>0</v>
      </c>
      <c r="S6" s="282">
        <v>0</v>
      </c>
      <c r="T6" s="282">
        <v>0</v>
      </c>
      <c r="U6" s="282">
        <v>0</v>
      </c>
      <c r="V6" s="282">
        <v>0</v>
      </c>
      <c r="W6" s="282">
        <v>0</v>
      </c>
      <c r="X6" s="278">
        <v>0</v>
      </c>
      <c r="Y6" s="278"/>
      <c r="Z6" s="285">
        <f t="shared" ref="Z6:AF6" si="0">Z94</f>
        <v>0</v>
      </c>
      <c r="AA6" s="285">
        <f t="shared" si="0"/>
        <v>0</v>
      </c>
      <c r="AB6" s="285">
        <f t="shared" si="0"/>
        <v>0</v>
      </c>
      <c r="AC6" s="285">
        <f t="shared" si="0"/>
        <v>0</v>
      </c>
      <c r="AD6" s="285">
        <f t="shared" si="0"/>
        <v>0</v>
      </c>
      <c r="AE6" s="285">
        <f t="shared" si="0"/>
        <v>0</v>
      </c>
      <c r="AF6" s="285">
        <f t="shared" si="0"/>
        <v>0</v>
      </c>
      <c r="AG6" s="285">
        <f>AG94</f>
        <v>0</v>
      </c>
      <c r="AH6" s="285">
        <f>AH94</f>
        <v>0</v>
      </c>
      <c r="AI6" s="285">
        <f t="shared" ref="AI6:AP6" si="1">AI94</f>
        <v>0</v>
      </c>
      <c r="AJ6" s="285">
        <f t="shared" si="1"/>
        <v>6137</v>
      </c>
      <c r="AK6" s="285">
        <f t="shared" si="1"/>
        <v>14700</v>
      </c>
      <c r="AL6" s="285">
        <f t="shared" si="1"/>
        <v>17570</v>
      </c>
      <c r="AM6" s="285">
        <f t="shared" si="1"/>
        <v>20735</v>
      </c>
      <c r="AN6" s="285">
        <f t="shared" si="1"/>
        <v>19411</v>
      </c>
      <c r="AO6" s="285">
        <f t="shared" si="1"/>
        <v>21905</v>
      </c>
      <c r="AP6" s="285">
        <f t="shared" si="1"/>
        <v>25421</v>
      </c>
      <c r="AQ6" s="285">
        <f>AQ94</f>
        <v>26220</v>
      </c>
      <c r="AR6" s="285">
        <f>AR94</f>
        <v>25821</v>
      </c>
    </row>
    <row r="7" spans="1:44" hidden="1" outlineLevel="1">
      <c r="A7" s="311" t="s">
        <v>4</v>
      </c>
      <c r="B7" s="158" t="s">
        <v>5</v>
      </c>
      <c r="R7" s="1118">
        <v>0</v>
      </c>
      <c r="S7" s="1118">
        <v>0</v>
      </c>
      <c r="T7" s="1118">
        <v>0</v>
      </c>
      <c r="U7" s="1118">
        <v>0</v>
      </c>
      <c r="V7" s="1118">
        <v>0</v>
      </c>
      <c r="W7" s="1118">
        <v>0</v>
      </c>
      <c r="X7" s="280">
        <v>0</v>
      </c>
      <c r="Y7" s="1119"/>
      <c r="Z7" s="860">
        <f t="shared" ref="Z7:AF7" si="2">Z102</f>
        <v>236640</v>
      </c>
      <c r="AA7" s="860">
        <f t="shared" si="2"/>
        <v>0</v>
      </c>
      <c r="AB7" s="860">
        <f t="shared" si="2"/>
        <v>296973.23588384461</v>
      </c>
      <c r="AC7" s="860">
        <f t="shared" si="2"/>
        <v>0</v>
      </c>
      <c r="AD7" s="860">
        <f t="shared" si="2"/>
        <v>373905</v>
      </c>
      <c r="AE7" s="860">
        <f t="shared" si="2"/>
        <v>0</v>
      </c>
      <c r="AF7" s="860">
        <f t="shared" si="2"/>
        <v>426813.82623647281</v>
      </c>
      <c r="AG7" s="860">
        <f>AG102</f>
        <v>476354.7120931641</v>
      </c>
      <c r="AH7" s="860">
        <f>AH102</f>
        <v>419141.61415537453</v>
      </c>
      <c r="AI7" s="860">
        <f t="shared" ref="AI7:AP7" si="3">AI102</f>
        <v>463528.39817503665</v>
      </c>
      <c r="AJ7" s="860">
        <f t="shared" si="3"/>
        <v>535813.77272226638</v>
      </c>
      <c r="AK7" s="860">
        <f t="shared" si="3"/>
        <v>508011.78689075855</v>
      </c>
      <c r="AL7" s="860">
        <f t="shared" si="3"/>
        <v>567828.21580319165</v>
      </c>
      <c r="AM7" s="860">
        <f t="shared" si="3"/>
        <v>634800.74708571308</v>
      </c>
      <c r="AN7" s="860">
        <f t="shared" si="3"/>
        <v>640644.65669751714</v>
      </c>
      <c r="AO7" s="860">
        <f t="shared" si="3"/>
        <v>691050</v>
      </c>
      <c r="AP7" s="860">
        <f t="shared" si="3"/>
        <v>486122</v>
      </c>
      <c r="AQ7" s="860">
        <f>AQ102</f>
        <v>492666</v>
      </c>
      <c r="AR7" s="860">
        <f>AR102</f>
        <v>539993</v>
      </c>
    </row>
    <row r="8" spans="1:44" hidden="1" outlineLevel="1">
      <c r="A8" s="311" t="s">
        <v>6</v>
      </c>
      <c r="R8" s="282">
        <v>0</v>
      </c>
      <c r="S8" s="282">
        <v>0</v>
      </c>
      <c r="T8" s="282">
        <v>0</v>
      </c>
      <c r="U8" s="282">
        <v>0</v>
      </c>
      <c r="V8" s="282">
        <v>0</v>
      </c>
      <c r="W8" s="282">
        <v>0</v>
      </c>
      <c r="X8" s="278">
        <v>0</v>
      </c>
      <c r="Y8" s="278"/>
      <c r="Z8" s="285">
        <f t="shared" ref="Z8:AF8" si="4">SUM(Z6:Z7)</f>
        <v>236640</v>
      </c>
      <c r="AA8" s="285">
        <f t="shared" si="4"/>
        <v>0</v>
      </c>
      <c r="AB8" s="285">
        <f t="shared" si="4"/>
        <v>296973.23588384461</v>
      </c>
      <c r="AC8" s="285">
        <f t="shared" si="4"/>
        <v>0</v>
      </c>
      <c r="AD8" s="285">
        <f t="shared" si="4"/>
        <v>373905</v>
      </c>
      <c r="AE8" s="285">
        <f t="shared" si="4"/>
        <v>0</v>
      </c>
      <c r="AF8" s="285">
        <f t="shared" si="4"/>
        <v>426813.82623647281</v>
      </c>
      <c r="AG8" s="285">
        <f>SUM(AG6:AG7)</f>
        <v>476354.7120931641</v>
      </c>
      <c r="AH8" s="285">
        <f>SUM(AH6:AH7)</f>
        <v>419141.61415537453</v>
      </c>
      <c r="AI8" s="285">
        <f t="shared" ref="AI8:AP8" si="5">SUM(AI6:AI7)</f>
        <v>463528.39817503665</v>
      </c>
      <c r="AJ8" s="285">
        <f t="shared" si="5"/>
        <v>541950.77272226638</v>
      </c>
      <c r="AK8" s="285">
        <f t="shared" si="5"/>
        <v>522711.78689075855</v>
      </c>
      <c r="AL8" s="285">
        <f t="shared" si="5"/>
        <v>585398.21580319165</v>
      </c>
      <c r="AM8" s="285">
        <f t="shared" si="5"/>
        <v>655535.74708571308</v>
      </c>
      <c r="AN8" s="285">
        <f t="shared" si="5"/>
        <v>660055.65669751714</v>
      </c>
      <c r="AO8" s="285">
        <f t="shared" si="5"/>
        <v>712955</v>
      </c>
      <c r="AP8" s="285">
        <f t="shared" si="5"/>
        <v>511543</v>
      </c>
      <c r="AQ8" s="285">
        <f>SUM(AQ6:AQ7)</f>
        <v>518886</v>
      </c>
      <c r="AR8" s="285">
        <f>SUM(AR6:AR7)</f>
        <v>565814</v>
      </c>
    </row>
    <row r="9" spans="1:44" hidden="1" outlineLevel="1">
      <c r="A9" s="311"/>
      <c r="R9" s="282"/>
      <c r="S9" s="282"/>
      <c r="T9" s="282"/>
      <c r="U9" s="282"/>
      <c r="V9" s="282"/>
      <c r="W9" s="282"/>
      <c r="X9" s="278"/>
      <c r="Y9" s="278"/>
      <c r="Z9" s="285"/>
      <c r="AA9" s="285"/>
      <c r="AB9" s="285"/>
      <c r="AC9" s="285"/>
      <c r="AD9" s="285"/>
      <c r="AE9" s="285"/>
      <c r="AF9" s="285"/>
      <c r="AG9" s="285"/>
      <c r="AH9" s="285"/>
      <c r="AI9" s="285"/>
      <c r="AJ9" s="285"/>
      <c r="AK9" s="285"/>
      <c r="AL9" s="285"/>
      <c r="AM9" s="285"/>
      <c r="AN9" s="285"/>
      <c r="AO9" s="285"/>
      <c r="AP9" s="285"/>
      <c r="AQ9" s="285"/>
      <c r="AR9" s="285"/>
    </row>
    <row r="10" spans="1:44" hidden="1" outlineLevel="1">
      <c r="A10" s="311"/>
      <c r="B10" s="158" t="s">
        <v>7</v>
      </c>
      <c r="R10" s="282" t="e">
        <v>#REF!</v>
      </c>
      <c r="S10" s="282" t="e">
        <v>#REF!</v>
      </c>
      <c r="T10" s="282" t="e">
        <v>#REF!</v>
      </c>
      <c r="U10" s="282" t="e">
        <v>#REF!</v>
      </c>
      <c r="V10" s="282" t="e">
        <v>#REF!</v>
      </c>
      <c r="W10" s="282" t="e">
        <v>#REF!</v>
      </c>
      <c r="X10" s="278" t="s">
        <v>300</v>
      </c>
      <c r="Y10" s="278"/>
      <c r="Z10" s="285">
        <f t="shared" ref="Z10:AF10" si="6">Z117</f>
        <v>169842</v>
      </c>
      <c r="AA10" s="285">
        <f t="shared" si="6"/>
        <v>0</v>
      </c>
      <c r="AB10" s="285">
        <f t="shared" si="6"/>
        <v>388194.94593475456</v>
      </c>
      <c r="AC10" s="285">
        <f t="shared" si="6"/>
        <v>0</v>
      </c>
      <c r="AD10" s="285">
        <f t="shared" si="6"/>
        <v>850002</v>
      </c>
      <c r="AE10" s="285">
        <f t="shared" si="6"/>
        <v>0</v>
      </c>
      <c r="AF10" s="285">
        <f t="shared" si="6"/>
        <v>189114.44596556586</v>
      </c>
      <c r="AG10" s="285">
        <f>AG117</f>
        <v>1505648.1028534346</v>
      </c>
      <c r="AH10" s="285">
        <f>AH117</f>
        <v>872507.55525820772</v>
      </c>
      <c r="AI10" s="285">
        <f t="shared" ref="AI10:AO10" si="7">AI117</f>
        <v>287431.57528001314</v>
      </c>
      <c r="AJ10" s="285">
        <f t="shared" si="7"/>
        <v>630036.47566577641</v>
      </c>
      <c r="AK10" s="285">
        <f t="shared" si="7"/>
        <v>704929.87547703716</v>
      </c>
      <c r="AL10" s="285">
        <f t="shared" si="7"/>
        <v>796233.22039486479</v>
      </c>
      <c r="AM10" s="285">
        <f t="shared" si="7"/>
        <v>490972.96908678871</v>
      </c>
      <c r="AN10" s="285">
        <f t="shared" si="7"/>
        <v>461056.92826063221</v>
      </c>
      <c r="AO10" s="285">
        <f t="shared" si="7"/>
        <v>906074</v>
      </c>
      <c r="AP10" s="285">
        <f>AP117</f>
        <v>141019</v>
      </c>
      <c r="AQ10" s="285">
        <f>AQ117</f>
        <v>155356</v>
      </c>
      <c r="AR10" s="285">
        <f>AR117</f>
        <v>133966</v>
      </c>
    </row>
    <row r="11" spans="1:44" hidden="1" outlineLevel="1">
      <c r="A11" s="311"/>
      <c r="R11" s="282"/>
      <c r="S11" s="282"/>
      <c r="T11" s="282"/>
      <c r="U11" s="282"/>
      <c r="V11" s="282"/>
      <c r="W11" s="282"/>
      <c r="X11" s="278"/>
      <c r="Y11" s="278"/>
      <c r="Z11" s="285"/>
      <c r="AA11" s="285"/>
      <c r="AB11" s="285"/>
      <c r="AC11" s="285"/>
      <c r="AD11" s="285"/>
      <c r="AE11" s="285"/>
      <c r="AF11" s="285"/>
      <c r="AG11" s="285"/>
      <c r="AH11" s="285"/>
      <c r="AI11" s="285"/>
      <c r="AJ11" s="285"/>
      <c r="AK11" s="285"/>
      <c r="AL11" s="285"/>
      <c r="AM11" s="285"/>
      <c r="AN11" s="285"/>
      <c r="AO11" s="285"/>
      <c r="AP11" s="285"/>
      <c r="AQ11" s="285"/>
      <c r="AR11" s="285"/>
    </row>
    <row r="12" spans="1:44" hidden="1" outlineLevel="1">
      <c r="B12" s="158" t="s">
        <v>8</v>
      </c>
      <c r="R12" s="282"/>
      <c r="S12" s="282"/>
      <c r="T12" s="282"/>
      <c r="U12" s="282"/>
      <c r="V12" s="282"/>
      <c r="W12" s="282"/>
      <c r="X12" s="285">
        <v>0</v>
      </c>
      <c r="Y12" s="278"/>
      <c r="Z12" s="285">
        <v>0</v>
      </c>
      <c r="AA12" s="285"/>
      <c r="AB12" s="285">
        <v>0</v>
      </c>
      <c r="AC12" s="285"/>
      <c r="AD12" s="285">
        <v>0</v>
      </c>
      <c r="AE12" s="285"/>
      <c r="AF12" s="285">
        <v>0</v>
      </c>
      <c r="AG12" s="285">
        <v>0</v>
      </c>
      <c r="AH12" s="285">
        <v>0</v>
      </c>
      <c r="AI12" s="285">
        <v>0</v>
      </c>
      <c r="AJ12" s="285">
        <f>AJ95</f>
        <v>6137</v>
      </c>
      <c r="AK12" s="285">
        <f t="shared" ref="AK12:AR12" si="8">AK95</f>
        <v>14700</v>
      </c>
      <c r="AL12" s="285">
        <f t="shared" si="8"/>
        <v>17570</v>
      </c>
      <c r="AM12" s="285">
        <f t="shared" si="8"/>
        <v>20735</v>
      </c>
      <c r="AN12" s="285">
        <f t="shared" si="8"/>
        <v>19411</v>
      </c>
      <c r="AO12" s="285">
        <f t="shared" si="8"/>
        <v>21905</v>
      </c>
      <c r="AP12" s="285">
        <f t="shared" si="8"/>
        <v>25421</v>
      </c>
      <c r="AQ12" s="285">
        <f t="shared" si="8"/>
        <v>26220</v>
      </c>
      <c r="AR12" s="285">
        <f t="shared" si="8"/>
        <v>25821</v>
      </c>
    </row>
    <row r="13" spans="1:44" hidden="1" outlineLevel="1">
      <c r="R13" s="282"/>
      <c r="S13" s="282"/>
      <c r="T13" s="282"/>
      <c r="U13" s="282"/>
      <c r="V13" s="282"/>
      <c r="W13" s="282"/>
      <c r="X13" s="278"/>
      <c r="Y13" s="278"/>
      <c r="Z13" s="278"/>
      <c r="AA13" s="278"/>
      <c r="AB13" s="278"/>
      <c r="AC13" s="278"/>
      <c r="AD13" s="278"/>
      <c r="AE13" s="278"/>
      <c r="AF13" s="278"/>
      <c r="AG13" s="278"/>
    </row>
    <row r="14" spans="1:44" ht="12.75" hidden="1" customHeight="1" outlineLevel="1">
      <c r="R14" s="282"/>
      <c r="S14" s="282"/>
      <c r="T14" s="282"/>
      <c r="U14" s="282"/>
      <c r="V14" s="282"/>
      <c r="W14" s="282"/>
      <c r="X14" s="278"/>
      <c r="Y14" s="278"/>
      <c r="Z14" s="278"/>
      <c r="AA14" s="278"/>
      <c r="AB14" s="278"/>
      <c r="AC14" s="278"/>
      <c r="AD14" s="278"/>
      <c r="AE14" s="278"/>
      <c r="AF14" s="278"/>
      <c r="AG14" s="278"/>
    </row>
    <row r="15" spans="1:44" ht="27" customHeight="1" collapsed="1">
      <c r="B15" s="1917" t="s">
        <v>9</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c r="AL15" s="1917"/>
      <c r="AM15" s="1917"/>
      <c r="AN15" s="1917"/>
      <c r="AO15" s="1917"/>
      <c r="AP15" s="1917"/>
      <c r="AQ15" s="1917"/>
      <c r="AR15" s="1917"/>
    </row>
    <row r="16" spans="1:44">
      <c r="O16" s="283"/>
      <c r="P16" s="283"/>
      <c r="Q16" s="283"/>
      <c r="R16" s="283"/>
      <c r="S16" s="283"/>
      <c r="T16" s="283"/>
      <c r="U16" s="283"/>
      <c r="V16" s="283"/>
      <c r="W16" s="283"/>
      <c r="X16" s="284"/>
      <c r="Y16" s="285"/>
      <c r="Z16" s="285"/>
      <c r="AA16" s="285"/>
      <c r="AB16" s="285"/>
      <c r="AC16" s="285"/>
      <c r="AD16" s="285"/>
      <c r="AE16" s="285"/>
      <c r="AF16" s="285"/>
      <c r="AG16" s="278"/>
    </row>
    <row r="17" spans="2:44" ht="18" customHeight="1">
      <c r="B17" s="294" t="s">
        <v>388</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78"/>
    </row>
    <row r="18" spans="2:44">
      <c r="O18" s="283"/>
      <c r="P18" s="283"/>
      <c r="Q18" s="283"/>
      <c r="R18" s="283"/>
      <c r="S18" s="283"/>
      <c r="T18" s="283"/>
      <c r="U18" s="283"/>
      <c r="V18" s="283"/>
      <c r="W18" s="283"/>
      <c r="X18" s="284"/>
      <c r="Y18" s="285"/>
      <c r="Z18" s="285"/>
      <c r="AA18" s="285"/>
      <c r="AB18" s="285"/>
      <c r="AC18" s="285"/>
      <c r="AD18" s="285"/>
      <c r="AE18" s="285"/>
      <c r="AF18" s="285"/>
      <c r="AG18" s="278"/>
    </row>
    <row r="19" spans="2:44">
      <c r="B19" s="286" t="s">
        <v>390</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1120"/>
      <c r="AH19" s="1120"/>
      <c r="AI19" s="1120"/>
      <c r="AJ19" s="1120"/>
      <c r="AK19" s="1120"/>
      <c r="AL19" s="1120"/>
      <c r="AM19" s="1120"/>
      <c r="AN19" s="1120"/>
      <c r="AO19" s="1120"/>
      <c r="AP19" s="1120"/>
      <c r="AQ19" s="1120"/>
      <c r="AR19" s="1120"/>
    </row>
    <row r="20" spans="2:44">
      <c r="B20" s="226"/>
      <c r="C20" s="226"/>
      <c r="D20" s="226"/>
      <c r="E20" s="226"/>
      <c r="F20" s="226"/>
      <c r="G20" s="226"/>
      <c r="H20" s="226"/>
      <c r="I20" s="226"/>
      <c r="J20" s="226"/>
      <c r="K20" s="226"/>
      <c r="L20" s="226"/>
      <c r="M20" s="226"/>
      <c r="N20" s="226"/>
      <c r="O20" s="859"/>
      <c r="P20" s="859"/>
      <c r="Q20" s="859"/>
      <c r="R20" s="859"/>
      <c r="S20" s="859"/>
      <c r="T20" s="859"/>
      <c r="U20" s="859"/>
      <c r="V20" s="859"/>
      <c r="W20" s="859"/>
      <c r="X20" s="860"/>
      <c r="Y20" s="860"/>
      <c r="Z20" s="860"/>
      <c r="AA20" s="860"/>
      <c r="AB20" s="860"/>
      <c r="AC20" s="860"/>
      <c r="AD20" s="860"/>
      <c r="AE20" s="860"/>
      <c r="AF20" s="860"/>
      <c r="AG20" s="278"/>
    </row>
    <row r="21" spans="2:44">
      <c r="O21" s="283"/>
      <c r="P21" s="283"/>
      <c r="Q21" s="283"/>
      <c r="R21" s="283"/>
      <c r="S21" s="283"/>
      <c r="T21" s="283"/>
      <c r="U21" s="283"/>
      <c r="V21" s="283"/>
      <c r="W21" s="283"/>
      <c r="X21" s="1027">
        <v>2001</v>
      </c>
      <c r="Y21" s="1029"/>
      <c r="Z21" s="1027">
        <v>2003</v>
      </c>
      <c r="AA21" s="1029"/>
      <c r="AB21" s="1027">
        <v>2005</v>
      </c>
      <c r="AC21" s="1029"/>
      <c r="AD21" s="1027">
        <v>2007</v>
      </c>
      <c r="AE21" s="1029"/>
      <c r="AF21" s="1027">
        <v>2009</v>
      </c>
      <c r="AG21" s="1121">
        <v>2010</v>
      </c>
      <c r="AH21" s="1121">
        <v>2011</v>
      </c>
      <c r="AI21" s="1121">
        <v>2012</v>
      </c>
      <c r="AJ21" s="1121">
        <v>2013</v>
      </c>
      <c r="AK21" s="1121">
        <v>2014</v>
      </c>
      <c r="AL21" s="1121">
        <v>2015</v>
      </c>
      <c r="AM21" s="1121">
        <v>2016</v>
      </c>
      <c r="AN21" s="1121">
        <v>2017</v>
      </c>
      <c r="AO21" s="1121">
        <v>2018</v>
      </c>
      <c r="AP21" s="1121">
        <v>2019</v>
      </c>
      <c r="AQ21" s="1121">
        <v>2020</v>
      </c>
      <c r="AR21" s="1121">
        <v>2021</v>
      </c>
    </row>
    <row r="22" spans="2:44">
      <c r="B22" s="865"/>
      <c r="C22" s="305"/>
      <c r="O22" s="283"/>
      <c r="P22" s="283"/>
      <c r="Q22" s="283"/>
      <c r="R22" s="283"/>
      <c r="S22" s="283"/>
      <c r="T22" s="283"/>
      <c r="U22" s="283"/>
      <c r="V22" s="283"/>
      <c r="W22" s="283"/>
      <c r="AG22" s="278"/>
    </row>
    <row r="23" spans="2:44">
      <c r="B23" s="305" t="s">
        <v>11</v>
      </c>
      <c r="R23" s="282"/>
      <c r="S23" s="282"/>
      <c r="T23" s="282"/>
      <c r="U23" s="282"/>
      <c r="V23" s="282"/>
      <c r="W23" s="282"/>
      <c r="X23" s="296"/>
      <c r="Y23" s="1122"/>
      <c r="AA23" s="1122"/>
      <c r="AE23" s="1122"/>
      <c r="AG23" s="278"/>
    </row>
    <row r="24" spans="2:44" ht="15">
      <c r="B24" s="305" t="s">
        <v>12</v>
      </c>
      <c r="R24" s="282"/>
      <c r="S24" s="282"/>
      <c r="T24" s="282"/>
      <c r="U24" s="282"/>
      <c r="V24" s="282"/>
      <c r="W24" s="282"/>
      <c r="X24" s="1123">
        <v>9049.8581269999995</v>
      </c>
      <c r="Y24" s="285"/>
      <c r="Z24" s="285">
        <v>9206.8176719999992</v>
      </c>
      <c r="AA24" s="285"/>
      <c r="AB24" s="285">
        <v>11763.585154</v>
      </c>
      <c r="AC24" s="285"/>
      <c r="AD24" s="285">
        <v>14303.034796</v>
      </c>
      <c r="AE24" s="285"/>
      <c r="AF24" s="285">
        <v>19090.744366999999</v>
      </c>
      <c r="AG24" s="285">
        <v>20158.025598</v>
      </c>
      <c r="AH24" s="285">
        <v>21891.470401999999</v>
      </c>
      <c r="AI24" s="285">
        <v>23708.215616000001</v>
      </c>
      <c r="AJ24" s="285">
        <v>20749.514466000001</v>
      </c>
      <c r="AK24" s="285">
        <v>22130.398247000001</v>
      </c>
      <c r="AL24" s="285">
        <v>25279.841633</v>
      </c>
      <c r="AM24" s="285">
        <v>27278.471312000001</v>
      </c>
      <c r="AN24" s="285">
        <v>29555.699991000001</v>
      </c>
      <c r="AO24" s="285">
        <v>31315.303437999999</v>
      </c>
      <c r="AP24" s="285">
        <v>33902.381570999998</v>
      </c>
      <c r="AQ24" s="285">
        <v>35708.198706000003</v>
      </c>
      <c r="AR24" s="285" t="s">
        <v>1768</v>
      </c>
    </row>
    <row r="25" spans="2:44" ht="15">
      <c r="B25" s="305" t="s">
        <v>13</v>
      </c>
      <c r="R25" s="282"/>
      <c r="S25" s="282"/>
      <c r="T25" s="282"/>
      <c r="U25" s="282"/>
      <c r="V25" s="282"/>
      <c r="W25" s="282"/>
      <c r="X25" s="1123">
        <v>2739.6601110000001</v>
      </c>
      <c r="Y25" s="285"/>
      <c r="Z25" s="285">
        <v>2214.9352429999999</v>
      </c>
      <c r="AA25" s="285"/>
      <c r="AB25" s="285">
        <v>2884.5297930000002</v>
      </c>
      <c r="AC25" s="285"/>
      <c r="AD25" s="285">
        <v>4080.6747770000002</v>
      </c>
      <c r="AE25" s="285"/>
      <c r="AF25" s="285">
        <v>4194.1202069999999</v>
      </c>
      <c r="AG25" s="285">
        <v>5774.8082109999996</v>
      </c>
      <c r="AH25" s="285">
        <v>7126.1562919999997</v>
      </c>
      <c r="AI25" s="285">
        <v>7024.7596350000003</v>
      </c>
      <c r="AJ25" s="285">
        <v>6587.907142</v>
      </c>
      <c r="AK25" s="285">
        <v>7921.344153</v>
      </c>
      <c r="AL25" s="285">
        <v>9292.1474479999997</v>
      </c>
      <c r="AM25" s="285">
        <v>10611.227295999999</v>
      </c>
      <c r="AN25" s="285">
        <v>12308.976225</v>
      </c>
      <c r="AO25" s="285">
        <v>13703.424211</v>
      </c>
      <c r="AP25" s="285">
        <v>15624.60115</v>
      </c>
      <c r="AQ25" s="285">
        <v>19278.561858000001</v>
      </c>
      <c r="AR25" s="285" t="s">
        <v>1768</v>
      </c>
    </row>
    <row r="26" spans="2:44" ht="15">
      <c r="B26" s="305" t="s">
        <v>14</v>
      </c>
      <c r="R26" s="282"/>
      <c r="S26" s="282"/>
      <c r="T26" s="282"/>
      <c r="U26" s="282"/>
      <c r="V26" s="282"/>
      <c r="W26" s="282"/>
      <c r="X26" s="1124"/>
      <c r="Y26" s="278"/>
      <c r="Z26" s="1124"/>
      <c r="AA26" s="278"/>
      <c r="AB26" s="1124"/>
      <c r="AD26" s="1124"/>
      <c r="AF26" s="1124"/>
      <c r="AG26" s="278"/>
      <c r="AR26" s="1125"/>
    </row>
    <row r="27" spans="2:44" ht="15">
      <c r="B27" s="305" t="s">
        <v>15</v>
      </c>
      <c r="R27" s="282"/>
      <c r="S27" s="282"/>
      <c r="T27" s="282"/>
      <c r="U27" s="282"/>
      <c r="V27" s="282"/>
      <c r="W27" s="282"/>
      <c r="X27" s="1124"/>
      <c r="Y27" s="278"/>
      <c r="Z27" s="1124"/>
      <c r="AA27" s="278"/>
      <c r="AB27" s="1124"/>
      <c r="AD27" s="1124"/>
      <c r="AF27" s="1124"/>
      <c r="AG27" s="278"/>
      <c r="AR27" s="1125"/>
    </row>
    <row r="28" spans="2:44" ht="15">
      <c r="B28" s="305" t="s">
        <v>16</v>
      </c>
      <c r="R28" s="282"/>
      <c r="S28" s="282"/>
      <c r="T28" s="282"/>
      <c r="U28" s="282"/>
      <c r="V28" s="282"/>
      <c r="W28" s="282"/>
      <c r="X28" s="1124"/>
      <c r="Y28" s="278"/>
      <c r="Z28" s="1124"/>
      <c r="AA28" s="278"/>
      <c r="AB28" s="1124"/>
      <c r="AD28" s="1124"/>
      <c r="AF28" s="1124"/>
      <c r="AG28" s="278"/>
      <c r="AR28" s="1125"/>
    </row>
    <row r="29" spans="2:44">
      <c r="B29" s="1126" t="s">
        <v>17</v>
      </c>
      <c r="R29" s="282"/>
      <c r="S29" s="282"/>
      <c r="T29" s="282"/>
      <c r="U29" s="282"/>
      <c r="V29" s="282"/>
      <c r="W29" s="282"/>
      <c r="AG29" s="278"/>
    </row>
    <row r="30" spans="2:44">
      <c r="B30" s="884"/>
      <c r="C30" s="226"/>
      <c r="D30" s="226"/>
      <c r="E30" s="226"/>
      <c r="F30" s="226"/>
      <c r="G30" s="226"/>
      <c r="H30" s="226"/>
      <c r="I30" s="226"/>
      <c r="J30" s="226"/>
      <c r="K30" s="226"/>
      <c r="L30" s="226"/>
      <c r="M30" s="226"/>
      <c r="N30" s="226"/>
      <c r="O30" s="226"/>
      <c r="P30" s="226"/>
      <c r="Q30" s="226"/>
      <c r="R30" s="1118"/>
      <c r="S30" s="1118"/>
      <c r="T30" s="1118"/>
      <c r="U30" s="1118"/>
      <c r="V30" s="1118"/>
      <c r="W30" s="1118"/>
      <c r="X30" s="280"/>
      <c r="Y30" s="280"/>
      <c r="Z30" s="639"/>
      <c r="AA30" s="280"/>
      <c r="AB30" s="639"/>
      <c r="AC30" s="639"/>
      <c r="AD30" s="639"/>
      <c r="AE30" s="280"/>
      <c r="AF30" s="639"/>
      <c r="AG30" s="280"/>
      <c r="AH30" s="563"/>
      <c r="AI30" s="563"/>
      <c r="AJ30" s="563"/>
      <c r="AK30" s="563"/>
      <c r="AL30" s="563"/>
      <c r="AM30" s="563"/>
      <c r="AN30" s="563"/>
      <c r="AO30" s="563"/>
      <c r="AP30" s="563"/>
      <c r="AQ30" s="563"/>
      <c r="AR30" s="563"/>
    </row>
    <row r="31" spans="2:44" ht="12" customHeight="1">
      <c r="B31" s="1126"/>
      <c r="R31" s="282"/>
      <c r="S31" s="282"/>
      <c r="T31" s="282"/>
      <c r="U31" s="282"/>
      <c r="V31" s="282"/>
      <c r="W31" s="282"/>
      <c r="X31" s="278"/>
      <c r="Y31" s="278"/>
      <c r="Z31" s="278"/>
      <c r="AA31" s="278"/>
      <c r="AB31" s="278"/>
      <c r="AC31" s="278"/>
      <c r="AD31" s="278"/>
      <c r="AE31" s="278"/>
      <c r="AF31" s="278"/>
      <c r="AG31" s="278"/>
    </row>
    <row r="32" spans="2:44" ht="12" customHeight="1">
      <c r="B32" s="1127"/>
      <c r="R32" s="282"/>
      <c r="S32" s="282"/>
      <c r="T32" s="282"/>
      <c r="U32" s="282"/>
      <c r="V32" s="282"/>
      <c r="W32" s="282"/>
      <c r="X32" s="278"/>
      <c r="Y32" s="278"/>
      <c r="Z32" s="278"/>
      <c r="AA32" s="278"/>
      <c r="AB32" s="278"/>
      <c r="AC32" s="278"/>
      <c r="AD32" s="278"/>
      <c r="AE32" s="278"/>
      <c r="AF32" s="278"/>
      <c r="AG32" s="278"/>
    </row>
    <row r="33" spans="2:41" ht="12" customHeight="1">
      <c r="B33" s="1126"/>
      <c r="R33" s="282"/>
      <c r="S33" s="282"/>
      <c r="T33" s="282"/>
      <c r="U33" s="282"/>
      <c r="V33" s="282"/>
      <c r="W33" s="282"/>
      <c r="X33" s="278"/>
      <c r="Y33" s="278"/>
      <c r="Z33" s="278"/>
      <c r="AA33" s="278"/>
      <c r="AB33" s="278"/>
      <c r="AC33" s="278"/>
      <c r="AD33" s="278"/>
      <c r="AE33" s="278"/>
      <c r="AF33" s="278"/>
      <c r="AG33" s="278"/>
    </row>
    <row r="34" spans="2:41">
      <c r="B34" s="1127"/>
      <c r="R34" s="282"/>
      <c r="S34" s="282"/>
      <c r="T34" s="282"/>
      <c r="U34" s="282"/>
      <c r="V34" s="282"/>
      <c r="W34" s="282"/>
      <c r="X34" s="278"/>
      <c r="Y34" s="278"/>
      <c r="Z34" s="278"/>
      <c r="AA34" s="278"/>
      <c r="AB34" s="278"/>
      <c r="AC34" s="278"/>
      <c r="AD34" s="278"/>
      <c r="AE34" s="278"/>
      <c r="AF34" s="278"/>
      <c r="AG34" s="278"/>
    </row>
    <row r="35" spans="2:41">
      <c r="B35" s="1127"/>
      <c r="R35" s="282"/>
      <c r="S35" s="282"/>
      <c r="T35" s="282"/>
      <c r="U35" s="282"/>
      <c r="V35" s="282"/>
      <c r="W35" s="282"/>
      <c r="X35" s="278"/>
      <c r="Y35" s="278"/>
      <c r="Z35" s="278"/>
      <c r="AA35" s="278"/>
      <c r="AB35" s="278"/>
      <c r="AC35" s="278"/>
      <c r="AD35" s="278"/>
      <c r="AE35" s="278"/>
      <c r="AF35" s="278"/>
      <c r="AG35" s="278"/>
    </row>
    <row r="36" spans="2:41" s="167" customFormat="1">
      <c r="C36" s="1127"/>
      <c r="D36" s="1127"/>
      <c r="O36" s="197"/>
      <c r="P36" s="198"/>
      <c r="Q36" s="199"/>
      <c r="R36" s="198"/>
      <c r="S36" s="198"/>
      <c r="T36" s="198"/>
      <c r="U36" s="198"/>
      <c r="V36" s="198"/>
      <c r="W36" s="198"/>
      <c r="X36" s="196"/>
      <c r="Y36" s="196"/>
      <c r="Z36" s="196"/>
      <c r="AA36" s="196"/>
      <c r="AB36" s="196"/>
      <c r="AC36" s="196"/>
      <c r="AD36" s="196"/>
      <c r="AE36" s="196"/>
      <c r="AF36" s="196"/>
      <c r="AG36" s="564"/>
      <c r="AH36" s="191"/>
      <c r="AI36" s="191"/>
      <c r="AJ36" s="191"/>
      <c r="AK36" s="191"/>
      <c r="AL36" s="191"/>
      <c r="AM36" s="191"/>
      <c r="AN36" s="191"/>
      <c r="AO36" s="245"/>
    </row>
    <row r="37" spans="2:41" s="167" customFormat="1" ht="21" hidden="1" customHeight="1">
      <c r="C37" s="1127"/>
      <c r="D37" s="1127"/>
      <c r="O37" s="197"/>
      <c r="P37" s="198"/>
      <c r="Q37" s="199"/>
      <c r="R37" s="198"/>
      <c r="S37" s="198"/>
      <c r="T37" s="198"/>
      <c r="U37" s="198"/>
      <c r="V37" s="198"/>
      <c r="W37" s="198"/>
      <c r="X37" s="196"/>
      <c r="Y37" s="196"/>
      <c r="Z37" s="196"/>
      <c r="AA37" s="196"/>
      <c r="AB37" s="196"/>
      <c r="AC37" s="196"/>
      <c r="AD37" s="196"/>
      <c r="AE37" s="196"/>
      <c r="AF37" s="196"/>
      <c r="AG37" s="564"/>
      <c r="AH37" s="191"/>
      <c r="AI37" s="191"/>
      <c r="AJ37" s="191"/>
      <c r="AK37" s="191"/>
      <c r="AL37" s="191"/>
      <c r="AM37" s="191"/>
      <c r="AN37" s="191"/>
      <c r="AO37" s="245"/>
    </row>
    <row r="38" spans="2:41" s="167" customFormat="1" ht="15.75" hidden="1" customHeight="1">
      <c r="O38" s="197"/>
      <c r="P38" s="198"/>
      <c r="Q38" s="199"/>
      <c r="R38" s="198"/>
      <c r="S38" s="198"/>
      <c r="T38" s="198"/>
      <c r="U38" s="198"/>
      <c r="V38" s="198"/>
      <c r="W38" s="198"/>
      <c r="X38" s="196"/>
      <c r="Y38" s="196"/>
      <c r="Z38" s="196"/>
      <c r="AA38" s="196"/>
      <c r="AB38" s="196"/>
      <c r="AC38" s="196"/>
      <c r="AD38" s="196"/>
      <c r="AE38" s="196"/>
      <c r="AF38" s="196"/>
      <c r="AG38" s="564"/>
      <c r="AH38" s="191"/>
      <c r="AI38" s="191"/>
      <c r="AJ38" s="191"/>
      <c r="AK38" s="191"/>
      <c r="AL38" s="191"/>
      <c r="AM38" s="191"/>
      <c r="AN38" s="191"/>
      <c r="AO38" s="245"/>
    </row>
    <row r="39" spans="2:41" s="167" customFormat="1" hidden="1">
      <c r="O39" s="197"/>
      <c r="P39" s="198"/>
      <c r="Q39" s="199"/>
      <c r="R39" s="198"/>
      <c r="S39" s="198"/>
      <c r="T39" s="198"/>
      <c r="U39" s="198"/>
      <c r="V39" s="198"/>
      <c r="W39" s="198"/>
      <c r="X39" s="196"/>
      <c r="Y39" s="196"/>
      <c r="Z39" s="196"/>
      <c r="AA39" s="196"/>
      <c r="AB39" s="196"/>
      <c r="AC39" s="196"/>
      <c r="AD39" s="196"/>
      <c r="AE39" s="196"/>
      <c r="AF39" s="196"/>
      <c r="AG39" s="564"/>
      <c r="AH39" s="191"/>
      <c r="AI39" s="191"/>
      <c r="AJ39" s="191"/>
      <c r="AK39" s="191"/>
      <c r="AL39" s="191"/>
      <c r="AM39" s="191"/>
      <c r="AN39" s="191"/>
      <c r="AO39" s="245"/>
    </row>
    <row r="40" spans="2:41" s="167" customFormat="1" hidden="1">
      <c r="O40" s="197"/>
      <c r="P40" s="198"/>
      <c r="Q40" s="199"/>
      <c r="R40" s="198"/>
      <c r="S40" s="198"/>
      <c r="T40" s="198"/>
      <c r="U40" s="198"/>
      <c r="V40" s="198"/>
      <c r="W40" s="198"/>
      <c r="X40" s="196"/>
      <c r="Y40" s="196"/>
      <c r="Z40" s="196"/>
      <c r="AA40" s="196"/>
      <c r="AB40" s="196"/>
      <c r="AC40" s="196"/>
      <c r="AD40" s="196"/>
      <c r="AE40" s="196"/>
      <c r="AF40" s="196"/>
      <c r="AG40" s="564"/>
      <c r="AH40" s="191"/>
      <c r="AI40" s="191"/>
      <c r="AJ40" s="191"/>
      <c r="AK40" s="191"/>
      <c r="AL40" s="191"/>
      <c r="AM40" s="191"/>
      <c r="AN40" s="191"/>
      <c r="AO40" s="245"/>
    </row>
    <row r="41" spans="2:41" s="167" customFormat="1" hidden="1">
      <c r="O41" s="197"/>
      <c r="P41" s="198"/>
      <c r="Q41" s="199"/>
      <c r="R41" s="198"/>
      <c r="S41" s="198"/>
      <c r="T41" s="198"/>
      <c r="U41" s="198"/>
      <c r="V41" s="198"/>
      <c r="W41" s="198"/>
      <c r="X41" s="196"/>
      <c r="Y41" s="196"/>
      <c r="Z41" s="196"/>
      <c r="AA41" s="196"/>
      <c r="AB41" s="196"/>
      <c r="AC41" s="196"/>
      <c r="AD41" s="196"/>
      <c r="AE41" s="196"/>
      <c r="AF41" s="196"/>
      <c r="AG41" s="564"/>
      <c r="AH41" s="191"/>
      <c r="AI41" s="191"/>
      <c r="AJ41" s="191"/>
      <c r="AK41" s="191"/>
      <c r="AL41" s="191"/>
      <c r="AM41" s="191"/>
      <c r="AN41" s="191"/>
      <c r="AO41" s="245"/>
    </row>
    <row r="42" spans="2:41" s="167" customFormat="1" hidden="1">
      <c r="O42" s="197"/>
      <c r="P42" s="198"/>
      <c r="Q42" s="199"/>
      <c r="R42" s="198"/>
      <c r="S42" s="198"/>
      <c r="T42" s="198"/>
      <c r="U42" s="198"/>
      <c r="V42" s="198"/>
      <c r="W42" s="198"/>
      <c r="X42" s="196"/>
      <c r="Y42" s="196"/>
      <c r="Z42" s="196"/>
      <c r="AA42" s="196"/>
      <c r="AB42" s="196"/>
      <c r="AC42" s="196"/>
      <c r="AD42" s="196"/>
      <c r="AE42" s="196"/>
      <c r="AF42" s="196"/>
      <c r="AG42" s="564"/>
      <c r="AH42" s="191"/>
      <c r="AI42" s="191"/>
      <c r="AJ42" s="191"/>
      <c r="AK42" s="191"/>
      <c r="AL42" s="191"/>
      <c r="AM42" s="191"/>
      <c r="AN42" s="191"/>
      <c r="AO42" s="245"/>
    </row>
    <row r="43" spans="2:41" s="167" customFormat="1" hidden="1">
      <c r="O43" s="197"/>
      <c r="P43" s="198"/>
      <c r="Q43" s="199"/>
      <c r="R43" s="198"/>
      <c r="S43" s="198"/>
      <c r="T43" s="198"/>
      <c r="U43" s="198"/>
      <c r="V43" s="198"/>
      <c r="W43" s="198"/>
      <c r="X43" s="196"/>
      <c r="Y43" s="196"/>
      <c r="Z43" s="196"/>
      <c r="AA43" s="196"/>
      <c r="AB43" s="196"/>
      <c r="AC43" s="196"/>
      <c r="AD43" s="196"/>
      <c r="AE43" s="196"/>
      <c r="AF43" s="196"/>
      <c r="AG43" s="564"/>
      <c r="AH43" s="191"/>
      <c r="AI43" s="191"/>
      <c r="AJ43" s="191"/>
      <c r="AK43" s="191"/>
      <c r="AL43" s="191"/>
      <c r="AM43" s="191"/>
      <c r="AN43" s="191"/>
      <c r="AO43" s="245"/>
    </row>
    <row r="44" spans="2:41" s="167" customFormat="1" hidden="1">
      <c r="O44" s="197"/>
      <c r="P44" s="198"/>
      <c r="Q44" s="199"/>
      <c r="R44" s="198"/>
      <c r="S44" s="198"/>
      <c r="T44" s="198"/>
      <c r="U44" s="198"/>
      <c r="V44" s="198"/>
      <c r="W44" s="198"/>
      <c r="X44" s="196"/>
      <c r="Y44" s="196"/>
      <c r="Z44" s="196"/>
      <c r="AA44" s="196"/>
      <c r="AB44" s="196"/>
      <c r="AC44" s="196"/>
      <c r="AD44" s="196"/>
      <c r="AE44" s="196"/>
      <c r="AF44" s="196"/>
      <c r="AG44" s="564"/>
      <c r="AH44" s="191"/>
      <c r="AI44" s="191"/>
      <c r="AJ44" s="191"/>
      <c r="AK44" s="191"/>
      <c r="AL44" s="191"/>
      <c r="AM44" s="191"/>
      <c r="AN44" s="191"/>
      <c r="AO44" s="245"/>
    </row>
    <row r="45" spans="2:41" s="167" customFormat="1" hidden="1">
      <c r="O45" s="197"/>
      <c r="P45" s="198"/>
      <c r="Q45" s="199"/>
      <c r="R45" s="198"/>
      <c r="S45" s="198"/>
      <c r="T45" s="198"/>
      <c r="U45" s="198"/>
      <c r="V45" s="198"/>
      <c r="W45" s="198"/>
      <c r="X45" s="196"/>
      <c r="Y45" s="196"/>
      <c r="Z45" s="196"/>
      <c r="AA45" s="196"/>
      <c r="AB45" s="196"/>
      <c r="AC45" s="196"/>
      <c r="AD45" s="196"/>
      <c r="AE45" s="196"/>
      <c r="AF45" s="196"/>
      <c r="AG45" s="564"/>
      <c r="AH45" s="191"/>
      <c r="AI45" s="191"/>
      <c r="AJ45" s="191"/>
      <c r="AK45" s="191"/>
      <c r="AL45" s="191"/>
      <c r="AM45" s="191"/>
      <c r="AN45" s="191"/>
      <c r="AO45" s="245"/>
    </row>
    <row r="46" spans="2:41" s="167" customFormat="1" hidden="1">
      <c r="O46" s="197"/>
      <c r="P46" s="198"/>
      <c r="Q46" s="199"/>
      <c r="R46" s="198"/>
      <c r="S46" s="198"/>
      <c r="T46" s="198"/>
      <c r="U46" s="198"/>
      <c r="V46" s="198"/>
      <c r="W46" s="198"/>
      <c r="X46" s="196"/>
      <c r="Y46" s="196"/>
      <c r="Z46" s="196"/>
      <c r="AA46" s="196"/>
      <c r="AB46" s="196"/>
      <c r="AC46" s="196"/>
      <c r="AD46" s="196"/>
      <c r="AE46" s="196"/>
      <c r="AF46" s="196"/>
      <c r="AG46" s="564"/>
      <c r="AH46" s="191"/>
      <c r="AI46" s="191"/>
      <c r="AJ46" s="191"/>
      <c r="AK46" s="191"/>
      <c r="AL46" s="191"/>
      <c r="AM46" s="191"/>
      <c r="AN46" s="191"/>
      <c r="AO46" s="245"/>
    </row>
    <row r="47" spans="2:41" s="167" customFormat="1" hidden="1">
      <c r="O47" s="197"/>
      <c r="P47" s="198"/>
      <c r="Q47" s="199"/>
      <c r="R47" s="198"/>
      <c r="S47" s="198"/>
      <c r="T47" s="198"/>
      <c r="U47" s="198"/>
      <c r="V47" s="198"/>
      <c r="W47" s="198"/>
      <c r="X47" s="196"/>
      <c r="Y47" s="196"/>
      <c r="Z47" s="196"/>
      <c r="AA47" s="196"/>
      <c r="AB47" s="196"/>
      <c r="AC47" s="196"/>
      <c r="AD47" s="196"/>
      <c r="AE47" s="196"/>
      <c r="AF47" s="196"/>
      <c r="AG47" s="564"/>
      <c r="AH47" s="191"/>
      <c r="AI47" s="191"/>
      <c r="AJ47" s="191"/>
      <c r="AK47" s="191"/>
      <c r="AL47" s="191"/>
      <c r="AM47" s="191"/>
      <c r="AN47" s="191"/>
      <c r="AO47" s="245"/>
    </row>
    <row r="48" spans="2:41" s="167" customFormat="1" ht="15" hidden="1">
      <c r="B48" s="1920"/>
      <c r="C48" s="1921"/>
      <c r="D48" s="1921"/>
      <c r="E48" s="1921"/>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6"/>
      <c r="AB48" s="196"/>
      <c r="AC48" s="196"/>
      <c r="AD48" s="196"/>
      <c r="AE48" s="196"/>
      <c r="AF48" s="196"/>
      <c r="AG48" s="564"/>
      <c r="AH48" s="191"/>
      <c r="AI48" s="191"/>
      <c r="AJ48" s="191"/>
      <c r="AK48" s="191"/>
      <c r="AL48" s="191"/>
      <c r="AM48" s="191"/>
      <c r="AN48" s="191"/>
      <c r="AO48" s="245"/>
    </row>
    <row r="49" spans="2:44" s="167" customFormat="1" ht="15" hidden="1">
      <c r="B49" s="1920"/>
      <c r="C49" s="1921"/>
      <c r="D49" s="1921"/>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96"/>
      <c r="AB49" s="196"/>
      <c r="AC49" s="196"/>
      <c r="AD49" s="196"/>
      <c r="AE49" s="196"/>
      <c r="AF49" s="196"/>
      <c r="AG49" s="564"/>
      <c r="AH49" s="191"/>
      <c r="AI49" s="191"/>
      <c r="AJ49" s="191"/>
      <c r="AK49" s="191"/>
      <c r="AL49" s="191"/>
      <c r="AM49" s="191"/>
      <c r="AN49" s="191"/>
      <c r="AO49" s="245"/>
    </row>
    <row r="50" spans="2:44" s="167" customFormat="1" ht="15" hidden="1">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196"/>
      <c r="AB50" s="196"/>
      <c r="AC50" s="196"/>
      <c r="AD50" s="196"/>
      <c r="AE50" s="196"/>
      <c r="AF50" s="196"/>
      <c r="AG50" s="564"/>
      <c r="AH50" s="191"/>
      <c r="AI50" s="191"/>
      <c r="AJ50" s="191"/>
      <c r="AK50" s="191"/>
      <c r="AL50" s="191"/>
      <c r="AM50" s="191"/>
      <c r="AN50" s="191"/>
      <c r="AO50" s="245"/>
    </row>
    <row r="51" spans="2:44" s="167" customFormat="1" ht="15" hidden="1">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196"/>
      <c r="AB51" s="196"/>
      <c r="AC51" s="196"/>
      <c r="AD51" s="196"/>
      <c r="AE51" s="196"/>
      <c r="AF51" s="196"/>
      <c r="AG51" s="564"/>
      <c r="AH51" s="191"/>
      <c r="AI51" s="191"/>
      <c r="AJ51" s="191"/>
      <c r="AK51" s="191"/>
      <c r="AL51" s="191"/>
      <c r="AM51" s="191"/>
      <c r="AN51" s="191"/>
      <c r="AO51" s="245"/>
    </row>
    <row r="52" spans="2:44" s="167" customFormat="1" ht="15" hidden="1">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196"/>
      <c r="AB52" s="196"/>
      <c r="AC52" s="196"/>
      <c r="AD52" s="196"/>
      <c r="AE52" s="196"/>
      <c r="AF52" s="196"/>
      <c r="AG52" s="564"/>
      <c r="AH52" s="191"/>
      <c r="AI52" s="191"/>
      <c r="AJ52" s="191"/>
      <c r="AK52" s="191"/>
      <c r="AL52" s="191"/>
      <c r="AM52" s="191"/>
      <c r="AN52" s="191"/>
      <c r="AO52" s="245"/>
    </row>
    <row r="53" spans="2:44" s="167" customFormat="1" ht="15" hidden="1">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196"/>
      <c r="AB53" s="196"/>
      <c r="AC53" s="196"/>
      <c r="AD53" s="196"/>
      <c r="AE53" s="196"/>
      <c r="AF53" s="196"/>
      <c r="AG53" s="564"/>
      <c r="AH53" s="191"/>
      <c r="AI53" s="191"/>
      <c r="AJ53" s="191"/>
      <c r="AK53" s="191"/>
      <c r="AL53" s="191"/>
      <c r="AM53" s="191"/>
      <c r="AN53" s="191"/>
      <c r="AO53" s="245"/>
    </row>
    <row r="54" spans="2:44" s="167" customFormat="1" ht="15" hidden="1">
      <c r="B54" s="266"/>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196"/>
      <c r="AB54" s="196"/>
      <c r="AC54" s="196"/>
      <c r="AD54" s="196"/>
      <c r="AE54" s="196"/>
      <c r="AF54" s="196"/>
      <c r="AG54" s="564"/>
      <c r="AH54" s="191"/>
      <c r="AI54" s="191"/>
      <c r="AJ54" s="191"/>
      <c r="AK54" s="191"/>
      <c r="AL54" s="191"/>
      <c r="AM54" s="191"/>
      <c r="AN54" s="191"/>
      <c r="AO54" s="245"/>
    </row>
    <row r="55" spans="2:44" s="167" customFormat="1" ht="15" hidden="1">
      <c r="B55" s="1920"/>
      <c r="C55" s="1921"/>
      <c r="D55" s="1921"/>
      <c r="E55" s="1921"/>
      <c r="F55" s="1921"/>
      <c r="G55" s="1921"/>
      <c r="H55" s="1921"/>
      <c r="I55" s="1921"/>
      <c r="J55" s="1921"/>
      <c r="K55" s="1921"/>
      <c r="L55" s="1921"/>
      <c r="M55" s="1921"/>
      <c r="N55" s="1921"/>
      <c r="O55" s="1921"/>
      <c r="P55" s="1921"/>
      <c r="Q55" s="1921"/>
      <c r="R55" s="1921"/>
      <c r="S55" s="1921"/>
      <c r="T55" s="1921"/>
      <c r="U55" s="1921"/>
      <c r="V55" s="1921"/>
      <c r="W55" s="1921"/>
      <c r="X55" s="1921"/>
      <c r="Y55" s="1921"/>
      <c r="Z55" s="1921"/>
      <c r="AA55" s="196"/>
      <c r="AB55" s="196"/>
      <c r="AC55" s="196"/>
      <c r="AD55" s="196"/>
      <c r="AE55" s="196"/>
      <c r="AF55" s="196"/>
      <c r="AG55" s="564"/>
      <c r="AH55" s="191"/>
      <c r="AI55" s="191"/>
      <c r="AJ55" s="191"/>
      <c r="AK55" s="191"/>
      <c r="AL55" s="191"/>
      <c r="AM55" s="191"/>
      <c r="AN55" s="191"/>
      <c r="AO55" s="245"/>
    </row>
    <row r="56" spans="2:44" s="167" customFormat="1" hidden="1">
      <c r="O56" s="197"/>
      <c r="P56" s="198"/>
      <c r="Q56" s="199"/>
      <c r="R56" s="198"/>
      <c r="S56" s="198"/>
      <c r="T56" s="198"/>
      <c r="U56" s="198"/>
      <c r="V56" s="198"/>
      <c r="W56" s="198"/>
      <c r="X56" s="196"/>
      <c r="Y56" s="196"/>
      <c r="Z56" s="196"/>
      <c r="AA56" s="196"/>
      <c r="AB56" s="196"/>
      <c r="AC56" s="196"/>
      <c r="AD56" s="196"/>
      <c r="AE56" s="196"/>
      <c r="AF56" s="196"/>
      <c r="AG56" s="564"/>
      <c r="AH56" s="191"/>
      <c r="AI56" s="191"/>
      <c r="AJ56" s="191"/>
      <c r="AK56" s="191"/>
      <c r="AL56" s="191"/>
      <c r="AM56" s="191"/>
      <c r="AN56" s="191"/>
      <c r="AO56" s="245"/>
    </row>
    <row r="57" spans="2:44" s="167" customFormat="1" hidden="1">
      <c r="O57" s="197"/>
      <c r="P57" s="198"/>
      <c r="Q57" s="199"/>
      <c r="R57" s="198"/>
      <c r="S57" s="198"/>
      <c r="T57" s="198"/>
      <c r="U57" s="198"/>
      <c r="V57" s="198"/>
      <c r="W57" s="198"/>
      <c r="X57" s="196"/>
      <c r="Y57" s="196"/>
      <c r="Z57" s="196"/>
      <c r="AA57" s="196"/>
      <c r="AB57" s="196"/>
      <c r="AC57" s="196"/>
      <c r="AD57" s="196"/>
      <c r="AE57" s="196"/>
      <c r="AF57" s="196"/>
      <c r="AG57" s="564"/>
      <c r="AH57" s="191"/>
      <c r="AI57" s="191"/>
      <c r="AJ57" s="191"/>
      <c r="AK57" s="191"/>
      <c r="AL57" s="191"/>
      <c r="AM57" s="191"/>
      <c r="AN57" s="191"/>
      <c r="AO57" s="245"/>
    </row>
    <row r="58" spans="2:44" s="167" customFormat="1" hidden="1">
      <c r="O58" s="197"/>
      <c r="P58" s="198"/>
      <c r="Q58" s="199"/>
      <c r="R58" s="198"/>
      <c r="S58" s="198"/>
      <c r="T58" s="198"/>
      <c r="U58" s="198"/>
      <c r="V58" s="198"/>
      <c r="W58" s="198"/>
      <c r="X58" s="196"/>
      <c r="Y58" s="196"/>
      <c r="Z58" s="196"/>
      <c r="AA58" s="196"/>
      <c r="AB58" s="196"/>
      <c r="AC58" s="196"/>
      <c r="AD58" s="196"/>
      <c r="AE58" s="196"/>
      <c r="AF58" s="196"/>
      <c r="AG58" s="564"/>
      <c r="AH58" s="191"/>
      <c r="AI58" s="191"/>
      <c r="AJ58" s="191"/>
      <c r="AK58" s="191"/>
      <c r="AL58" s="191"/>
      <c r="AM58" s="191"/>
      <c r="AN58" s="191"/>
      <c r="AO58" s="245"/>
    </row>
    <row r="59" spans="2:44" s="167" customFormat="1">
      <c r="O59" s="197"/>
      <c r="P59" s="198"/>
      <c r="Q59" s="199"/>
      <c r="R59" s="198"/>
      <c r="S59" s="198"/>
      <c r="T59" s="198"/>
      <c r="U59" s="198"/>
      <c r="V59" s="198"/>
      <c r="W59" s="198"/>
      <c r="X59" s="196"/>
      <c r="Y59" s="196"/>
      <c r="Z59" s="196"/>
      <c r="AA59" s="196"/>
      <c r="AB59" s="196"/>
      <c r="AC59" s="196"/>
      <c r="AD59" s="196"/>
      <c r="AE59" s="196"/>
      <c r="AF59" s="196"/>
      <c r="AG59" s="564"/>
      <c r="AH59" s="191"/>
      <c r="AI59" s="191"/>
      <c r="AJ59" s="191"/>
      <c r="AK59" s="191"/>
      <c r="AL59" s="191"/>
      <c r="AM59" s="191"/>
      <c r="AN59" s="191"/>
      <c r="AO59" s="245"/>
    </row>
    <row r="60" spans="2:44" s="167" customFormat="1" outlineLevel="1">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564"/>
      <c r="AH60" s="191"/>
      <c r="AI60" s="191"/>
      <c r="AJ60" s="191"/>
      <c r="AK60" s="191"/>
      <c r="AL60" s="191"/>
      <c r="AM60" s="191"/>
      <c r="AN60" s="191"/>
      <c r="AO60" s="245"/>
    </row>
    <row r="61" spans="2:44" s="167" customFormat="1" outlineLevel="1">
      <c r="B61" s="190" t="s">
        <v>391</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564"/>
      <c r="AH61" s="191"/>
      <c r="AI61" s="191"/>
      <c r="AJ61" s="191"/>
      <c r="AK61" s="191"/>
      <c r="AL61" s="191"/>
      <c r="AM61" s="191"/>
      <c r="AN61" s="191"/>
      <c r="AO61" s="245"/>
      <c r="AP61" s="245"/>
      <c r="AQ61" s="245"/>
    </row>
    <row r="62" spans="2:44" s="167" customFormat="1" outlineLevel="1">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564"/>
      <c r="AH62" s="191"/>
      <c r="AI62" s="191"/>
      <c r="AJ62" s="191"/>
      <c r="AK62" s="191"/>
      <c r="AL62" s="191"/>
      <c r="AM62" s="191"/>
      <c r="AN62" s="191"/>
      <c r="AO62" s="245"/>
      <c r="AP62" s="245"/>
      <c r="AQ62" s="245"/>
    </row>
    <row r="63" spans="2:44" s="167" customFormat="1" outlineLevel="1">
      <c r="B63" s="158" t="s">
        <v>1769</v>
      </c>
      <c r="C63" s="158"/>
      <c r="D63" s="158"/>
      <c r="O63" s="197"/>
      <c r="P63" s="198"/>
      <c r="Q63" s="199"/>
      <c r="R63" s="198"/>
      <c r="S63" s="198"/>
      <c r="T63" s="198"/>
      <c r="U63" s="198"/>
      <c r="V63" s="198"/>
      <c r="W63" s="198"/>
      <c r="X63" s="563">
        <v>2001</v>
      </c>
      <c r="Y63" s="289"/>
      <c r="Z63" s="290">
        <v>2003</v>
      </c>
      <c r="AA63" s="289"/>
      <c r="AB63" s="290">
        <v>2005</v>
      </c>
      <c r="AC63" s="289"/>
      <c r="AD63" s="290">
        <v>2007</v>
      </c>
      <c r="AE63" s="289"/>
      <c r="AF63" s="1121">
        <v>2009</v>
      </c>
      <c r="AG63" s="1121">
        <v>2010</v>
      </c>
      <c r="AH63" s="1121">
        <v>2011</v>
      </c>
      <c r="AI63" s="1121">
        <v>2012</v>
      </c>
      <c r="AJ63" s="1121">
        <v>2013</v>
      </c>
      <c r="AK63" s="1121">
        <v>2014</v>
      </c>
      <c r="AL63" s="1121">
        <v>2015</v>
      </c>
      <c r="AM63" s="1121">
        <v>2016</v>
      </c>
      <c r="AN63" s="1121">
        <v>2017</v>
      </c>
      <c r="AO63" s="1121">
        <v>2018</v>
      </c>
      <c r="AP63" s="1121">
        <v>2019</v>
      </c>
      <c r="AQ63" s="1121">
        <v>2020</v>
      </c>
      <c r="AR63" s="1121">
        <v>2021</v>
      </c>
    </row>
    <row r="64" spans="2:44" s="167" customFormat="1" outlineLevel="1">
      <c r="B64" s="158" t="s">
        <v>1770</v>
      </c>
      <c r="C64" s="158"/>
      <c r="D64" s="158"/>
      <c r="O64" s="197"/>
      <c r="P64" s="198"/>
      <c r="Q64" s="199"/>
      <c r="R64" s="198"/>
      <c r="S64" s="198"/>
      <c r="T64" s="198"/>
      <c r="U64" s="198"/>
      <c r="V64" s="198"/>
      <c r="W64" s="198"/>
      <c r="X64" s="276"/>
      <c r="Y64" s="291"/>
      <c r="Z64" s="276"/>
      <c r="AA64" s="291"/>
      <c r="AB64" s="276"/>
      <c r="AC64" s="276"/>
      <c r="AD64" s="276"/>
      <c r="AE64" s="291"/>
      <c r="AF64" s="276"/>
      <c r="AG64" s="276"/>
      <c r="AH64" s="276"/>
      <c r="AI64" s="191"/>
      <c r="AJ64" s="191"/>
      <c r="AK64" s="191"/>
      <c r="AL64" s="191"/>
      <c r="AM64" s="191"/>
      <c r="AN64" s="191"/>
      <c r="AO64" s="191"/>
      <c r="AP64" s="191"/>
      <c r="AQ64" s="191"/>
      <c r="AR64" s="191"/>
    </row>
    <row r="65" spans="2:44" s="167" customFormat="1" outlineLevel="1">
      <c r="B65" s="308" t="s">
        <v>28</v>
      </c>
      <c r="C65" s="158" t="s">
        <v>29</v>
      </c>
      <c r="D65" s="158"/>
      <c r="O65" s="197"/>
      <c r="P65" s="198"/>
      <c r="Q65" s="199"/>
      <c r="R65" s="198"/>
      <c r="S65" s="198"/>
      <c r="T65" s="198"/>
      <c r="U65" s="198"/>
      <c r="V65" s="198"/>
      <c r="W65" s="198"/>
      <c r="X65" s="285">
        <v>28779303.263999999</v>
      </c>
      <c r="Y65" s="276"/>
      <c r="Z65" s="1128">
        <v>32550112.309999999</v>
      </c>
      <c r="AA65" s="1128">
        <v>35913096.494999997</v>
      </c>
      <c r="AB65" s="1128">
        <v>40528368.498999998</v>
      </c>
      <c r="AC65" s="1128">
        <v>44953127.641000003</v>
      </c>
      <c r="AD65" s="1128">
        <v>50041901.217</v>
      </c>
      <c r="AE65" s="1128">
        <v>56361662.104000002</v>
      </c>
      <c r="AF65" s="1128">
        <v>56832629.424000002</v>
      </c>
      <c r="AG65" s="1128">
        <v>65037133.950999998</v>
      </c>
      <c r="AH65" s="1128">
        <v>73356769.444999993</v>
      </c>
      <c r="AI65" s="1128">
        <v>80117515.141000003</v>
      </c>
      <c r="AJ65" s="1128">
        <v>86376886.548999995</v>
      </c>
      <c r="AK65" s="1128">
        <v>93779395.596000001</v>
      </c>
      <c r="AL65" s="1128">
        <v>101220569.538</v>
      </c>
      <c r="AM65" s="1128">
        <v>107485068.56299999</v>
      </c>
      <c r="AN65" s="1128">
        <v>113983745.392</v>
      </c>
      <c r="AO65" s="1128">
        <v>121614167.07099999</v>
      </c>
      <c r="AP65" s="1128">
        <v>124127586.558</v>
      </c>
      <c r="AQ65" s="1128">
        <v>118427996.838</v>
      </c>
      <c r="AR65" s="285"/>
    </row>
    <row r="66" spans="2:44" s="167" customFormat="1" ht="5.0999999999999996" customHeight="1" outlineLevel="1">
      <c r="B66" s="158"/>
      <c r="C66" s="158"/>
      <c r="D66" s="158"/>
      <c r="O66" s="197"/>
      <c r="P66" s="198"/>
      <c r="Q66" s="199"/>
      <c r="R66" s="198"/>
      <c r="S66" s="198"/>
      <c r="T66" s="198"/>
      <c r="U66" s="198"/>
      <c r="V66" s="198"/>
      <c r="W66" s="198"/>
      <c r="X66" s="285"/>
      <c r="Y66" s="276"/>
      <c r="Z66" s="1128"/>
      <c r="AA66" s="1128"/>
      <c r="AB66" s="1128"/>
      <c r="AC66" s="1128"/>
      <c r="AD66" s="1128"/>
      <c r="AE66" s="1128"/>
      <c r="AF66" s="1128"/>
      <c r="AG66" s="1128"/>
      <c r="AH66" s="1128"/>
      <c r="AI66" s="1128"/>
      <c r="AJ66" s="1128"/>
      <c r="AK66" s="1128"/>
      <c r="AL66" s="1128"/>
      <c r="AM66" s="1128"/>
      <c r="AN66" s="1128"/>
      <c r="AO66" s="1128"/>
      <c r="AP66" s="1128"/>
      <c r="AQ66" s="1128"/>
      <c r="AR66" s="285"/>
    </row>
    <row r="67" spans="2:44" s="167" customFormat="1" outlineLevel="1">
      <c r="B67" s="308" t="s">
        <v>30</v>
      </c>
      <c r="C67" s="158" t="s">
        <v>31</v>
      </c>
      <c r="D67" s="158"/>
      <c r="O67" s="197"/>
      <c r="P67" s="198"/>
      <c r="Q67" s="199"/>
      <c r="R67" s="198"/>
      <c r="S67" s="198"/>
      <c r="T67" s="198"/>
      <c r="U67" s="198"/>
      <c r="V67" s="198"/>
      <c r="W67" s="198"/>
      <c r="X67" s="285" t="e">
        <v>#VALUE!</v>
      </c>
      <c r="Y67" s="276"/>
      <c r="Z67" s="1128">
        <v>34683963.730999999</v>
      </c>
      <c r="AA67" s="1128">
        <v>38267507.601000004</v>
      </c>
      <c r="AB67" s="1128">
        <v>43097917.802999996</v>
      </c>
      <c r="AC67" s="1128">
        <v>47853707.480999999</v>
      </c>
      <c r="AD67" s="1128">
        <v>53487701.408000007</v>
      </c>
      <c r="AE67" s="1128">
        <v>59865872.979000002</v>
      </c>
      <c r="AF67" s="1128">
        <v>60873174.967</v>
      </c>
      <c r="AG67" s="1128">
        <v>69661447.386000007</v>
      </c>
      <c r="AH67" s="1128">
        <v>78495377.398000002</v>
      </c>
      <c r="AI67" s="1128">
        <v>85360355.254999995</v>
      </c>
      <c r="AJ67" s="1128">
        <v>91913810.107999995</v>
      </c>
      <c r="AK67" s="1128">
        <v>100130538.748</v>
      </c>
      <c r="AL67" s="1128">
        <v>108188681.148</v>
      </c>
      <c r="AM67" s="1128">
        <v>115469897.95299999</v>
      </c>
      <c r="AN67" s="1128">
        <v>122690419.646</v>
      </c>
      <c r="AO67" s="1128">
        <v>131098932.72799999</v>
      </c>
      <c r="AP67" s="1128">
        <v>133685022.07300001</v>
      </c>
      <c r="AQ67" s="1128">
        <v>150241529.405</v>
      </c>
      <c r="AR67" s="285"/>
    </row>
    <row r="68" spans="2:44" s="167" customFormat="1" ht="5.0999999999999996" customHeight="1" outlineLevel="1">
      <c r="B68" s="158"/>
      <c r="C68" s="158"/>
      <c r="D68" s="158"/>
      <c r="O68" s="197"/>
      <c r="P68" s="198"/>
      <c r="Q68" s="199"/>
      <c r="R68" s="198"/>
      <c r="S68" s="198"/>
      <c r="T68" s="198"/>
      <c r="U68" s="198"/>
      <c r="V68" s="198"/>
      <c r="W68" s="198"/>
      <c r="X68" s="276"/>
      <c r="Y68" s="276"/>
      <c r="Z68" s="1128"/>
      <c r="AA68" s="1128"/>
      <c r="AB68" s="1128"/>
      <c r="AC68" s="1128"/>
      <c r="AD68" s="1128"/>
      <c r="AE68" s="1128"/>
      <c r="AF68" s="1128"/>
      <c r="AG68" s="1128"/>
      <c r="AH68" s="1128"/>
      <c r="AI68" s="1128"/>
      <c r="AJ68" s="1128"/>
      <c r="AK68" s="1128"/>
      <c r="AL68" s="1128"/>
      <c r="AM68" s="1128"/>
      <c r="AN68" s="1128"/>
      <c r="AO68" s="1128"/>
      <c r="AP68" s="1128"/>
      <c r="AQ68" s="1128"/>
      <c r="AR68" s="276"/>
    </row>
    <row r="69" spans="2:44" s="167" customFormat="1" outlineLevel="1">
      <c r="B69" s="308" t="s">
        <v>32</v>
      </c>
      <c r="C69" s="158" t="s">
        <v>33</v>
      </c>
      <c r="D69" s="158"/>
      <c r="O69" s="197"/>
      <c r="P69" s="198"/>
      <c r="Q69" s="199"/>
      <c r="R69" s="198"/>
      <c r="S69" s="198"/>
      <c r="T69" s="198"/>
      <c r="U69" s="198"/>
      <c r="V69" s="198"/>
      <c r="W69" s="198"/>
      <c r="X69" s="285">
        <v>4433875.5</v>
      </c>
      <c r="Y69" s="276"/>
      <c r="Z69" s="1128">
        <f t="shared" ref="Z69:AQ69" si="9">SUM(Z71:Z72)</f>
        <v>5187519.7</v>
      </c>
      <c r="AA69" s="1128">
        <f t="shared" si="9"/>
        <v>5807026.4000000004</v>
      </c>
      <c r="AB69" s="1128">
        <f t="shared" si="9"/>
        <v>6498987.9000000004</v>
      </c>
      <c r="AC69" s="1128">
        <f t="shared" si="9"/>
        <v>6893229.4000000004</v>
      </c>
      <c r="AD69" s="1128">
        <f t="shared" si="9"/>
        <v>8081344.9000000004</v>
      </c>
      <c r="AE69" s="1128">
        <f t="shared" si="9"/>
        <v>9077868.9000000004</v>
      </c>
      <c r="AF69" s="1128">
        <f t="shared" si="9"/>
        <v>8299322</v>
      </c>
      <c r="AG69" s="1128">
        <f t="shared" si="9"/>
        <v>9961131</v>
      </c>
      <c r="AH69" s="1128">
        <f t="shared" si="9"/>
        <v>11287702.403000001</v>
      </c>
      <c r="AI69" s="1128">
        <f t="shared" si="9"/>
        <v>12340086.604</v>
      </c>
      <c r="AJ69" s="1128">
        <f t="shared" si="9"/>
        <v>13158268.617000001</v>
      </c>
      <c r="AK69" s="1128">
        <f t="shared" si="9"/>
        <v>14357932.780000001</v>
      </c>
      <c r="AL69" s="1128">
        <f t="shared" si="9"/>
        <v>15686730.673999999</v>
      </c>
      <c r="AM69" s="1128">
        <f t="shared" si="9"/>
        <v>16641912.5</v>
      </c>
      <c r="AN69" s="1128">
        <f t="shared" si="9"/>
        <v>17752199.423999999</v>
      </c>
      <c r="AO69" s="1128">
        <f t="shared" si="9"/>
        <v>19007678.973999999</v>
      </c>
      <c r="AP69" s="1128">
        <f t="shared" si="9"/>
        <v>19211270.947999999</v>
      </c>
      <c r="AQ69" s="1128">
        <f t="shared" si="9"/>
        <v>18863277.333000001</v>
      </c>
      <c r="AR69" s="285"/>
    </row>
    <row r="70" spans="2:44" s="167" customFormat="1" ht="5.0999999999999996" customHeight="1" outlineLevel="1">
      <c r="B70" s="158"/>
      <c r="C70" s="158"/>
      <c r="D70" s="158"/>
      <c r="O70" s="197"/>
      <c r="P70" s="198"/>
      <c r="Q70" s="199"/>
      <c r="R70" s="198"/>
      <c r="S70" s="198"/>
      <c r="T70" s="198"/>
      <c r="U70" s="198"/>
      <c r="V70" s="198"/>
      <c r="W70" s="198"/>
      <c r="X70" s="276"/>
      <c r="Y70" s="276"/>
      <c r="Z70" s="1128"/>
      <c r="AA70" s="1128"/>
      <c r="AB70" s="1128"/>
      <c r="AC70" s="1128"/>
      <c r="AD70" s="1128"/>
      <c r="AE70" s="1128"/>
      <c r="AF70" s="1128"/>
      <c r="AG70" s="1128"/>
      <c r="AH70" s="1128"/>
      <c r="AI70" s="1128"/>
      <c r="AJ70" s="1128"/>
      <c r="AK70" s="1128"/>
      <c r="AL70" s="1128"/>
      <c r="AM70" s="1128"/>
      <c r="AN70" s="1128"/>
      <c r="AO70" s="1128"/>
      <c r="AP70" s="1128"/>
      <c r="AQ70" s="1128"/>
      <c r="AR70" s="276"/>
    </row>
    <row r="71" spans="2:44" s="167" customFormat="1" outlineLevel="1">
      <c r="B71" s="158"/>
      <c r="C71" s="158" t="s">
        <v>34</v>
      </c>
      <c r="D71" s="158"/>
      <c r="O71" s="197"/>
      <c r="P71" s="198"/>
      <c r="Q71" s="199"/>
      <c r="R71" s="198"/>
      <c r="S71" s="198"/>
      <c r="T71" s="198"/>
      <c r="U71" s="198"/>
      <c r="V71" s="198"/>
      <c r="W71" s="198"/>
      <c r="X71" s="285">
        <v>3514067</v>
      </c>
      <c r="Y71" s="276"/>
      <c r="Z71" s="1128">
        <v>4204581</v>
      </c>
      <c r="AA71" s="1128">
        <v>4812280</v>
      </c>
      <c r="AB71" s="1128">
        <v>5391285</v>
      </c>
      <c r="AC71" s="1128">
        <v>5764274</v>
      </c>
      <c r="AD71" s="1128">
        <v>6781501</v>
      </c>
      <c r="AE71" s="1128">
        <v>7912009</v>
      </c>
      <c r="AF71" s="1128">
        <v>7051079</v>
      </c>
      <c r="AG71" s="1128">
        <v>8399926</v>
      </c>
      <c r="AH71" s="1128">
        <v>9536786.4210000001</v>
      </c>
      <c r="AI71" s="1128">
        <v>10447373.601</v>
      </c>
      <c r="AJ71" s="1128">
        <v>11170794</v>
      </c>
      <c r="AK71" s="1128">
        <v>12133710.102</v>
      </c>
      <c r="AL71" s="1128">
        <v>13273957.673999999</v>
      </c>
      <c r="AM71" s="1128">
        <v>14073050</v>
      </c>
      <c r="AN71" s="1128">
        <v>15069540</v>
      </c>
      <c r="AO71" s="1128">
        <v>16211646.289000001</v>
      </c>
      <c r="AP71" s="1128">
        <v>16348944</v>
      </c>
      <c r="AQ71" s="1128">
        <v>15963031.913000001</v>
      </c>
      <c r="AR71" s="285"/>
    </row>
    <row r="72" spans="2:44" s="167" customFormat="1" outlineLevel="1">
      <c r="B72" s="158"/>
      <c r="C72" s="158" t="s">
        <v>35</v>
      </c>
      <c r="D72" s="158"/>
      <c r="O72" s="197"/>
      <c r="P72" s="198"/>
      <c r="Q72" s="199"/>
      <c r="R72" s="198"/>
      <c r="S72" s="198"/>
      <c r="T72" s="198"/>
      <c r="U72" s="198"/>
      <c r="V72" s="198"/>
      <c r="W72" s="198"/>
      <c r="X72" s="285">
        <v>919808.5</v>
      </c>
      <c r="Y72" s="276"/>
      <c r="Z72" s="1128">
        <v>982938.70000000007</v>
      </c>
      <c r="AA72" s="1128">
        <v>994746.4</v>
      </c>
      <c r="AB72" s="1128">
        <v>1107702.8999999999</v>
      </c>
      <c r="AC72" s="1128">
        <v>1128955.4000000001</v>
      </c>
      <c r="AD72" s="1128">
        <v>1299843.9000000001</v>
      </c>
      <c r="AE72" s="1128">
        <v>1165859.8999999999</v>
      </c>
      <c r="AF72" s="1128">
        <v>1248243</v>
      </c>
      <c r="AG72" s="1128">
        <v>1561205</v>
      </c>
      <c r="AH72" s="1128">
        <v>1750915.9820000001</v>
      </c>
      <c r="AI72" s="1128">
        <v>1892713.003</v>
      </c>
      <c r="AJ72" s="1128">
        <v>1987474.6170000001</v>
      </c>
      <c r="AK72" s="1128">
        <v>2224222.6780000003</v>
      </c>
      <c r="AL72" s="1128">
        <v>2412773</v>
      </c>
      <c r="AM72" s="1128">
        <v>2568862.5</v>
      </c>
      <c r="AN72" s="1128">
        <v>2682659.4240000001</v>
      </c>
      <c r="AO72" s="1128">
        <v>2796032.6850000001</v>
      </c>
      <c r="AP72" s="1128">
        <v>2862326.9479999999</v>
      </c>
      <c r="AQ72" s="1128">
        <v>2900245.4200000004</v>
      </c>
      <c r="AR72" s="285"/>
    </row>
    <row r="73" spans="2:44" s="167" customFormat="1" ht="5.0999999999999996" customHeight="1" outlineLevel="1">
      <c r="B73" s="158"/>
      <c r="C73" s="158"/>
      <c r="D73" s="158"/>
      <c r="O73" s="197"/>
      <c r="P73" s="198"/>
      <c r="Q73" s="199"/>
      <c r="R73" s="198"/>
      <c r="S73" s="198"/>
      <c r="T73" s="198"/>
      <c r="U73" s="198"/>
      <c r="V73" s="198"/>
      <c r="W73" s="198"/>
      <c r="X73" s="285"/>
      <c r="Y73" s="276"/>
      <c r="Z73" s="1128"/>
      <c r="AA73" s="1128"/>
      <c r="AB73" s="1128"/>
      <c r="AC73" s="1128"/>
      <c r="AD73" s="1128"/>
      <c r="AE73" s="1128"/>
      <c r="AF73" s="1128"/>
      <c r="AG73" s="1128"/>
      <c r="AH73" s="1128"/>
      <c r="AI73" s="1128"/>
      <c r="AJ73" s="1128"/>
      <c r="AK73" s="1128"/>
      <c r="AL73" s="1128"/>
      <c r="AM73" s="1128"/>
      <c r="AN73" s="1128"/>
      <c r="AO73" s="1128"/>
      <c r="AP73" s="1128"/>
      <c r="AQ73" s="1128"/>
      <c r="AR73" s="285"/>
    </row>
    <row r="74" spans="2:44" s="167" customFormat="1" outlineLevel="1">
      <c r="B74" s="308" t="s">
        <v>36</v>
      </c>
      <c r="C74" s="158" t="s">
        <v>37</v>
      </c>
      <c r="D74" s="158"/>
      <c r="O74" s="197"/>
      <c r="P74" s="198"/>
      <c r="Q74" s="199"/>
      <c r="R74" s="198"/>
      <c r="S74" s="198"/>
      <c r="T74" s="198"/>
      <c r="U74" s="198"/>
      <c r="V74" s="198"/>
      <c r="W74" s="198"/>
      <c r="X74" s="285">
        <v>5072501.7</v>
      </c>
      <c r="Y74" s="276"/>
      <c r="Z74" s="1128">
        <v>5648194.4000000004</v>
      </c>
      <c r="AA74" s="1128">
        <v>6215709</v>
      </c>
      <c r="AB74" s="1128">
        <v>6952091.7000000002</v>
      </c>
      <c r="AC74" s="1128">
        <v>7381490.2000000002</v>
      </c>
      <c r="AD74" s="1128">
        <v>8578635.7000000011</v>
      </c>
      <c r="AE74" s="1128">
        <v>9628222.7000000011</v>
      </c>
      <c r="AF74" s="1128">
        <v>8741074</v>
      </c>
      <c r="AG74" s="1128">
        <v>10532904</v>
      </c>
      <c r="AH74" s="1128">
        <v>11963914.425000001</v>
      </c>
      <c r="AI74" s="1128">
        <v>13052988.595999999</v>
      </c>
      <c r="AJ74" s="1128">
        <v>13869528.617000001</v>
      </c>
      <c r="AK74" s="1128">
        <v>15131674.605</v>
      </c>
      <c r="AL74" s="1128">
        <v>16515485.128</v>
      </c>
      <c r="AM74" s="1128">
        <v>17449221.5</v>
      </c>
      <c r="AN74" s="1128">
        <v>18599502.701000001</v>
      </c>
      <c r="AO74" s="1128">
        <v>19953035.669</v>
      </c>
      <c r="AP74" s="1128">
        <v>20167012.055999998</v>
      </c>
      <c r="AQ74" s="1128">
        <v>19609059.443999998</v>
      </c>
      <c r="AR74" s="285"/>
    </row>
    <row r="75" spans="2:44" s="167" customFormat="1" ht="5.0999999999999996" customHeight="1" outlineLevel="1">
      <c r="B75" s="158"/>
      <c r="C75" s="158"/>
      <c r="D75" s="158"/>
      <c r="O75" s="197"/>
      <c r="P75" s="198"/>
      <c r="Q75" s="199"/>
      <c r="R75" s="198"/>
      <c r="S75" s="198"/>
      <c r="T75" s="198"/>
      <c r="U75" s="198"/>
      <c r="V75" s="198"/>
      <c r="W75" s="198"/>
      <c r="X75" s="285"/>
      <c r="Y75" s="276"/>
      <c r="Z75" s="1128"/>
      <c r="AA75" s="1128"/>
      <c r="AB75" s="1128"/>
      <c r="AC75" s="1128"/>
      <c r="AD75" s="1128"/>
      <c r="AE75" s="1128"/>
      <c r="AF75" s="1128"/>
      <c r="AG75" s="1128"/>
      <c r="AH75" s="1128"/>
      <c r="AI75" s="1128"/>
      <c r="AJ75" s="1128"/>
      <c r="AK75" s="1128"/>
      <c r="AL75" s="1128"/>
      <c r="AM75" s="1128"/>
      <c r="AN75" s="1128"/>
      <c r="AO75" s="1128"/>
      <c r="AP75" s="1128"/>
      <c r="AQ75" s="1128"/>
      <c r="AR75" s="285"/>
    </row>
    <row r="76" spans="2:44" s="167" customFormat="1" outlineLevel="1">
      <c r="B76" s="308" t="s">
        <v>38</v>
      </c>
      <c r="C76" s="158" t="s">
        <v>39</v>
      </c>
      <c r="D76" s="158"/>
      <c r="O76" s="197"/>
      <c r="P76" s="198"/>
      <c r="Q76" s="199"/>
      <c r="R76" s="198"/>
      <c r="S76" s="198"/>
      <c r="T76" s="198"/>
      <c r="U76" s="198"/>
      <c r="V76" s="198"/>
      <c r="W76" s="198"/>
      <c r="X76" s="285">
        <v>5331879.9000000004</v>
      </c>
      <c r="Y76" s="276"/>
      <c r="Z76" s="1128">
        <v>5965857.5</v>
      </c>
      <c r="AA76" s="1128">
        <v>6544483.2999999998</v>
      </c>
      <c r="AB76" s="1128">
        <v>7346434.1999999993</v>
      </c>
      <c r="AC76" s="1128">
        <v>7794610.5</v>
      </c>
      <c r="AD76" s="1128">
        <v>9023665.5999999996</v>
      </c>
      <c r="AE76" s="1128">
        <v>10149736.1</v>
      </c>
      <c r="AF76" s="1128">
        <v>9321798</v>
      </c>
      <c r="AG76" s="1128">
        <v>11185156</v>
      </c>
      <c r="AH76" s="1128">
        <v>12700180.425000001</v>
      </c>
      <c r="AI76" s="1128">
        <v>13873610.596000001</v>
      </c>
      <c r="AJ76" s="1128">
        <v>14779914.617000001</v>
      </c>
      <c r="AK76" s="1128">
        <v>16127854.605</v>
      </c>
      <c r="AL76" s="1128">
        <v>17597378.127999999</v>
      </c>
      <c r="AM76" s="1128">
        <v>18629616.5</v>
      </c>
      <c r="AN76" s="1128">
        <v>19863419.671</v>
      </c>
      <c r="AO76" s="1128">
        <v>21470497.794999998</v>
      </c>
      <c r="AP76" s="1128">
        <v>21755381.074000001</v>
      </c>
      <c r="AQ76" s="1128">
        <v>21265610.609000001</v>
      </c>
      <c r="AR76" s="285"/>
    </row>
    <row r="77" spans="2:44" s="167" customFormat="1" outlineLevel="1">
      <c r="B77" s="308"/>
      <c r="C77" s="158"/>
      <c r="D77" s="158"/>
      <c r="O77" s="197"/>
      <c r="P77" s="198"/>
      <c r="Q77" s="199"/>
      <c r="R77" s="198"/>
      <c r="S77" s="198"/>
      <c r="T77" s="198"/>
      <c r="U77" s="198"/>
      <c r="V77" s="198"/>
      <c r="W77" s="198"/>
      <c r="X77" s="285"/>
      <c r="Y77" s="276"/>
      <c r="Z77" s="1128"/>
      <c r="AA77" s="1128"/>
      <c r="AB77" s="1128"/>
      <c r="AC77" s="1128"/>
      <c r="AD77" s="1128"/>
      <c r="AE77" s="1128"/>
      <c r="AF77" s="1128"/>
      <c r="AG77" s="1128"/>
      <c r="AH77" s="1128"/>
      <c r="AI77" s="1128"/>
      <c r="AJ77" s="1128"/>
      <c r="AK77" s="1128"/>
      <c r="AL77" s="1128"/>
      <c r="AM77" s="1128"/>
      <c r="AN77" s="1128"/>
      <c r="AO77" s="1128"/>
      <c r="AP77" s="1128"/>
      <c r="AQ77" s="1128"/>
      <c r="AR77" s="285"/>
    </row>
    <row r="78" spans="2:44" s="167" customFormat="1" outlineLevel="1">
      <c r="B78" s="158" t="s">
        <v>40</v>
      </c>
      <c r="D78" s="158"/>
      <c r="O78" s="197"/>
      <c r="P78" s="198"/>
      <c r="Q78" s="199"/>
      <c r="R78" s="198"/>
      <c r="S78" s="198"/>
      <c r="T78" s="198"/>
      <c r="U78" s="198"/>
      <c r="V78" s="198"/>
      <c r="W78" s="198"/>
      <c r="X78" s="285"/>
      <c r="Y78" s="276"/>
      <c r="Z78" s="1128"/>
      <c r="AA78" s="1128"/>
      <c r="AB78" s="1128"/>
      <c r="AC78" s="1128"/>
      <c r="AD78" s="1128"/>
      <c r="AE78" s="1128"/>
      <c r="AF78" s="1128"/>
      <c r="AG78" s="1128"/>
      <c r="AH78" s="1128"/>
      <c r="AI78" s="1128"/>
      <c r="AJ78" s="1128"/>
      <c r="AK78" s="1128"/>
      <c r="AL78" s="1128"/>
      <c r="AM78" s="1128"/>
      <c r="AN78" s="1128"/>
      <c r="AO78" s="1128"/>
      <c r="AP78" s="1128"/>
      <c r="AQ78" s="1128"/>
      <c r="AR78" s="285"/>
    </row>
    <row r="79" spans="2:44" s="167" customFormat="1" ht="6" customHeight="1" outlineLevel="1">
      <c r="B79" s="158"/>
      <c r="C79" s="158"/>
      <c r="D79" s="158"/>
      <c r="O79" s="197"/>
      <c r="P79" s="198"/>
      <c r="Q79" s="199"/>
      <c r="R79" s="198"/>
      <c r="S79" s="198"/>
      <c r="T79" s="198"/>
      <c r="U79" s="198"/>
      <c r="V79" s="198"/>
      <c r="W79" s="198"/>
      <c r="X79" s="285"/>
      <c r="Y79" s="276"/>
      <c r="Z79" s="1128"/>
      <c r="AA79" s="1128"/>
      <c r="AB79" s="1128"/>
      <c r="AC79" s="1128"/>
      <c r="AD79" s="1128"/>
      <c r="AE79" s="1128"/>
      <c r="AF79" s="1128"/>
      <c r="AG79" s="1128"/>
      <c r="AH79" s="1128"/>
      <c r="AI79" s="1128"/>
      <c r="AJ79" s="1128"/>
      <c r="AK79" s="1128"/>
      <c r="AL79" s="1128"/>
      <c r="AM79" s="1128"/>
      <c r="AN79" s="1128"/>
      <c r="AO79" s="1128"/>
      <c r="AP79" s="1128"/>
      <c r="AQ79" s="1128"/>
      <c r="AR79" s="285"/>
    </row>
    <row r="80" spans="2:44" s="167" customFormat="1" outlineLevel="1">
      <c r="B80" s="310" t="s">
        <v>41</v>
      </c>
      <c r="C80" s="294" t="s">
        <v>42</v>
      </c>
      <c r="D80" s="294"/>
      <c r="O80" s="197"/>
      <c r="P80" s="198"/>
      <c r="Q80" s="199"/>
      <c r="R80" s="198"/>
      <c r="S80" s="198"/>
      <c r="T80" s="198"/>
      <c r="U80" s="198"/>
      <c r="V80" s="198"/>
      <c r="W80" s="198"/>
      <c r="X80" s="295" t="e">
        <v>#VALUE!</v>
      </c>
      <c r="Y80" s="287"/>
      <c r="Z80" s="1129">
        <f t="shared" ref="Z80:AQ80" si="10">Z69/Z67</f>
        <v>0.14956536514203173</v>
      </c>
      <c r="AA80" s="1129">
        <f t="shared" si="10"/>
        <v>0.15174822621184381</v>
      </c>
      <c r="AB80" s="1129">
        <f t="shared" si="10"/>
        <v>0.15079586744090021</v>
      </c>
      <c r="AC80" s="1129">
        <f t="shared" si="10"/>
        <v>0.14404796959017047</v>
      </c>
      <c r="AD80" s="1129">
        <f t="shared" si="10"/>
        <v>0.1510879078230738</v>
      </c>
      <c r="AE80" s="1129">
        <f t="shared" si="10"/>
        <v>0.15163679151867329</v>
      </c>
      <c r="AF80" s="1129">
        <f t="shared" si="10"/>
        <v>0.13633791903410905</v>
      </c>
      <c r="AG80" s="1129">
        <f t="shared" si="10"/>
        <v>0.14299345439672714</v>
      </c>
      <c r="AH80" s="1129">
        <f t="shared" si="10"/>
        <v>0.14380085524995007</v>
      </c>
      <c r="AI80" s="1129">
        <f t="shared" si="10"/>
        <v>0.14456461160612588</v>
      </c>
      <c r="AJ80" s="1129">
        <f t="shared" si="10"/>
        <v>0.14315877670111654</v>
      </c>
      <c r="AK80" s="1129">
        <f t="shared" si="10"/>
        <v>0.14339214548854892</v>
      </c>
      <c r="AL80" s="1129">
        <f t="shared" si="10"/>
        <v>0.14499419447160888</v>
      </c>
      <c r="AM80" s="1129">
        <f t="shared" si="10"/>
        <v>0.14412338449258696</v>
      </c>
      <c r="AN80" s="1129">
        <f t="shared" si="10"/>
        <v>0.14469099930720436</v>
      </c>
      <c r="AO80" s="1129">
        <f t="shared" si="10"/>
        <v>0.14498728996853502</v>
      </c>
      <c r="AP80" s="1129">
        <f t="shared" si="10"/>
        <v>0.14370548510295714</v>
      </c>
      <c r="AQ80" s="1129">
        <f t="shared" si="10"/>
        <v>0.12555301724965159</v>
      </c>
      <c r="AR80" s="295"/>
    </row>
    <row r="81" spans="2:44" s="167" customFormat="1" ht="5.0999999999999996" customHeight="1" outlineLevel="1">
      <c r="B81" s="158"/>
      <c r="C81" s="158"/>
      <c r="D81" s="158"/>
      <c r="O81" s="197"/>
      <c r="P81" s="198"/>
      <c r="Q81" s="199"/>
      <c r="R81" s="198"/>
      <c r="S81" s="198"/>
      <c r="T81" s="198"/>
      <c r="U81" s="198"/>
      <c r="V81" s="198"/>
      <c r="W81" s="198"/>
      <c r="X81" s="285"/>
      <c r="Y81" s="276"/>
      <c r="Z81" s="1128"/>
      <c r="AA81" s="1128"/>
      <c r="AB81" s="1128"/>
      <c r="AC81" s="1128"/>
      <c r="AD81" s="1128"/>
      <c r="AE81" s="1128"/>
      <c r="AF81" s="1128"/>
      <c r="AG81" s="1128"/>
      <c r="AH81" s="1128"/>
      <c r="AI81" s="1128"/>
      <c r="AJ81" s="1128"/>
      <c r="AK81" s="1128"/>
      <c r="AL81" s="1128"/>
      <c r="AM81" s="1128"/>
      <c r="AN81" s="1128"/>
      <c r="AO81" s="1128"/>
      <c r="AP81" s="1128"/>
      <c r="AQ81" s="1128"/>
      <c r="AR81" s="285"/>
    </row>
    <row r="82" spans="2:44" s="167" customFormat="1" outlineLevel="1">
      <c r="B82" s="308" t="s">
        <v>43</v>
      </c>
      <c r="C82" s="158" t="s">
        <v>44</v>
      </c>
      <c r="D82" s="158"/>
      <c r="O82" s="197"/>
      <c r="P82" s="198"/>
      <c r="Q82" s="199"/>
      <c r="R82" s="198"/>
      <c r="S82" s="198"/>
      <c r="T82" s="198"/>
      <c r="U82" s="198"/>
      <c r="V82" s="198"/>
      <c r="W82" s="198"/>
      <c r="X82" s="296" t="e">
        <v>#VALUE!</v>
      </c>
      <c r="Y82" s="276"/>
      <c r="Z82" s="1130">
        <f t="shared" ref="Z82:AQ82" si="11">Z76/Z67</f>
        <v>0.17200622011571901</v>
      </c>
      <c r="AA82" s="1130">
        <f t="shared" si="11"/>
        <v>0.17101932449420823</v>
      </c>
      <c r="AB82" s="1130">
        <f t="shared" si="11"/>
        <v>0.17045914453641245</v>
      </c>
      <c r="AC82" s="1130">
        <f t="shared" si="11"/>
        <v>0.1628841506814242</v>
      </c>
      <c r="AD82" s="1130">
        <f t="shared" si="11"/>
        <v>0.16870542877077824</v>
      </c>
      <c r="AE82" s="1130">
        <f t="shared" si="11"/>
        <v>0.16954126942340531</v>
      </c>
      <c r="AF82" s="1130">
        <f t="shared" si="11"/>
        <v>0.15313474293156956</v>
      </c>
      <c r="AG82" s="1130">
        <f t="shared" si="11"/>
        <v>0.16056450762531677</v>
      </c>
      <c r="AH82" s="1130">
        <f t="shared" si="11"/>
        <v>0.16179526547920758</v>
      </c>
      <c r="AI82" s="1130">
        <f t="shared" si="11"/>
        <v>0.16252990694046288</v>
      </c>
      <c r="AJ82" s="1130">
        <f t="shared" si="11"/>
        <v>0.16080189255165678</v>
      </c>
      <c r="AK82" s="1130">
        <f t="shared" si="11"/>
        <v>0.16106828952143371</v>
      </c>
      <c r="AL82" s="1130">
        <f t="shared" si="11"/>
        <v>0.16265452116868981</v>
      </c>
      <c r="AM82" s="1130">
        <f t="shared" si="11"/>
        <v>0.16133742932363948</v>
      </c>
      <c r="AN82" s="1130">
        <f t="shared" si="11"/>
        <v>0.16189870185717956</v>
      </c>
      <c r="AO82" s="1130">
        <f t="shared" si="11"/>
        <v>0.16377324626697246</v>
      </c>
      <c r="AP82" s="1130">
        <f t="shared" si="11"/>
        <v>0.16273611461215351</v>
      </c>
      <c r="AQ82" s="1130">
        <f t="shared" si="11"/>
        <v>0.14154282569684948</v>
      </c>
      <c r="AR82" s="296"/>
    </row>
    <row r="83" spans="2:44" s="167" customFormat="1" ht="5.0999999999999996" customHeight="1" outlineLevel="1">
      <c r="B83" s="158"/>
      <c r="C83" s="158"/>
      <c r="D83" s="158"/>
      <c r="O83" s="197"/>
      <c r="P83" s="198"/>
      <c r="Q83" s="199"/>
      <c r="R83" s="198"/>
      <c r="S83" s="198"/>
      <c r="T83" s="198"/>
      <c r="U83" s="198"/>
      <c r="V83" s="198"/>
      <c r="W83" s="198"/>
      <c r="X83" s="285"/>
      <c r="Y83" s="276"/>
      <c r="Z83" s="1128"/>
      <c r="AA83" s="1128"/>
      <c r="AB83" s="1128"/>
      <c r="AC83" s="1128"/>
      <c r="AD83" s="1128"/>
      <c r="AE83" s="1128"/>
      <c r="AF83" s="1128"/>
      <c r="AG83" s="1128"/>
      <c r="AH83" s="1128"/>
      <c r="AI83" s="1128"/>
      <c r="AJ83" s="1128"/>
      <c r="AK83" s="1128"/>
      <c r="AL83" s="1128"/>
      <c r="AM83" s="1128"/>
      <c r="AN83" s="1128"/>
      <c r="AO83" s="1128"/>
      <c r="AP83" s="1128"/>
      <c r="AQ83" s="1128"/>
      <c r="AR83" s="285"/>
    </row>
    <row r="84" spans="2:44" s="167" customFormat="1" outlineLevel="1">
      <c r="B84" s="308" t="s">
        <v>45</v>
      </c>
      <c r="C84" s="158" t="s">
        <v>46</v>
      </c>
      <c r="D84" s="158"/>
      <c r="O84" s="197"/>
      <c r="P84" s="198"/>
      <c r="Q84" s="199"/>
      <c r="R84" s="198"/>
      <c r="S84" s="198"/>
      <c r="T84" s="198"/>
      <c r="U84" s="198"/>
      <c r="V84" s="198"/>
      <c r="W84" s="198"/>
      <c r="X84" s="296">
        <v>0.18526785902665141</v>
      </c>
      <c r="Y84" s="276"/>
      <c r="Z84" s="1130">
        <f t="shared" ref="Z84:AQ84" si="12">Z76/Z65</f>
        <v>0.18328224010972699</v>
      </c>
      <c r="AA84" s="1130">
        <f t="shared" si="12"/>
        <v>0.18223110616237606</v>
      </c>
      <c r="AB84" s="1130">
        <f t="shared" si="12"/>
        <v>0.1812664677133812</v>
      </c>
      <c r="AC84" s="1130">
        <f t="shared" si="12"/>
        <v>0.17339417542308755</v>
      </c>
      <c r="AD84" s="1130">
        <f t="shared" si="12"/>
        <v>0.18032219760936105</v>
      </c>
      <c r="AE84" s="1130">
        <f t="shared" si="12"/>
        <v>0.18008227083990963</v>
      </c>
      <c r="AF84" s="1130">
        <f t="shared" si="12"/>
        <v>0.16402193765230705</v>
      </c>
      <c r="AG84" s="1130">
        <f t="shared" si="12"/>
        <v>0.17198107174321478</v>
      </c>
      <c r="AH84" s="1130">
        <f t="shared" si="12"/>
        <v>0.17312894939467166</v>
      </c>
      <c r="AI84" s="1130">
        <f t="shared" si="12"/>
        <v>0.17316576246259793</v>
      </c>
      <c r="AJ84" s="1130">
        <f t="shared" si="12"/>
        <v>0.17110960127760139</v>
      </c>
      <c r="AK84" s="1130">
        <f t="shared" si="12"/>
        <v>0.17197652536041624</v>
      </c>
      <c r="AL84" s="1130">
        <f t="shared" si="12"/>
        <v>0.17385179917796875</v>
      </c>
      <c r="AM84" s="1130">
        <f t="shared" si="12"/>
        <v>0.17332283217627259</v>
      </c>
      <c r="AN84" s="1130">
        <f t="shared" si="12"/>
        <v>0.17426537093239017</v>
      </c>
      <c r="AO84" s="1130">
        <f t="shared" si="12"/>
        <v>0.17654602512275755</v>
      </c>
      <c r="AP84" s="1130">
        <f t="shared" si="12"/>
        <v>0.17526628590200258</v>
      </c>
      <c r="AQ84" s="1130">
        <f t="shared" si="12"/>
        <v>0.17956573763625885</v>
      </c>
      <c r="AR84" s="1131"/>
    </row>
    <row r="85" spans="2:44" s="167" customFormat="1" ht="5.0999999999999996" customHeight="1" outlineLevel="1">
      <c r="B85" s="226"/>
      <c r="C85" s="226"/>
      <c r="D85" s="226"/>
      <c r="O85" s="197"/>
      <c r="P85" s="198"/>
      <c r="Q85" s="199"/>
      <c r="R85" s="198"/>
      <c r="S85" s="198"/>
      <c r="T85" s="198"/>
      <c r="U85" s="198"/>
      <c r="V85" s="198"/>
      <c r="W85" s="198"/>
      <c r="X85" s="563"/>
      <c r="Y85" s="563"/>
      <c r="Z85" s="563"/>
      <c r="AA85" s="563"/>
      <c r="AB85" s="563"/>
      <c r="AC85" s="563"/>
      <c r="AD85" s="563"/>
      <c r="AE85" s="563"/>
      <c r="AF85" s="563"/>
      <c r="AG85" s="563"/>
      <c r="AH85" s="563"/>
      <c r="AI85" s="563"/>
      <c r="AJ85" s="563"/>
      <c r="AK85" s="563"/>
      <c r="AL85" s="563"/>
      <c r="AM85" s="563"/>
      <c r="AN85" s="563"/>
      <c r="AO85" s="563"/>
      <c r="AP85" s="563"/>
      <c r="AQ85" s="563"/>
      <c r="AR85" s="563"/>
    </row>
    <row r="86" spans="2:44" s="167" customFormat="1" ht="6" customHeight="1" outlineLevel="1">
      <c r="B86" s="158"/>
      <c r="C86" s="158"/>
      <c r="D86" s="158"/>
      <c r="O86" s="197"/>
      <c r="P86" s="198"/>
      <c r="Q86" s="199"/>
      <c r="R86" s="198"/>
      <c r="S86" s="198"/>
      <c r="T86" s="198"/>
      <c r="U86" s="198"/>
      <c r="V86" s="198"/>
      <c r="W86" s="198"/>
      <c r="X86" s="276"/>
      <c r="Y86" s="276"/>
      <c r="Z86" s="276"/>
      <c r="AA86" s="276"/>
      <c r="AB86" s="276"/>
      <c r="AC86" s="276"/>
      <c r="AD86" s="276"/>
      <c r="AE86" s="276"/>
      <c r="AF86" s="276"/>
      <c r="AG86" s="564"/>
      <c r="AH86" s="191"/>
      <c r="AI86" s="191"/>
      <c r="AJ86" s="191"/>
      <c r="AK86" s="191"/>
      <c r="AL86" s="191"/>
      <c r="AM86" s="191"/>
      <c r="AN86" s="191"/>
      <c r="AO86" s="245"/>
      <c r="AP86" s="545"/>
      <c r="AQ86" s="245"/>
    </row>
    <row r="87" spans="2:44" s="167" customFormat="1" ht="30" customHeight="1" outlineLevel="1">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G87" s="564"/>
      <c r="AH87" s="191"/>
      <c r="AI87" s="191"/>
      <c r="AJ87" s="191"/>
      <c r="AK87" s="191"/>
      <c r="AL87" s="191"/>
      <c r="AM87" s="191"/>
      <c r="AN87" s="191"/>
      <c r="AO87" s="245"/>
    </row>
    <row r="88" spans="2:44" s="167" customFormat="1">
      <c r="B88" s="1132"/>
      <c r="O88" s="197"/>
      <c r="P88" s="198"/>
      <c r="Q88" s="199"/>
      <c r="R88" s="198"/>
      <c r="S88" s="198"/>
      <c r="T88" s="198"/>
      <c r="U88" s="198"/>
      <c r="V88" s="198"/>
      <c r="W88" s="198"/>
      <c r="X88" s="196"/>
      <c r="Y88" s="196"/>
      <c r="Z88" s="196"/>
      <c r="AA88" s="196"/>
      <c r="AB88" s="196"/>
      <c r="AC88" s="196"/>
      <c r="AD88" s="196"/>
      <c r="AE88" s="196"/>
      <c r="AF88" s="196"/>
      <c r="AG88" s="564"/>
      <c r="AH88" s="191"/>
      <c r="AI88" s="191"/>
      <c r="AJ88" s="191"/>
      <c r="AK88" s="191"/>
      <c r="AL88" s="191"/>
      <c r="AM88" s="191"/>
      <c r="AN88" s="191"/>
      <c r="AO88" s="245"/>
    </row>
    <row r="89" spans="2:44">
      <c r="R89" s="282"/>
      <c r="S89" s="282"/>
      <c r="T89" s="282"/>
      <c r="U89" s="282"/>
      <c r="V89" s="282"/>
      <c r="W89" s="282"/>
      <c r="X89" s="278"/>
      <c r="Y89" s="278"/>
      <c r="Z89" s="278"/>
      <c r="AA89" s="278"/>
      <c r="AB89" s="278"/>
      <c r="AC89" s="278"/>
      <c r="AD89" s="278"/>
      <c r="AE89" s="278"/>
      <c r="AF89" s="278"/>
      <c r="AG89" s="278"/>
    </row>
    <row r="90" spans="2:44">
      <c r="B90" s="286" t="s">
        <v>392</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78"/>
      <c r="AO90" s="276"/>
      <c r="AP90" s="276"/>
      <c r="AQ90" s="743"/>
    </row>
    <row r="91" spans="2:44">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278"/>
      <c r="AO91" s="276"/>
      <c r="AP91" s="276"/>
      <c r="AQ91" s="743"/>
    </row>
    <row r="92" spans="2:44">
      <c r="B92" s="209"/>
      <c r="C92" s="209"/>
      <c r="D92" s="209"/>
      <c r="E92" s="209"/>
      <c r="F92" s="209"/>
      <c r="G92" s="209"/>
      <c r="H92" s="209"/>
      <c r="I92" s="209"/>
      <c r="J92" s="209"/>
      <c r="K92" s="209"/>
      <c r="L92" s="209"/>
      <c r="M92" s="209"/>
      <c r="N92" s="209"/>
      <c r="O92" s="210"/>
      <c r="P92" s="198"/>
      <c r="Q92" s="198"/>
      <c r="R92" s="198"/>
      <c r="S92" s="198"/>
      <c r="T92" s="198"/>
      <c r="U92" s="198"/>
      <c r="V92" s="198"/>
      <c r="W92" s="198"/>
      <c r="X92" s="211">
        <v>2001</v>
      </c>
      <c r="Y92" s="196"/>
      <c r="Z92" s="211">
        <v>2003</v>
      </c>
      <c r="AA92" s="196"/>
      <c r="AB92" s="211">
        <v>2005</v>
      </c>
      <c r="AC92" s="944"/>
      <c r="AD92" s="211">
        <v>2007</v>
      </c>
      <c r="AE92" s="196"/>
      <c r="AF92" s="1027">
        <v>2009</v>
      </c>
      <c r="AG92" s="1121">
        <v>2010</v>
      </c>
      <c r="AH92" s="1121">
        <v>2011</v>
      </c>
      <c r="AI92" s="1121">
        <v>2012</v>
      </c>
      <c r="AJ92" s="1121">
        <v>2013</v>
      </c>
      <c r="AK92" s="1121">
        <v>2014</v>
      </c>
      <c r="AL92" s="1121">
        <v>2015</v>
      </c>
      <c r="AM92" s="1121">
        <v>2016</v>
      </c>
      <c r="AN92" s="1121">
        <v>2017</v>
      </c>
      <c r="AO92" s="1121">
        <v>2018</v>
      </c>
      <c r="AP92" s="1121">
        <v>2019</v>
      </c>
      <c r="AQ92" s="1121">
        <v>2020</v>
      </c>
      <c r="AR92" s="1121">
        <v>2021</v>
      </c>
    </row>
    <row r="93" spans="2:44">
      <c r="R93" s="282"/>
      <c r="S93" s="282"/>
      <c r="T93" s="282"/>
      <c r="U93" s="282"/>
      <c r="V93" s="282"/>
      <c r="W93" s="282"/>
      <c r="X93" s="278"/>
      <c r="Y93" s="278"/>
      <c r="Z93" s="278"/>
      <c r="AA93" s="278"/>
      <c r="AB93" s="278"/>
      <c r="AC93" s="278"/>
      <c r="AD93" s="278"/>
      <c r="AE93" s="278"/>
      <c r="AF93" s="278"/>
      <c r="AG93" s="278"/>
      <c r="AO93" s="276"/>
      <c r="AP93" s="276"/>
      <c r="AQ93" s="276"/>
      <c r="AR93" s="276"/>
    </row>
    <row r="94" spans="2:44">
      <c r="B94" s="217" t="s">
        <v>49</v>
      </c>
      <c r="R94" s="1133">
        <v>0</v>
      </c>
      <c r="S94" s="1133">
        <v>0</v>
      </c>
      <c r="T94" s="1133">
        <v>0</v>
      </c>
      <c r="U94" s="1133">
        <v>0</v>
      </c>
      <c r="V94" s="1133">
        <v>0</v>
      </c>
      <c r="W94" s="1133">
        <v>0</v>
      </c>
      <c r="X94" s="641">
        <v>0</v>
      </c>
      <c r="Y94" s="641"/>
      <c r="Z94" s="641">
        <f t="shared" ref="Z94:AQ94" si="13">SUM(Z96)</f>
        <v>0</v>
      </c>
      <c r="AA94" s="641">
        <f t="shared" si="13"/>
        <v>0</v>
      </c>
      <c r="AB94" s="641">
        <f t="shared" si="13"/>
        <v>0</v>
      </c>
      <c r="AC94" s="641">
        <f t="shared" si="13"/>
        <v>0</v>
      </c>
      <c r="AD94" s="641">
        <f t="shared" si="13"/>
        <v>0</v>
      </c>
      <c r="AE94" s="641">
        <f t="shared" si="13"/>
        <v>0</v>
      </c>
      <c r="AF94" s="641">
        <f t="shared" si="13"/>
        <v>0</v>
      </c>
      <c r="AG94" s="641">
        <f t="shared" si="13"/>
        <v>0</v>
      </c>
      <c r="AH94" s="641">
        <f t="shared" si="13"/>
        <v>0</v>
      </c>
      <c r="AI94" s="641">
        <f t="shared" si="13"/>
        <v>0</v>
      </c>
      <c r="AJ94" s="641">
        <f t="shared" si="13"/>
        <v>6137</v>
      </c>
      <c r="AK94" s="641">
        <f t="shared" si="13"/>
        <v>14700</v>
      </c>
      <c r="AL94" s="641">
        <f t="shared" si="13"/>
        <v>17570</v>
      </c>
      <c r="AM94" s="641">
        <f t="shared" si="13"/>
        <v>20735</v>
      </c>
      <c r="AN94" s="641">
        <f t="shared" si="13"/>
        <v>19411</v>
      </c>
      <c r="AO94" s="641">
        <f t="shared" si="13"/>
        <v>21905</v>
      </c>
      <c r="AP94" s="641">
        <f t="shared" si="13"/>
        <v>25421</v>
      </c>
      <c r="AQ94" s="641">
        <f t="shared" si="13"/>
        <v>26220</v>
      </c>
      <c r="AR94" s="641">
        <f>SUM(AR96)</f>
        <v>25821</v>
      </c>
    </row>
    <row r="95" spans="2:44">
      <c r="B95" s="217"/>
      <c r="C95" s="294" t="s">
        <v>375</v>
      </c>
      <c r="R95" s="1133"/>
      <c r="S95" s="1133"/>
      <c r="T95" s="1133"/>
      <c r="U95" s="1133"/>
      <c r="V95" s="1133"/>
      <c r="W95" s="1133"/>
      <c r="X95" s="302"/>
      <c r="Y95" s="302"/>
      <c r="Z95" s="302"/>
      <c r="AA95" s="302"/>
      <c r="AB95" s="302"/>
      <c r="AC95" s="302"/>
      <c r="AD95" s="302"/>
      <c r="AE95" s="302"/>
      <c r="AF95" s="302"/>
      <c r="AG95" s="302"/>
      <c r="AJ95" s="641">
        <f>AJ96</f>
        <v>6137</v>
      </c>
      <c r="AK95" s="641">
        <f t="shared" ref="AK95:AR95" si="14">AK96</f>
        <v>14700</v>
      </c>
      <c r="AL95" s="641">
        <f t="shared" si="14"/>
        <v>17570</v>
      </c>
      <c r="AM95" s="641">
        <f t="shared" si="14"/>
        <v>20735</v>
      </c>
      <c r="AN95" s="641">
        <f t="shared" si="14"/>
        <v>19411</v>
      </c>
      <c r="AO95" s="641">
        <f t="shared" si="14"/>
        <v>21905</v>
      </c>
      <c r="AP95" s="641">
        <f t="shared" si="14"/>
        <v>25421</v>
      </c>
      <c r="AQ95" s="641">
        <f t="shared" si="14"/>
        <v>26220</v>
      </c>
      <c r="AR95" s="641">
        <f t="shared" si="14"/>
        <v>25821</v>
      </c>
    </row>
    <row r="96" spans="2:44">
      <c r="B96" s="1134" t="s">
        <v>394</v>
      </c>
      <c r="C96" s="1135" t="s">
        <v>1771</v>
      </c>
      <c r="R96" s="1133"/>
      <c r="S96" s="1133"/>
      <c r="T96" s="1133"/>
      <c r="U96" s="1133"/>
      <c r="V96" s="1133"/>
      <c r="W96" s="1133"/>
      <c r="X96" s="302"/>
      <c r="Y96" s="302"/>
      <c r="Z96" s="302"/>
      <c r="AA96" s="302"/>
      <c r="AB96" s="302"/>
      <c r="AC96" s="302"/>
      <c r="AD96" s="302"/>
      <c r="AE96" s="302"/>
      <c r="AF96" s="302"/>
      <c r="AG96" s="302"/>
      <c r="AJ96" s="285">
        <v>6137</v>
      </c>
      <c r="AK96" s="285">
        <v>14700</v>
      </c>
      <c r="AL96" s="285">
        <v>17570</v>
      </c>
      <c r="AM96" s="285">
        <v>20735</v>
      </c>
      <c r="AN96" s="285">
        <v>19411</v>
      </c>
      <c r="AO96" s="285">
        <v>21905</v>
      </c>
      <c r="AP96" s="285">
        <v>25421</v>
      </c>
      <c r="AQ96" s="285">
        <v>26220</v>
      </c>
      <c r="AR96" s="285">
        <v>25821</v>
      </c>
    </row>
    <row r="97" spans="2:44">
      <c r="B97" s="217"/>
      <c r="R97" s="1133"/>
      <c r="S97" s="1133"/>
      <c r="T97" s="1133"/>
      <c r="U97" s="1133"/>
      <c r="V97" s="1133"/>
      <c r="W97" s="1133"/>
      <c r="X97" s="302"/>
      <c r="Y97" s="302"/>
      <c r="Z97" s="302"/>
      <c r="AA97" s="302"/>
      <c r="AB97" s="302"/>
      <c r="AC97" s="302"/>
      <c r="AD97" s="302"/>
      <c r="AE97" s="302"/>
      <c r="AF97" s="302"/>
      <c r="AG97" s="302"/>
      <c r="AO97" s="276"/>
      <c r="AP97" s="276"/>
      <c r="AQ97" s="276"/>
      <c r="AR97" s="276"/>
    </row>
    <row r="98" spans="2:44">
      <c r="B98" s="217"/>
      <c r="R98" s="1133"/>
      <c r="S98" s="1133"/>
      <c r="T98" s="1133"/>
      <c r="U98" s="1133"/>
      <c r="V98" s="1133"/>
      <c r="W98" s="1133"/>
      <c r="X98" s="302"/>
      <c r="Y98" s="302"/>
      <c r="Z98" s="302"/>
      <c r="AA98" s="302"/>
      <c r="AB98" s="302"/>
      <c r="AC98" s="302"/>
      <c r="AD98" s="302"/>
      <c r="AE98" s="302"/>
      <c r="AF98" s="302"/>
      <c r="AG98" s="302"/>
      <c r="AO98" s="276"/>
      <c r="AP98" s="276"/>
      <c r="AQ98" s="276"/>
      <c r="AR98" s="276"/>
    </row>
    <row r="99" spans="2:44">
      <c r="B99" s="217"/>
      <c r="C99" s="294" t="s">
        <v>393</v>
      </c>
      <c r="R99" s="1133"/>
      <c r="S99" s="1133"/>
      <c r="T99" s="1133"/>
      <c r="U99" s="1133"/>
      <c r="V99" s="1133"/>
      <c r="W99" s="1133"/>
      <c r="X99" s="302"/>
      <c r="Y99" s="302"/>
      <c r="Z99" s="302"/>
      <c r="AA99" s="302"/>
      <c r="AB99" s="302"/>
      <c r="AC99" s="302"/>
      <c r="AD99" s="302"/>
      <c r="AE99" s="302"/>
      <c r="AF99" s="302"/>
      <c r="AG99" s="302"/>
      <c r="AO99" s="276"/>
      <c r="AP99" s="276"/>
      <c r="AQ99" s="276"/>
      <c r="AR99" s="276"/>
    </row>
    <row r="100" spans="2:44">
      <c r="C100" s="283"/>
      <c r="R100" s="282"/>
      <c r="S100" s="282"/>
      <c r="T100" s="282"/>
      <c r="U100" s="282"/>
      <c r="V100" s="282"/>
      <c r="W100" s="282"/>
      <c r="X100" s="278"/>
      <c r="Y100" s="278"/>
      <c r="Z100" s="278"/>
      <c r="AA100" s="278"/>
      <c r="AB100" s="278"/>
      <c r="AC100" s="278"/>
      <c r="AD100" s="278"/>
      <c r="AE100" s="278"/>
      <c r="AF100" s="278"/>
      <c r="AG100" s="278"/>
      <c r="AO100" s="276"/>
      <c r="AP100" s="276"/>
      <c r="AQ100" s="276"/>
      <c r="AR100" s="276"/>
    </row>
    <row r="101" spans="2:44">
      <c r="AO101" s="276"/>
      <c r="AP101" s="276"/>
      <c r="AQ101" s="276"/>
      <c r="AR101" s="276"/>
    </row>
    <row r="102" spans="2:44">
      <c r="B102" s="217" t="s">
        <v>78</v>
      </c>
      <c r="C102" s="283"/>
      <c r="R102" s="1133">
        <v>0</v>
      </c>
      <c r="S102" s="1133">
        <v>0</v>
      </c>
      <c r="T102" s="1133">
        <v>0</v>
      </c>
      <c r="U102" s="1133">
        <v>0</v>
      </c>
      <c r="V102" s="1133">
        <v>0</v>
      </c>
      <c r="W102" s="1133">
        <v>0</v>
      </c>
      <c r="X102" s="302">
        <v>0</v>
      </c>
      <c r="Y102" s="302"/>
      <c r="Z102" s="641">
        <f>SUM(Z104:Z114)</f>
        <v>236640</v>
      </c>
      <c r="AA102" s="641">
        <f t="shared" ref="AA102:AR102" si="15">SUM(AA104:AA114)</f>
        <v>0</v>
      </c>
      <c r="AB102" s="641">
        <f t="shared" si="15"/>
        <v>296973.23588384461</v>
      </c>
      <c r="AC102" s="641">
        <f t="shared" si="15"/>
        <v>0</v>
      </c>
      <c r="AD102" s="641">
        <f t="shared" si="15"/>
        <v>373905</v>
      </c>
      <c r="AE102" s="641">
        <f t="shared" si="15"/>
        <v>0</v>
      </c>
      <c r="AF102" s="641">
        <f t="shared" si="15"/>
        <v>426813.82623647281</v>
      </c>
      <c r="AG102" s="641">
        <f t="shared" si="15"/>
        <v>476354.7120931641</v>
      </c>
      <c r="AH102" s="641">
        <f t="shared" si="15"/>
        <v>419141.61415537453</v>
      </c>
      <c r="AI102" s="641">
        <f t="shared" si="15"/>
        <v>463528.39817503665</v>
      </c>
      <c r="AJ102" s="641">
        <f t="shared" si="15"/>
        <v>535813.77272226638</v>
      </c>
      <c r="AK102" s="641">
        <f t="shared" si="15"/>
        <v>508011.78689075855</v>
      </c>
      <c r="AL102" s="641">
        <f t="shared" si="15"/>
        <v>567828.21580319165</v>
      </c>
      <c r="AM102" s="641">
        <f t="shared" si="15"/>
        <v>634800.74708571308</v>
      </c>
      <c r="AN102" s="641">
        <f t="shared" si="15"/>
        <v>640644.65669751714</v>
      </c>
      <c r="AO102" s="641">
        <f t="shared" si="15"/>
        <v>691050</v>
      </c>
      <c r="AP102" s="641">
        <f t="shared" si="15"/>
        <v>486122</v>
      </c>
      <c r="AQ102" s="641">
        <f t="shared" si="15"/>
        <v>492666</v>
      </c>
      <c r="AR102" s="641">
        <f t="shared" si="15"/>
        <v>539993</v>
      </c>
    </row>
    <row r="103" spans="2:44">
      <c r="B103" s="217"/>
      <c r="C103" s="283"/>
      <c r="R103" s="1133"/>
      <c r="S103" s="1133"/>
      <c r="T103" s="1133"/>
      <c r="U103" s="1133"/>
      <c r="V103" s="1133"/>
      <c r="W103" s="1133"/>
      <c r="X103" s="302"/>
      <c r="Y103" s="302"/>
      <c r="Z103" s="302"/>
      <c r="AA103" s="302"/>
      <c r="AB103" s="302"/>
      <c r="AC103" s="302"/>
      <c r="AD103" s="302"/>
      <c r="AE103" s="302"/>
      <c r="AF103" s="302"/>
      <c r="AG103" s="302"/>
      <c r="AO103" s="276"/>
      <c r="AP103" s="276"/>
      <c r="AQ103" s="276"/>
      <c r="AR103" s="276"/>
    </row>
    <row r="104" spans="2:44" ht="15.75">
      <c r="B104" s="1136" t="s">
        <v>394</v>
      </c>
      <c r="C104" s="1127" t="s">
        <v>1772</v>
      </c>
      <c r="R104" s="1133"/>
      <c r="S104" s="1133"/>
      <c r="T104" s="1133"/>
      <c r="U104" s="1133"/>
      <c r="V104" s="1133"/>
      <c r="W104" s="1133"/>
      <c r="X104" s="278" t="s">
        <v>279</v>
      </c>
      <c r="Y104" s="302"/>
      <c r="Z104" s="285">
        <v>37418</v>
      </c>
      <c r="AA104" s="302"/>
      <c r="AB104" s="285">
        <v>53507</v>
      </c>
      <c r="AC104" s="302"/>
      <c r="AD104" s="285">
        <v>74970</v>
      </c>
      <c r="AE104" s="302"/>
      <c r="AF104" s="285">
        <v>95839.689983759279</v>
      </c>
      <c r="AG104" s="285">
        <v>112198.84857159192</v>
      </c>
      <c r="AH104" s="285">
        <v>104851.09816000001</v>
      </c>
      <c r="AI104" s="285">
        <v>122974.50088000001</v>
      </c>
      <c r="AJ104" s="285">
        <v>147518.48387639999</v>
      </c>
      <c r="AK104" s="285">
        <v>146339.2688934</v>
      </c>
      <c r="AL104" s="285">
        <v>162135.4998362</v>
      </c>
      <c r="AM104" s="285">
        <v>178863.2108112</v>
      </c>
      <c r="AN104" s="285">
        <v>190589.66893889999</v>
      </c>
      <c r="AO104" s="285">
        <v>203747</v>
      </c>
      <c r="AP104" s="284" t="s">
        <v>300</v>
      </c>
      <c r="AQ104" s="284" t="s">
        <v>300</v>
      </c>
      <c r="AR104" s="284" t="s">
        <v>300</v>
      </c>
    </row>
    <row r="105" spans="2:44" ht="15.75">
      <c r="B105" s="1136" t="s">
        <v>395</v>
      </c>
      <c r="C105" s="1127" t="s">
        <v>1773</v>
      </c>
      <c r="R105" s="1133"/>
      <c r="S105" s="1133"/>
      <c r="T105" s="1133"/>
      <c r="U105" s="1133"/>
      <c r="V105" s="1133"/>
      <c r="W105" s="1133"/>
      <c r="X105" s="278"/>
      <c r="Y105" s="302"/>
      <c r="Z105" s="278" t="s">
        <v>300</v>
      </c>
      <c r="AA105" s="302"/>
      <c r="AB105" s="285">
        <v>14593</v>
      </c>
      <c r="AC105" s="302"/>
      <c r="AD105" s="285">
        <v>27750</v>
      </c>
      <c r="AE105" s="302"/>
      <c r="AF105" s="285">
        <v>39376.136252713513</v>
      </c>
      <c r="AG105" s="285">
        <v>47007.328587328237</v>
      </c>
      <c r="AH105" s="285">
        <v>59050.63780804917</v>
      </c>
      <c r="AI105" s="285">
        <v>65737.880084942866</v>
      </c>
      <c r="AJ105" s="285">
        <v>81074.762972459037</v>
      </c>
      <c r="AK105" s="285">
        <v>103059.29966844989</v>
      </c>
      <c r="AL105" s="285">
        <v>93531.44801728685</v>
      </c>
      <c r="AM105" s="285">
        <v>118977.33488465693</v>
      </c>
      <c r="AN105" s="285">
        <v>95847.655648998872</v>
      </c>
      <c r="AO105" s="285">
        <v>134565</v>
      </c>
      <c r="AP105" s="284" t="s">
        <v>300</v>
      </c>
      <c r="AQ105" s="284" t="s">
        <v>300</v>
      </c>
      <c r="AR105" s="284" t="s">
        <v>300</v>
      </c>
    </row>
    <row r="106" spans="2:44" s="1055" customFormat="1">
      <c r="B106" s="1136" t="s">
        <v>396</v>
      </c>
      <c r="C106" s="1127" t="s">
        <v>397</v>
      </c>
      <c r="D106" s="158"/>
      <c r="E106" s="158"/>
      <c r="F106" s="158"/>
      <c r="G106" s="158"/>
      <c r="H106" s="158"/>
      <c r="I106" s="158"/>
      <c r="J106" s="158"/>
      <c r="K106" s="158"/>
      <c r="L106" s="158"/>
      <c r="M106" s="158"/>
      <c r="N106" s="158"/>
      <c r="O106" s="158"/>
      <c r="P106" s="158"/>
      <c r="Q106" s="158"/>
      <c r="R106" s="1133"/>
      <c r="S106" s="1133"/>
      <c r="T106" s="1133"/>
      <c r="U106" s="1133"/>
      <c r="V106" s="1133"/>
      <c r="W106" s="1133"/>
      <c r="X106" s="278"/>
      <c r="Y106" s="302"/>
      <c r="Z106" s="278"/>
      <c r="AA106" s="302"/>
      <c r="AB106" s="285">
        <f>178+578</f>
        <v>756</v>
      </c>
      <c r="AC106" s="302"/>
      <c r="AD106" s="285">
        <f>42+132</f>
        <v>174</v>
      </c>
      <c r="AE106" s="302"/>
      <c r="AF106" s="1137">
        <f>150+466</f>
        <v>616</v>
      </c>
      <c r="AG106" s="285">
        <f>278+949</f>
        <v>1227</v>
      </c>
      <c r="AH106" s="285">
        <f>864+1365+5+12</f>
        <v>2246</v>
      </c>
      <c r="AI106" s="285">
        <f>1317+2438+49+56</f>
        <v>3860</v>
      </c>
      <c r="AJ106" s="285">
        <f>2006+3704+21+180</f>
        <v>5911</v>
      </c>
      <c r="AK106" s="285">
        <f>2077+3836+4+773</f>
        <v>6690</v>
      </c>
      <c r="AL106" s="285">
        <f>2582+4937+24+3691</f>
        <v>11234</v>
      </c>
      <c r="AM106" s="285">
        <f>7042+5045+36+3138</f>
        <v>15261</v>
      </c>
      <c r="AN106" s="285">
        <f>6051+4547+7+3179</f>
        <v>13784</v>
      </c>
      <c r="AO106" s="285">
        <f>9358+7340+65+3386</f>
        <v>20149</v>
      </c>
      <c r="AP106" s="285">
        <f>2120+7773+49+4079</f>
        <v>14021</v>
      </c>
      <c r="AQ106" s="285">
        <f>2423+8865+51+3821</f>
        <v>15160</v>
      </c>
      <c r="AR106" s="285">
        <f>2857+10481+332+3901</f>
        <v>17571</v>
      </c>
    </row>
    <row r="107" spans="2:44" s="1138" customFormat="1">
      <c r="B107" s="1136" t="s">
        <v>398</v>
      </c>
      <c r="C107" s="1127" t="s">
        <v>399</v>
      </c>
      <c r="D107" s="158"/>
      <c r="E107" s="158"/>
      <c r="F107" s="158"/>
      <c r="G107" s="158"/>
      <c r="H107" s="158"/>
      <c r="I107" s="158"/>
      <c r="J107" s="158"/>
      <c r="K107" s="158"/>
      <c r="L107" s="158"/>
      <c r="M107" s="158"/>
      <c r="N107" s="158"/>
      <c r="O107" s="158"/>
      <c r="P107" s="158"/>
      <c r="Q107" s="158"/>
      <c r="R107" s="1133"/>
      <c r="S107" s="1133"/>
      <c r="T107" s="1133"/>
      <c r="U107" s="1133"/>
      <c r="V107" s="1133"/>
      <c r="W107" s="1133"/>
      <c r="X107" s="278" t="s">
        <v>300</v>
      </c>
      <c r="Y107" s="302"/>
      <c r="Z107" s="285">
        <v>108141</v>
      </c>
      <c r="AA107" s="302"/>
      <c r="AB107" s="285">
        <v>108206.90429268136</v>
      </c>
      <c r="AC107" s="302"/>
      <c r="AD107" s="285">
        <v>116643</v>
      </c>
      <c r="AE107" s="302"/>
      <c r="AF107" s="285">
        <v>134815</v>
      </c>
      <c r="AG107" s="285">
        <v>136579.53493424397</v>
      </c>
      <c r="AH107" s="285">
        <v>142695.87818732535</v>
      </c>
      <c r="AI107" s="285">
        <v>148003.01721009379</v>
      </c>
      <c r="AJ107" s="285">
        <v>152818.52587340743</v>
      </c>
      <c r="AK107" s="285">
        <v>83389.218328908697</v>
      </c>
      <c r="AL107" s="285">
        <v>88911.267949704808</v>
      </c>
      <c r="AM107" s="285">
        <v>95043.201389856229</v>
      </c>
      <c r="AN107" s="285">
        <v>105845.33210961832</v>
      </c>
      <c r="AO107" s="285">
        <v>107646</v>
      </c>
      <c r="AP107" s="285">
        <v>226493</v>
      </c>
      <c r="AQ107" s="285">
        <v>236766</v>
      </c>
      <c r="AR107" s="285">
        <v>231219</v>
      </c>
    </row>
    <row r="108" spans="2:44" s="1138" customFormat="1">
      <c r="B108" s="1136" t="s">
        <v>400</v>
      </c>
      <c r="C108" s="1127" t="s">
        <v>401</v>
      </c>
      <c r="D108" s="158"/>
      <c r="E108" s="158"/>
      <c r="F108" s="158"/>
      <c r="G108" s="158"/>
      <c r="H108" s="158"/>
      <c r="I108" s="158"/>
      <c r="J108" s="158"/>
      <c r="K108" s="158"/>
      <c r="L108" s="158"/>
      <c r="M108" s="158"/>
      <c r="N108" s="158"/>
      <c r="O108" s="158"/>
      <c r="P108" s="158"/>
      <c r="Q108" s="158"/>
      <c r="R108" s="1133"/>
      <c r="S108" s="1133"/>
      <c r="T108" s="1133"/>
      <c r="U108" s="1133"/>
      <c r="V108" s="1133"/>
      <c r="W108" s="1133"/>
      <c r="X108" s="278" t="s">
        <v>300</v>
      </c>
      <c r="Y108" s="302"/>
      <c r="Z108" s="285">
        <v>81016</v>
      </c>
      <c r="AA108" s="302"/>
      <c r="AB108" s="285">
        <v>106659</v>
      </c>
      <c r="AC108" s="302"/>
      <c r="AD108" s="285">
        <v>137309</v>
      </c>
      <c r="AE108" s="302"/>
      <c r="AF108" s="285">
        <v>138909</v>
      </c>
      <c r="AG108" s="285">
        <v>159523</v>
      </c>
      <c r="AH108" s="285">
        <v>94408</v>
      </c>
      <c r="AI108" s="285">
        <v>103960</v>
      </c>
      <c r="AJ108" s="285">
        <v>120993</v>
      </c>
      <c r="AK108" s="285">
        <v>144797</v>
      </c>
      <c r="AL108" s="285">
        <v>186160</v>
      </c>
      <c r="AM108" s="285">
        <v>199015</v>
      </c>
      <c r="AN108" s="285">
        <v>205971</v>
      </c>
      <c r="AO108" s="285">
        <v>220352</v>
      </c>
      <c r="AP108" s="285">
        <v>226715</v>
      </c>
      <c r="AQ108" s="285">
        <v>218029</v>
      </c>
      <c r="AR108" s="285">
        <v>263730</v>
      </c>
    </row>
    <row r="109" spans="2:44" s="1138" customFormat="1">
      <c r="B109" s="1136" t="s">
        <v>402</v>
      </c>
      <c r="C109" s="1127" t="s">
        <v>403</v>
      </c>
      <c r="D109" s="158"/>
      <c r="E109" s="158"/>
      <c r="F109" s="158"/>
      <c r="G109" s="158"/>
      <c r="H109" s="158"/>
      <c r="I109" s="158"/>
      <c r="J109" s="158"/>
      <c r="K109" s="158"/>
      <c r="L109" s="158"/>
      <c r="M109" s="158"/>
      <c r="N109" s="158"/>
      <c r="O109" s="158"/>
      <c r="P109" s="158"/>
      <c r="Q109" s="158"/>
      <c r="R109" s="1133"/>
      <c r="S109" s="1133"/>
      <c r="T109" s="1133"/>
      <c r="U109" s="1133"/>
      <c r="V109" s="1133"/>
      <c r="W109" s="1133"/>
      <c r="X109" s="278" t="s">
        <v>300</v>
      </c>
      <c r="Y109" s="302"/>
      <c r="Z109" s="285">
        <v>10065</v>
      </c>
      <c r="AA109" s="302"/>
      <c r="AB109" s="285">
        <v>13251.331591163229</v>
      </c>
      <c r="AC109" s="302"/>
      <c r="AD109" s="285">
        <v>17059</v>
      </c>
      <c r="AE109" s="302"/>
      <c r="AF109" s="285">
        <v>17258</v>
      </c>
      <c r="AG109" s="285">
        <v>19819</v>
      </c>
      <c r="AH109" s="285">
        <v>15890</v>
      </c>
      <c r="AI109" s="285">
        <v>18993</v>
      </c>
      <c r="AJ109" s="285">
        <v>27498</v>
      </c>
      <c r="AK109" s="285">
        <v>23737</v>
      </c>
      <c r="AL109" s="285">
        <v>25856</v>
      </c>
      <c r="AM109" s="285">
        <v>27641</v>
      </c>
      <c r="AN109" s="285">
        <v>28607</v>
      </c>
      <c r="AO109" s="285">
        <v>4591</v>
      </c>
      <c r="AP109" s="285">
        <v>18893</v>
      </c>
      <c r="AQ109" s="285">
        <v>22711</v>
      </c>
      <c r="AR109" s="285">
        <v>27473</v>
      </c>
    </row>
    <row r="110" spans="2:44">
      <c r="B110" s="1136" t="s">
        <v>404</v>
      </c>
      <c r="C110" s="1127" t="s">
        <v>405</v>
      </c>
      <c r="R110" s="1133"/>
      <c r="S110" s="1133"/>
      <c r="T110" s="1133"/>
      <c r="U110" s="1133"/>
      <c r="V110" s="1133"/>
      <c r="W110" s="1133"/>
      <c r="X110" s="278" t="s">
        <v>300</v>
      </c>
      <c r="Y110" s="302"/>
      <c r="Z110" s="278" t="s">
        <v>300</v>
      </c>
      <c r="AA110" s="302"/>
      <c r="AB110" s="278" t="s">
        <v>300</v>
      </c>
      <c r="AC110" s="302"/>
      <c r="AD110" s="278" t="s">
        <v>300</v>
      </c>
      <c r="AE110" s="302"/>
      <c r="AF110" s="278" t="s">
        <v>300</v>
      </c>
      <c r="AG110" s="285" t="s">
        <v>300</v>
      </c>
      <c r="AH110" s="285" t="s">
        <v>300</v>
      </c>
      <c r="AI110" s="285" t="s">
        <v>300</v>
      </c>
      <c r="AJ110" s="285" t="s">
        <v>300</v>
      </c>
      <c r="AK110" s="285" t="s">
        <v>300</v>
      </c>
      <c r="AL110" s="285" t="s">
        <v>300</v>
      </c>
      <c r="AM110" s="285" t="s">
        <v>300</v>
      </c>
      <c r="AN110" s="285" t="s">
        <v>300</v>
      </c>
      <c r="AO110" s="285" t="s">
        <v>300</v>
      </c>
      <c r="AP110" s="285" t="s">
        <v>300</v>
      </c>
      <c r="AQ110" s="285" t="s">
        <v>300</v>
      </c>
      <c r="AR110" s="285" t="s">
        <v>300</v>
      </c>
    </row>
    <row r="111" spans="2:44">
      <c r="B111" s="1136" t="s">
        <v>406</v>
      </c>
      <c r="C111" s="1127" t="s">
        <v>407</v>
      </c>
      <c r="R111" s="1133"/>
      <c r="S111" s="1133"/>
      <c r="T111" s="1133"/>
      <c r="U111" s="1133"/>
      <c r="V111" s="1133"/>
      <c r="W111" s="1133"/>
      <c r="X111" s="278" t="s">
        <v>300</v>
      </c>
      <c r="Y111" s="302"/>
      <c r="Z111" s="278" t="s">
        <v>300</v>
      </c>
      <c r="AA111" s="302"/>
      <c r="AB111" s="278" t="s">
        <v>300</v>
      </c>
      <c r="AC111" s="302"/>
      <c r="AD111" s="278" t="s">
        <v>300</v>
      </c>
      <c r="AE111" s="302"/>
      <c r="AF111" s="278" t="s">
        <v>300</v>
      </c>
      <c r="AG111" s="285" t="s">
        <v>300</v>
      </c>
      <c r="AH111" s="285" t="s">
        <v>300</v>
      </c>
      <c r="AI111" s="285" t="s">
        <v>300</v>
      </c>
      <c r="AJ111" s="285" t="s">
        <v>300</v>
      </c>
      <c r="AK111" s="285" t="s">
        <v>300</v>
      </c>
      <c r="AL111" s="285" t="s">
        <v>300</v>
      </c>
      <c r="AM111" s="285" t="s">
        <v>300</v>
      </c>
      <c r="AN111" s="285" t="s">
        <v>300</v>
      </c>
      <c r="AO111" s="285" t="s">
        <v>300</v>
      </c>
      <c r="AP111" s="285" t="s">
        <v>300</v>
      </c>
      <c r="AQ111" s="285" t="s">
        <v>300</v>
      </c>
      <c r="AR111" s="285" t="s">
        <v>300</v>
      </c>
    </row>
    <row r="112" spans="2:44">
      <c r="B112" s="1136" t="s">
        <v>1774</v>
      </c>
      <c r="C112" s="1135" t="s">
        <v>1775</v>
      </c>
      <c r="R112" s="282"/>
      <c r="S112" s="282"/>
      <c r="T112" s="282"/>
      <c r="U112" s="282"/>
      <c r="V112" s="282"/>
      <c r="W112" s="282"/>
      <c r="X112" s="278"/>
      <c r="Y112" s="278"/>
      <c r="Z112" s="278"/>
      <c r="AA112" s="302"/>
      <c r="AB112" s="278"/>
      <c r="AC112" s="302"/>
      <c r="AD112" s="278"/>
      <c r="AE112" s="302"/>
      <c r="AF112" s="1139"/>
      <c r="AG112" s="1140"/>
      <c r="AH112" s="1140"/>
      <c r="AI112" s="1140"/>
      <c r="AJ112" s="1140"/>
      <c r="AK112" s="285" t="s">
        <v>300</v>
      </c>
      <c r="AL112" s="285" t="s">
        <v>300</v>
      </c>
      <c r="AM112" s="285" t="s">
        <v>300</v>
      </c>
      <c r="AN112" s="285" t="s">
        <v>300</v>
      </c>
      <c r="AO112" s="285" t="s">
        <v>300</v>
      </c>
      <c r="AP112" s="285" t="s">
        <v>300</v>
      </c>
      <c r="AQ112" s="276" t="s">
        <v>300</v>
      </c>
      <c r="AR112" s="276" t="s">
        <v>300</v>
      </c>
    </row>
    <row r="113" spans="1:44">
      <c r="B113" s="1136" t="s">
        <v>1776</v>
      </c>
      <c r="C113" s="1135" t="s">
        <v>1777</v>
      </c>
      <c r="R113" s="282"/>
      <c r="S113" s="282"/>
      <c r="T113" s="282"/>
      <c r="U113" s="282"/>
      <c r="V113" s="282"/>
      <c r="W113" s="282"/>
      <c r="X113" s="278"/>
      <c r="Y113" s="278"/>
      <c r="Z113" s="278"/>
      <c r="AA113" s="302"/>
      <c r="AB113" s="278"/>
      <c r="AC113" s="302"/>
      <c r="AD113" s="278"/>
      <c r="AE113" s="302"/>
      <c r="AF113" s="1139"/>
      <c r="AG113" s="1140"/>
      <c r="AH113" s="1140"/>
      <c r="AI113" s="1140"/>
      <c r="AJ113" s="1140"/>
      <c r="AK113" s="1140"/>
      <c r="AL113" s="1140"/>
      <c r="AM113" s="1140"/>
      <c r="AN113" s="1140"/>
      <c r="AO113" s="1141" t="s">
        <v>300</v>
      </c>
      <c r="AP113" s="1141" t="s">
        <v>300</v>
      </c>
      <c r="AQ113" s="1141" t="s">
        <v>300</v>
      </c>
      <c r="AR113" s="1141" t="s">
        <v>300</v>
      </c>
    </row>
    <row r="114" spans="1:44">
      <c r="B114" s="1136" t="s">
        <v>1778</v>
      </c>
      <c r="C114" s="1135" t="s">
        <v>1779</v>
      </c>
      <c r="R114" s="282"/>
      <c r="S114" s="282"/>
      <c r="T114" s="282"/>
      <c r="U114" s="282"/>
      <c r="V114" s="282"/>
      <c r="W114" s="282"/>
      <c r="X114" s="278"/>
      <c r="Y114" s="278"/>
      <c r="Z114" s="278"/>
      <c r="AA114" s="302"/>
      <c r="AB114" s="278"/>
      <c r="AC114" s="302"/>
      <c r="AD114" s="278"/>
      <c r="AE114" s="302"/>
      <c r="AF114" s="1139"/>
      <c r="AG114" s="1140"/>
      <c r="AH114" s="1140"/>
      <c r="AI114" s="1140"/>
      <c r="AJ114" s="1140"/>
      <c r="AK114" s="1140"/>
      <c r="AL114" s="1140"/>
      <c r="AM114" s="1140"/>
      <c r="AN114" s="1140"/>
      <c r="AO114" s="1140"/>
      <c r="AP114" s="1140"/>
      <c r="AQ114" s="1141" t="s">
        <v>300</v>
      </c>
      <c r="AR114" s="1141" t="s">
        <v>300</v>
      </c>
    </row>
    <row r="115" spans="1:44">
      <c r="B115" s="951"/>
      <c r="C115" s="283"/>
      <c r="R115" s="282"/>
      <c r="S115" s="282"/>
      <c r="T115" s="282"/>
      <c r="U115" s="282"/>
      <c r="V115" s="282"/>
      <c r="W115" s="282"/>
      <c r="X115" s="278"/>
      <c r="Y115" s="278"/>
      <c r="Z115" s="278"/>
      <c r="AA115" s="278"/>
      <c r="AB115" s="278"/>
      <c r="AC115" s="278"/>
      <c r="AD115" s="278"/>
      <c r="AE115" s="278"/>
      <c r="AF115" s="278"/>
      <c r="AG115" s="278"/>
      <c r="AO115" s="276"/>
      <c r="AP115" s="276"/>
      <c r="AQ115" s="276"/>
      <c r="AR115" s="276"/>
    </row>
    <row r="116" spans="1:44" ht="13.5">
      <c r="A116" s="311"/>
      <c r="B116" s="925" t="s">
        <v>90</v>
      </c>
      <c r="C116" s="311"/>
      <c r="V116" s="282"/>
      <c r="W116" s="282"/>
      <c r="X116" s="278"/>
      <c r="Y116" s="278"/>
      <c r="Z116" s="278"/>
      <c r="AA116" s="278"/>
      <c r="AB116" s="278"/>
      <c r="AC116" s="278"/>
      <c r="AD116" s="278"/>
      <c r="AE116" s="278"/>
      <c r="AF116" s="278"/>
      <c r="AG116" s="278"/>
      <c r="AO116" s="276"/>
      <c r="AP116" s="276"/>
      <c r="AQ116" s="276"/>
      <c r="AR116" s="276"/>
    </row>
    <row r="117" spans="1:44" ht="15">
      <c r="B117" s="217" t="s">
        <v>91</v>
      </c>
      <c r="C117" s="217"/>
      <c r="D117" s="1142"/>
      <c r="E117" s="1142"/>
      <c r="F117" s="1142"/>
      <c r="G117" s="1142"/>
      <c r="H117" s="1142"/>
      <c r="I117" s="1142"/>
      <c r="J117" s="1142"/>
      <c r="K117" s="1142"/>
      <c r="L117" s="1142"/>
      <c r="M117" s="1142"/>
      <c r="N117" s="1142"/>
      <c r="O117" s="1142"/>
      <c r="P117" s="1142"/>
      <c r="Q117" s="1142"/>
      <c r="R117" s="1142"/>
      <c r="S117" s="1142"/>
      <c r="T117" s="1142"/>
      <c r="U117" s="1142"/>
      <c r="V117" s="1142"/>
      <c r="W117" s="1142"/>
      <c r="X117" s="302" t="s">
        <v>300</v>
      </c>
      <c r="Y117" s="1143"/>
      <c r="Z117" s="641">
        <f>SUM(Z119:Z121)</f>
        <v>169842</v>
      </c>
      <c r="AA117" s="641">
        <f t="shared" ref="AA117:AR117" si="16">SUM(AA119:AA121)</f>
        <v>0</v>
      </c>
      <c r="AB117" s="641">
        <f t="shared" si="16"/>
        <v>388194.94593475456</v>
      </c>
      <c r="AC117" s="641">
        <f t="shared" si="16"/>
        <v>0</v>
      </c>
      <c r="AD117" s="641">
        <f t="shared" si="16"/>
        <v>850002</v>
      </c>
      <c r="AE117" s="641">
        <f t="shared" si="16"/>
        <v>0</v>
      </c>
      <c r="AF117" s="641">
        <f t="shared" si="16"/>
        <v>189114.44596556586</v>
      </c>
      <c r="AG117" s="641">
        <f t="shared" si="16"/>
        <v>1505648.1028534346</v>
      </c>
      <c r="AH117" s="641">
        <f t="shared" si="16"/>
        <v>872507.55525820772</v>
      </c>
      <c r="AI117" s="641">
        <f t="shared" si="16"/>
        <v>287431.57528001314</v>
      </c>
      <c r="AJ117" s="641">
        <f t="shared" si="16"/>
        <v>630036.47566577641</v>
      </c>
      <c r="AK117" s="641">
        <f>SUM(AK119:AK121)</f>
        <v>704929.87547703716</v>
      </c>
      <c r="AL117" s="641">
        <f t="shared" si="16"/>
        <v>796233.22039486479</v>
      </c>
      <c r="AM117" s="641">
        <f t="shared" si="16"/>
        <v>490972.96908678871</v>
      </c>
      <c r="AN117" s="641">
        <f t="shared" si="16"/>
        <v>461056.92826063221</v>
      </c>
      <c r="AO117" s="641">
        <f t="shared" si="16"/>
        <v>906074</v>
      </c>
      <c r="AP117" s="641">
        <f t="shared" si="16"/>
        <v>141019</v>
      </c>
      <c r="AQ117" s="641">
        <f t="shared" si="16"/>
        <v>155356</v>
      </c>
      <c r="AR117" s="641">
        <f t="shared" si="16"/>
        <v>133966</v>
      </c>
    </row>
    <row r="118" spans="1:44" ht="15">
      <c r="B118" s="217"/>
      <c r="C118" s="217"/>
      <c r="D118" s="1142"/>
      <c r="E118" s="1142"/>
      <c r="F118" s="1142"/>
      <c r="G118" s="1142"/>
      <c r="H118" s="1142"/>
      <c r="I118" s="1142"/>
      <c r="J118" s="1142"/>
      <c r="K118" s="1142"/>
      <c r="L118" s="1142"/>
      <c r="M118" s="1142"/>
      <c r="N118" s="1142"/>
      <c r="O118" s="1142"/>
      <c r="P118" s="1142"/>
      <c r="Q118" s="1142"/>
      <c r="R118" s="1142"/>
      <c r="S118" s="1142"/>
      <c r="T118" s="1142"/>
      <c r="U118" s="1142"/>
      <c r="V118" s="1142"/>
      <c r="W118" s="1142"/>
      <c r="X118" s="1142"/>
      <c r="Y118" s="1143"/>
      <c r="Z118" s="1144"/>
      <c r="AA118" s="1143"/>
      <c r="AB118" s="1144"/>
      <c r="AC118" s="1144"/>
      <c r="AD118" s="1144"/>
      <c r="AE118" s="1143"/>
      <c r="AF118" s="1144"/>
      <c r="AG118" s="1143"/>
      <c r="AO118" s="276"/>
      <c r="AP118" s="276"/>
      <c r="AQ118" s="276"/>
      <c r="AR118" s="276"/>
    </row>
    <row r="119" spans="1:44" ht="33.75" customHeight="1">
      <c r="B119" s="1934" t="s">
        <v>93</v>
      </c>
      <c r="C119" s="1934"/>
      <c r="D119" s="1145"/>
      <c r="E119" s="1145"/>
      <c r="F119" s="1145"/>
      <c r="G119" s="1145"/>
      <c r="H119" s="1145"/>
      <c r="I119" s="1145"/>
      <c r="J119" s="1145"/>
      <c r="K119" s="1145"/>
      <c r="L119" s="1145"/>
      <c r="M119" s="1145"/>
      <c r="N119" s="1145"/>
      <c r="O119" s="1145"/>
      <c r="P119" s="1145"/>
      <c r="Q119" s="1145"/>
      <c r="R119" s="1145"/>
      <c r="S119" s="1145"/>
      <c r="T119" s="1145"/>
      <c r="U119" s="1145"/>
      <c r="V119" s="1145"/>
      <c r="W119" s="1145"/>
      <c r="X119" s="1146" t="s">
        <v>300</v>
      </c>
      <c r="Y119" s="1147"/>
      <c r="Z119" s="1146">
        <v>54466</v>
      </c>
      <c r="AA119" s="1147"/>
      <c r="AB119" s="1146">
        <v>71984.904801658166</v>
      </c>
      <c r="AC119" s="1148"/>
      <c r="AD119" s="1146">
        <v>100980</v>
      </c>
      <c r="AE119" s="1147"/>
      <c r="AF119" s="1146">
        <v>129090.44596556586</v>
      </c>
      <c r="AG119" s="1146">
        <v>151125.27389627593</v>
      </c>
      <c r="AH119" s="1146">
        <v>171078.3870335292</v>
      </c>
      <c r="AI119" s="1146">
        <v>199269.57528001312</v>
      </c>
      <c r="AJ119" s="1146">
        <v>201768.16045545819</v>
      </c>
      <c r="AK119" s="1146">
        <v>226325.83928963944</v>
      </c>
      <c r="AL119" s="1146">
        <v>249285.46129876244</v>
      </c>
      <c r="AM119" s="1146">
        <v>272360.87649404438</v>
      </c>
      <c r="AN119" s="1146">
        <v>271233.40303206036</v>
      </c>
      <c r="AO119" s="1146">
        <v>299641</v>
      </c>
      <c r="AP119" s="1146" t="s">
        <v>300</v>
      </c>
      <c r="AQ119" s="1146" t="s">
        <v>300</v>
      </c>
      <c r="AR119" s="1146" t="s">
        <v>300</v>
      </c>
    </row>
    <row r="120" spans="1:44" ht="33.75" customHeight="1">
      <c r="B120" s="1935" t="s">
        <v>1780</v>
      </c>
      <c r="C120" s="1936"/>
      <c r="D120" s="1145"/>
      <c r="E120" s="1145"/>
      <c r="F120" s="1145"/>
      <c r="G120" s="1145"/>
      <c r="H120" s="1145"/>
      <c r="I120" s="1145"/>
      <c r="J120" s="1145"/>
      <c r="K120" s="1145"/>
      <c r="L120" s="1145"/>
      <c r="M120" s="1145"/>
      <c r="N120" s="1145"/>
      <c r="O120" s="1145"/>
      <c r="P120" s="1145"/>
      <c r="Q120" s="1145"/>
      <c r="R120" s="1145"/>
      <c r="S120" s="1145"/>
      <c r="T120" s="1145"/>
      <c r="U120" s="1145"/>
      <c r="V120" s="1145"/>
      <c r="W120" s="1145"/>
      <c r="X120" s="1146"/>
      <c r="Y120" s="1147"/>
      <c r="Z120" s="1146">
        <v>41999</v>
      </c>
      <c r="AA120" s="1147"/>
      <c r="AB120" s="1146">
        <v>31906</v>
      </c>
      <c r="AC120" s="1148"/>
      <c r="AD120" s="1146">
        <v>49390</v>
      </c>
      <c r="AE120" s="1147"/>
      <c r="AF120" s="1146">
        <v>60024</v>
      </c>
      <c r="AG120" s="1146">
        <v>73961</v>
      </c>
      <c r="AH120" s="1146">
        <v>79752</v>
      </c>
      <c r="AI120" s="1146">
        <v>88162</v>
      </c>
      <c r="AJ120" s="1146">
        <v>89535</v>
      </c>
      <c r="AK120" s="1146">
        <v>94535</v>
      </c>
      <c r="AL120" s="1146">
        <v>97603</v>
      </c>
      <c r="AM120" s="1146">
        <v>98022</v>
      </c>
      <c r="AN120" s="1149">
        <v>86816</v>
      </c>
      <c r="AO120" s="1149">
        <v>88214</v>
      </c>
      <c r="AP120" s="1149">
        <v>141019</v>
      </c>
      <c r="AQ120" s="1149">
        <v>155356</v>
      </c>
      <c r="AR120" s="1149">
        <v>133966</v>
      </c>
    </row>
    <row r="121" spans="1:44" ht="16.5" customHeight="1">
      <c r="B121" s="1136" t="s">
        <v>94</v>
      </c>
      <c r="C121" s="1136"/>
      <c r="D121" s="1145"/>
      <c r="E121" s="1145"/>
      <c r="F121" s="1145"/>
      <c r="G121" s="1145"/>
      <c r="H121" s="1145"/>
      <c r="I121" s="1145"/>
      <c r="J121" s="1145"/>
      <c r="K121" s="1145"/>
      <c r="L121" s="1145"/>
      <c r="M121" s="1145"/>
      <c r="N121" s="1145"/>
      <c r="O121" s="1145"/>
      <c r="P121" s="1145"/>
      <c r="Q121" s="1145"/>
      <c r="R121" s="1145"/>
      <c r="S121" s="1145"/>
      <c r="T121" s="1145"/>
      <c r="U121" s="1145"/>
      <c r="V121" s="1145"/>
      <c r="W121" s="1145"/>
      <c r="X121" s="285" t="s">
        <v>300</v>
      </c>
      <c r="Y121" s="1147"/>
      <c r="Z121" s="285">
        <v>73377</v>
      </c>
      <c r="AA121" s="1147"/>
      <c r="AB121" s="285">
        <v>284304.04113309638</v>
      </c>
      <c r="AC121" s="1148"/>
      <c r="AD121" s="285">
        <v>699632</v>
      </c>
      <c r="AE121" s="1147"/>
      <c r="AF121" s="285">
        <v>0</v>
      </c>
      <c r="AG121" s="1146">
        <v>1280561.8289571586</v>
      </c>
      <c r="AH121" s="1146">
        <v>621677.16822467849</v>
      </c>
      <c r="AI121" s="1146">
        <v>0</v>
      </c>
      <c r="AJ121" s="1146">
        <v>338733.31521031819</v>
      </c>
      <c r="AK121" s="1146">
        <v>384069.03618739778</v>
      </c>
      <c r="AL121" s="1146">
        <v>449344.75909610232</v>
      </c>
      <c r="AM121" s="1146">
        <v>120590.09259274432</v>
      </c>
      <c r="AN121" s="1146">
        <v>103007.52522857182</v>
      </c>
      <c r="AO121" s="1146">
        <v>518219</v>
      </c>
      <c r="AP121" s="1146" t="s">
        <v>300</v>
      </c>
      <c r="AQ121" s="1146" t="s">
        <v>300</v>
      </c>
      <c r="AR121" s="1146" t="s">
        <v>300</v>
      </c>
    </row>
    <row r="122" spans="1:44">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563"/>
      <c r="Y122" s="563"/>
      <c r="Z122" s="563"/>
      <c r="AA122" s="563"/>
      <c r="AB122" s="563"/>
      <c r="AC122" s="563"/>
      <c r="AD122" s="563"/>
      <c r="AE122" s="563"/>
      <c r="AF122" s="563"/>
      <c r="AG122" s="563"/>
      <c r="AH122" s="563"/>
      <c r="AI122" s="563"/>
      <c r="AJ122" s="563"/>
      <c r="AK122" s="563"/>
      <c r="AL122" s="563"/>
      <c r="AM122" s="563"/>
      <c r="AN122" s="563"/>
      <c r="AO122" s="563"/>
      <c r="AP122" s="563"/>
      <c r="AQ122" s="563"/>
      <c r="AR122" s="563"/>
    </row>
    <row r="123" spans="1:44">
      <c r="AO123" s="276"/>
      <c r="AP123" s="276"/>
    </row>
    <row r="124" spans="1:44">
      <c r="B124" s="1150"/>
      <c r="C124" s="1151" t="s">
        <v>83</v>
      </c>
      <c r="D124" s="1136"/>
      <c r="E124" s="1150"/>
      <c r="AO124" s="276"/>
      <c r="AP124" s="276"/>
    </row>
    <row r="125" spans="1:44">
      <c r="B125" s="1150"/>
      <c r="C125" s="1136" t="s">
        <v>84</v>
      </c>
      <c r="D125" s="1136"/>
      <c r="E125" s="1150"/>
      <c r="AO125" s="276"/>
      <c r="AP125" s="276"/>
    </row>
    <row r="126" spans="1:44" ht="12.75" customHeight="1">
      <c r="B126" s="1150"/>
      <c r="C126" s="1934" t="s">
        <v>85</v>
      </c>
      <c r="D126" s="1934"/>
      <c r="E126" s="1150"/>
      <c r="AO126" s="276"/>
      <c r="AP126" s="276"/>
    </row>
    <row r="127" spans="1:44">
      <c r="B127" s="1150"/>
      <c r="C127" s="1136" t="s">
        <v>86</v>
      </c>
      <c r="D127" s="1136"/>
      <c r="E127" s="1150"/>
      <c r="AO127" s="276"/>
      <c r="AP127" s="276"/>
    </row>
    <row r="128" spans="1:44">
      <c r="B128" s="1150"/>
      <c r="C128" s="1136" t="s">
        <v>87</v>
      </c>
      <c r="D128" s="1136"/>
      <c r="E128" s="1150"/>
      <c r="AO128" s="276"/>
      <c r="AP128" s="276"/>
    </row>
    <row r="129" spans="2:44">
      <c r="B129" s="1150"/>
      <c r="C129" s="1136" t="s">
        <v>88</v>
      </c>
      <c r="D129" s="1136"/>
      <c r="E129" s="1150"/>
      <c r="AO129" s="276"/>
      <c r="AP129" s="276"/>
    </row>
    <row r="130" spans="2:44" ht="12.75" customHeight="1">
      <c r="B130" s="1150"/>
      <c r="C130" s="1934" t="s">
        <v>89</v>
      </c>
      <c r="D130" s="1934"/>
      <c r="E130" s="1150"/>
      <c r="R130" s="1152"/>
      <c r="S130" s="1152"/>
      <c r="T130" s="1152"/>
      <c r="U130" s="1152"/>
      <c r="V130" s="1152"/>
      <c r="W130" s="1152"/>
      <c r="X130" s="1153"/>
      <c r="Y130" s="1153"/>
      <c r="Z130" s="1153"/>
      <c r="AA130" s="1153"/>
      <c r="AB130" s="1153"/>
      <c r="AC130" s="1153"/>
      <c r="AD130" s="1153"/>
      <c r="AE130" s="1153"/>
      <c r="AF130" s="1153"/>
      <c r="AG130" s="1153"/>
      <c r="AO130" s="276"/>
      <c r="AP130" s="276"/>
      <c r="AQ130" s="276"/>
      <c r="AR130" s="276"/>
    </row>
    <row r="131" spans="2:44">
      <c r="B131" s="1154"/>
      <c r="C131" s="1154"/>
      <c r="D131" s="1154"/>
      <c r="E131" s="1154"/>
      <c r="F131" s="226"/>
      <c r="G131" s="226"/>
      <c r="H131" s="226"/>
      <c r="I131" s="226"/>
      <c r="J131" s="226"/>
      <c r="K131" s="226"/>
      <c r="L131" s="226"/>
      <c r="M131" s="226"/>
      <c r="N131" s="226"/>
      <c r="O131" s="226"/>
      <c r="P131" s="226"/>
      <c r="Q131" s="226"/>
      <c r="R131" s="1155"/>
      <c r="S131" s="1155"/>
      <c r="T131" s="1155"/>
      <c r="U131" s="1155"/>
      <c r="V131" s="1155"/>
      <c r="W131" s="1155"/>
      <c r="X131" s="1156"/>
      <c r="Y131" s="1156"/>
      <c r="Z131" s="1156"/>
      <c r="AA131" s="1156"/>
      <c r="AB131" s="1156"/>
      <c r="AC131" s="1156"/>
      <c r="AD131" s="1156"/>
      <c r="AE131" s="1156"/>
      <c r="AF131" s="1156"/>
      <c r="AG131" s="1156"/>
      <c r="AH131" s="563"/>
      <c r="AI131" s="563"/>
      <c r="AJ131" s="563"/>
      <c r="AK131" s="563"/>
      <c r="AL131" s="563"/>
      <c r="AM131" s="563"/>
      <c r="AN131" s="563"/>
      <c r="AO131" s="563"/>
      <c r="AP131" s="563"/>
      <c r="AQ131" s="563"/>
      <c r="AR131" s="563"/>
    </row>
    <row r="132" spans="2:44">
      <c r="B132" s="1150"/>
      <c r="C132" s="1150"/>
      <c r="D132" s="1150"/>
      <c r="E132" s="1150"/>
      <c r="R132" s="1152"/>
      <c r="S132" s="1152"/>
      <c r="T132" s="1152"/>
      <c r="U132" s="1152"/>
      <c r="V132" s="1152"/>
      <c r="W132" s="1152"/>
      <c r="X132" s="1153"/>
      <c r="Y132" s="1153"/>
      <c r="Z132" s="1153"/>
      <c r="AA132" s="1153"/>
      <c r="AB132" s="1153"/>
      <c r="AC132" s="1153"/>
      <c r="AD132" s="1153"/>
      <c r="AE132" s="1153"/>
      <c r="AF132" s="1153"/>
      <c r="AG132" s="1153"/>
      <c r="AO132" s="276"/>
      <c r="AP132" s="276"/>
    </row>
    <row r="133" spans="2:44">
      <c r="B133" s="1157" t="s">
        <v>408</v>
      </c>
      <c r="C133" s="1157"/>
      <c r="D133" s="1157"/>
      <c r="E133" s="1157"/>
      <c r="F133" s="1158"/>
      <c r="G133" s="1158"/>
      <c r="H133" s="1158"/>
      <c r="I133" s="1158"/>
      <c r="J133" s="1158"/>
      <c r="K133" s="1158"/>
      <c r="L133" s="1158"/>
      <c r="M133" s="1158"/>
      <c r="N133" s="1158"/>
      <c r="O133" s="1158"/>
      <c r="P133" s="1158"/>
      <c r="Q133" s="1158"/>
      <c r="R133" s="1158"/>
      <c r="S133" s="1158"/>
      <c r="T133" s="1158"/>
      <c r="U133" s="1158"/>
      <c r="V133" s="1158"/>
      <c r="W133" s="1158"/>
      <c r="X133" s="1159"/>
      <c r="Y133" s="1159"/>
      <c r="Z133" s="1159"/>
      <c r="AA133" s="1159"/>
      <c r="AB133" s="1159"/>
      <c r="AC133" s="1159"/>
      <c r="AD133" s="1159"/>
      <c r="AE133" s="1159"/>
      <c r="AF133" s="1159"/>
      <c r="AO133" s="276"/>
      <c r="AP133" s="276"/>
    </row>
    <row r="134" spans="2:44" ht="24.75" customHeight="1">
      <c r="B134" s="1932" t="s">
        <v>99</v>
      </c>
      <c r="C134" s="1932"/>
      <c r="D134" s="1932"/>
      <c r="E134" s="1932"/>
      <c r="F134" s="1933"/>
      <c r="G134" s="1933"/>
      <c r="H134" s="1933"/>
      <c r="I134" s="1933"/>
      <c r="J134" s="1933"/>
      <c r="K134" s="1933"/>
      <c r="L134" s="1933"/>
      <c r="M134" s="1933"/>
      <c r="N134" s="1933"/>
      <c r="O134" s="1933"/>
      <c r="P134" s="1933"/>
      <c r="Q134" s="1933"/>
      <c r="R134" s="1933"/>
      <c r="S134" s="1933"/>
      <c r="T134" s="1933"/>
      <c r="U134" s="1933"/>
      <c r="V134" s="1933"/>
      <c r="W134" s="1933"/>
      <c r="X134" s="1933"/>
      <c r="Y134" s="1933"/>
      <c r="Z134" s="1933"/>
      <c r="AA134" s="1933"/>
      <c r="AB134" s="1933"/>
      <c r="AC134" s="1933"/>
      <c r="AD134" s="1933"/>
      <c r="AE134" s="1933"/>
      <c r="AF134" s="1933"/>
      <c r="AO134" s="276"/>
      <c r="AP134" s="276"/>
    </row>
    <row r="135" spans="2:44" ht="58.5" customHeight="1">
      <c r="B135" s="1932" t="s">
        <v>100</v>
      </c>
      <c r="C135" s="1932"/>
      <c r="D135" s="1932"/>
      <c r="E135" s="1932"/>
      <c r="F135" s="1933"/>
      <c r="G135" s="1933"/>
      <c r="H135" s="1933"/>
      <c r="I135" s="1933"/>
      <c r="J135" s="1933"/>
      <c r="K135" s="1933"/>
      <c r="L135" s="1933"/>
      <c r="M135" s="1933"/>
      <c r="N135" s="1933"/>
      <c r="O135" s="1933"/>
      <c r="P135" s="1933"/>
      <c r="Q135" s="1933"/>
      <c r="R135" s="1933"/>
      <c r="S135" s="1933"/>
      <c r="T135" s="1933"/>
      <c r="U135" s="1933"/>
      <c r="V135" s="1933"/>
      <c r="W135" s="1933"/>
      <c r="X135" s="1933"/>
      <c r="Y135" s="1933"/>
      <c r="Z135" s="1933"/>
      <c r="AA135" s="1933"/>
      <c r="AB135" s="1933"/>
      <c r="AC135" s="1933"/>
      <c r="AD135" s="1933"/>
      <c r="AE135" s="1933"/>
      <c r="AF135" s="1933"/>
      <c r="AO135" s="276"/>
      <c r="AP135" s="276"/>
    </row>
    <row r="136" spans="2:44">
      <c r="B136" s="1158"/>
      <c r="C136" s="1158"/>
      <c r="D136" s="1157"/>
      <c r="E136" s="1157"/>
      <c r="F136" s="1158"/>
      <c r="G136" s="1158"/>
      <c r="H136" s="1158"/>
      <c r="I136" s="1158"/>
      <c r="J136" s="1158"/>
      <c r="K136" s="1158"/>
      <c r="L136" s="1158"/>
      <c r="M136" s="1158"/>
      <c r="N136" s="1158"/>
      <c r="O136" s="1158"/>
      <c r="P136" s="1158"/>
      <c r="Q136" s="1158"/>
      <c r="R136" s="1158"/>
      <c r="S136" s="1158"/>
      <c r="T136" s="1158"/>
      <c r="U136" s="1158"/>
      <c r="V136" s="1158"/>
      <c r="W136" s="1158"/>
      <c r="X136" s="1159"/>
      <c r="Y136" s="1159"/>
      <c r="Z136" s="1159"/>
      <c r="AA136" s="1159"/>
      <c r="AB136" s="1159"/>
      <c r="AC136" s="1159"/>
      <c r="AD136" s="1159"/>
      <c r="AE136" s="1159"/>
      <c r="AF136" s="1159"/>
    </row>
    <row r="137" spans="2:44">
      <c r="B137" s="1158"/>
      <c r="C137" s="1158"/>
      <c r="D137" s="1157"/>
      <c r="E137" s="1157"/>
      <c r="F137" s="1158"/>
      <c r="G137" s="1158"/>
      <c r="H137" s="1158"/>
      <c r="I137" s="1158"/>
      <c r="J137" s="1158"/>
      <c r="K137" s="1158"/>
      <c r="L137" s="1158"/>
      <c r="M137" s="1158"/>
      <c r="N137" s="1158"/>
      <c r="O137" s="1158"/>
      <c r="P137" s="1158"/>
      <c r="Q137" s="1158"/>
      <c r="R137" s="1158"/>
      <c r="S137" s="1158"/>
      <c r="T137" s="1158"/>
      <c r="U137" s="1158"/>
      <c r="V137" s="1158"/>
      <c r="W137" s="1158"/>
      <c r="X137" s="1159"/>
      <c r="Y137" s="1159"/>
      <c r="Z137" s="1159"/>
      <c r="AA137" s="1159"/>
      <c r="AB137" s="1159"/>
      <c r="AC137" s="1159"/>
      <c r="AD137" s="1159"/>
      <c r="AE137" s="1159"/>
      <c r="AF137" s="1159"/>
      <c r="AH137" s="158"/>
      <c r="AI137" s="158"/>
      <c r="AJ137" s="158"/>
      <c r="AK137" s="158"/>
      <c r="AL137" s="158"/>
      <c r="AM137" s="158"/>
      <c r="AN137" s="158"/>
      <c r="AO137" s="158"/>
    </row>
    <row r="138" spans="2:44">
      <c r="B138" s="1160"/>
      <c r="C138" s="1158"/>
      <c r="D138" s="1157"/>
      <c r="E138" s="1157"/>
      <c r="F138" s="1158"/>
      <c r="G138" s="1158"/>
      <c r="H138" s="1158"/>
      <c r="I138" s="1158"/>
      <c r="J138" s="1158"/>
      <c r="K138" s="1158"/>
      <c r="L138" s="1158"/>
      <c r="M138" s="1158"/>
      <c r="N138" s="1158"/>
      <c r="O138" s="1158"/>
      <c r="P138" s="1158"/>
      <c r="Q138" s="1158"/>
      <c r="R138" s="1158"/>
      <c r="S138" s="1158"/>
      <c r="T138" s="1158"/>
      <c r="U138" s="1158"/>
      <c r="V138" s="1158"/>
      <c r="W138" s="1158"/>
      <c r="X138" s="1159"/>
      <c r="Y138" s="1159"/>
      <c r="Z138" s="1159"/>
      <c r="AA138" s="1159"/>
      <c r="AB138" s="1159"/>
      <c r="AC138" s="1159"/>
      <c r="AD138" s="1159"/>
      <c r="AE138" s="1159"/>
      <c r="AF138" s="1159"/>
      <c r="AH138" s="158"/>
      <c r="AI138" s="158"/>
      <c r="AJ138" s="158"/>
      <c r="AK138" s="158"/>
      <c r="AL138" s="158"/>
      <c r="AM138" s="158"/>
      <c r="AN138" s="158"/>
      <c r="AO138" s="158"/>
    </row>
    <row r="139" spans="2:44">
      <c r="B139" s="1157"/>
      <c r="C139" s="1157"/>
      <c r="D139" s="1157"/>
      <c r="E139" s="1157"/>
      <c r="F139" s="1158"/>
      <c r="G139" s="1158"/>
      <c r="H139" s="1158"/>
      <c r="I139" s="1158"/>
      <c r="J139" s="1158"/>
      <c r="K139" s="1158"/>
      <c r="L139" s="1158"/>
      <c r="M139" s="1158"/>
      <c r="N139" s="1158"/>
      <c r="O139" s="1158"/>
      <c r="P139" s="1158"/>
      <c r="Q139" s="1158"/>
      <c r="R139" s="1158"/>
      <c r="S139" s="1158"/>
      <c r="T139" s="1158"/>
      <c r="U139" s="1158"/>
      <c r="V139" s="1158"/>
      <c r="W139" s="1158"/>
      <c r="X139" s="1159"/>
      <c r="Y139" s="1159"/>
      <c r="Z139" s="1159"/>
      <c r="AA139" s="1159"/>
      <c r="AB139" s="1159"/>
      <c r="AC139" s="1159"/>
      <c r="AD139" s="1159"/>
      <c r="AE139" s="1159"/>
      <c r="AF139" s="1159"/>
      <c r="AH139" s="158"/>
      <c r="AI139" s="158"/>
      <c r="AJ139" s="158"/>
      <c r="AK139" s="158"/>
      <c r="AL139" s="158"/>
      <c r="AM139" s="158"/>
      <c r="AN139" s="158"/>
      <c r="AO139" s="158"/>
    </row>
    <row r="140" spans="2:44">
      <c r="B140" s="1161"/>
      <c r="C140" s="1158"/>
      <c r="D140" s="1157"/>
      <c r="E140" s="1157"/>
      <c r="F140" s="1158"/>
      <c r="G140" s="1158"/>
      <c r="H140" s="1158"/>
      <c r="I140" s="1158"/>
      <c r="J140" s="1158"/>
      <c r="K140" s="1158"/>
      <c r="L140" s="1158"/>
      <c r="M140" s="1158"/>
      <c r="N140" s="1158"/>
      <c r="O140" s="1158"/>
      <c r="P140" s="1158"/>
      <c r="Q140" s="1158"/>
      <c r="R140" s="1158"/>
      <c r="S140" s="1158"/>
      <c r="T140" s="1158"/>
      <c r="U140" s="1158"/>
      <c r="V140" s="1158"/>
      <c r="W140" s="1158"/>
      <c r="X140" s="1159"/>
      <c r="Y140" s="1159"/>
      <c r="Z140" s="1159"/>
      <c r="AA140" s="1159"/>
      <c r="AB140" s="1159"/>
      <c r="AC140" s="1159"/>
      <c r="AD140" s="1159"/>
      <c r="AE140" s="1159"/>
      <c r="AF140" s="1159"/>
      <c r="AH140" s="158"/>
      <c r="AI140" s="158"/>
      <c r="AJ140" s="158"/>
      <c r="AK140" s="158"/>
      <c r="AL140" s="158"/>
      <c r="AM140" s="158"/>
      <c r="AN140" s="158"/>
      <c r="AO140" s="158"/>
    </row>
    <row r="141" spans="2:44">
      <c r="B141" s="1158"/>
      <c r="C141" s="1158"/>
      <c r="D141" s="1157"/>
      <c r="E141" s="1157"/>
      <c r="F141" s="1158"/>
      <c r="G141" s="1158"/>
      <c r="H141" s="1158"/>
      <c r="I141" s="1158"/>
      <c r="J141" s="1158"/>
      <c r="K141" s="1158"/>
      <c r="L141" s="1158"/>
      <c r="M141" s="1158"/>
      <c r="N141" s="1158"/>
      <c r="O141" s="1158"/>
      <c r="P141" s="1158"/>
      <c r="Q141" s="1158"/>
      <c r="R141" s="1162"/>
      <c r="S141" s="1162"/>
      <c r="T141" s="1162"/>
      <c r="U141" s="1162"/>
      <c r="V141" s="1162"/>
      <c r="W141" s="1162"/>
      <c r="X141" s="1163"/>
      <c r="Y141" s="1163"/>
      <c r="Z141" s="1163"/>
      <c r="AA141" s="1163"/>
      <c r="AB141" s="1163"/>
      <c r="AC141" s="1163"/>
      <c r="AD141" s="1163"/>
      <c r="AE141" s="1163"/>
      <c r="AF141" s="1163"/>
      <c r="AG141" s="278"/>
      <c r="AH141" s="158"/>
      <c r="AI141" s="158"/>
      <c r="AJ141" s="158"/>
      <c r="AK141" s="158"/>
      <c r="AL141" s="158"/>
      <c r="AM141" s="158"/>
      <c r="AN141" s="158"/>
      <c r="AO141" s="158"/>
    </row>
    <row r="142" spans="2:44">
      <c r="B142" s="1158"/>
      <c r="C142" s="1158"/>
      <c r="D142" s="1157"/>
      <c r="E142" s="1157"/>
      <c r="F142" s="1158"/>
      <c r="G142" s="1158"/>
      <c r="H142" s="1158"/>
      <c r="I142" s="1158"/>
      <c r="J142" s="1158"/>
      <c r="K142" s="1158"/>
      <c r="L142" s="1158"/>
      <c r="M142" s="1158"/>
      <c r="N142" s="1158"/>
      <c r="O142" s="1158"/>
      <c r="P142" s="1158"/>
      <c r="Q142" s="1158"/>
      <c r="R142" s="1162"/>
      <c r="S142" s="1162"/>
      <c r="T142" s="1162"/>
      <c r="U142" s="1162"/>
      <c r="V142" s="1162"/>
      <c r="W142" s="1162"/>
      <c r="X142" s="1163"/>
      <c r="Y142" s="1163"/>
      <c r="Z142" s="1163"/>
      <c r="AA142" s="1163"/>
      <c r="AB142" s="1163"/>
      <c r="AC142" s="1163"/>
      <c r="AD142" s="1163"/>
      <c r="AE142" s="1163"/>
      <c r="AF142" s="1163"/>
      <c r="AG142" s="278"/>
      <c r="AH142" s="158"/>
      <c r="AI142" s="158"/>
      <c r="AJ142" s="158"/>
      <c r="AK142" s="158"/>
      <c r="AL142" s="158"/>
      <c r="AM142" s="158"/>
      <c r="AN142" s="158"/>
      <c r="AO142" s="158"/>
    </row>
    <row r="143" spans="2:44">
      <c r="B143" s="1158"/>
      <c r="C143" s="1158"/>
      <c r="D143" s="1157"/>
      <c r="E143" s="1157"/>
      <c r="F143" s="1158"/>
      <c r="G143" s="1158"/>
      <c r="H143" s="1158"/>
      <c r="I143" s="1158"/>
      <c r="J143" s="1158"/>
      <c r="K143" s="1158"/>
      <c r="L143" s="1158"/>
      <c r="M143" s="1158"/>
      <c r="N143" s="1158"/>
      <c r="O143" s="1158"/>
      <c r="P143" s="1158"/>
      <c r="Q143" s="1158"/>
      <c r="R143" s="1158"/>
      <c r="S143" s="1158"/>
      <c r="T143" s="1158"/>
      <c r="U143" s="1158"/>
      <c r="V143" s="1158"/>
      <c r="W143" s="1158"/>
      <c r="X143" s="1159"/>
      <c r="Y143" s="1159"/>
      <c r="Z143" s="1159"/>
      <c r="AA143" s="1159"/>
      <c r="AB143" s="1159"/>
      <c r="AC143" s="1159"/>
      <c r="AD143" s="1159"/>
      <c r="AE143" s="1159"/>
      <c r="AF143" s="1159"/>
      <c r="AH143" s="158"/>
      <c r="AI143" s="158"/>
      <c r="AJ143" s="158"/>
      <c r="AK143" s="158"/>
      <c r="AL143" s="158"/>
      <c r="AM143" s="158"/>
      <c r="AN143" s="158"/>
      <c r="AO143" s="158"/>
    </row>
    <row r="144" spans="2:44">
      <c r="B144" s="1158"/>
      <c r="C144" s="1158"/>
      <c r="D144" s="1157"/>
      <c r="E144" s="1158"/>
      <c r="F144" s="1158"/>
      <c r="G144" s="1158"/>
      <c r="H144" s="1158"/>
      <c r="I144" s="1158"/>
      <c r="J144" s="1158"/>
      <c r="K144" s="1158"/>
      <c r="L144" s="1158"/>
      <c r="M144" s="1158"/>
      <c r="N144" s="1158"/>
      <c r="O144" s="1158"/>
      <c r="P144" s="1158"/>
      <c r="Q144" s="1158"/>
      <c r="R144" s="1158"/>
      <c r="S144" s="1158"/>
      <c r="T144" s="1158"/>
      <c r="U144" s="1158"/>
      <c r="V144" s="1158"/>
      <c r="W144" s="1158"/>
      <c r="X144" s="1159"/>
      <c r="Y144" s="1159"/>
      <c r="Z144" s="1159"/>
      <c r="AA144" s="1159"/>
      <c r="AB144" s="1159"/>
      <c r="AC144" s="1159"/>
      <c r="AD144" s="1159"/>
      <c r="AE144" s="1159"/>
      <c r="AF144" s="1159"/>
      <c r="AH144" s="158"/>
      <c r="AI144" s="158"/>
      <c r="AJ144" s="158"/>
      <c r="AK144" s="158"/>
      <c r="AL144" s="158"/>
      <c r="AM144" s="158"/>
      <c r="AN144" s="158"/>
      <c r="AO144" s="158"/>
    </row>
    <row r="145" spans="2:33" s="158" customFormat="1">
      <c r="B145" s="1157"/>
      <c r="C145" s="1157"/>
      <c r="D145" s="1157"/>
      <c r="E145" s="1158"/>
      <c r="F145" s="1158"/>
      <c r="G145" s="1158"/>
      <c r="H145" s="1158"/>
      <c r="I145" s="1158"/>
      <c r="J145" s="1158"/>
      <c r="K145" s="1158"/>
      <c r="L145" s="1158"/>
      <c r="M145" s="1158"/>
      <c r="N145" s="1158"/>
      <c r="O145" s="1158"/>
      <c r="P145" s="1158"/>
      <c r="Q145" s="1158"/>
      <c r="R145" s="1158"/>
      <c r="S145" s="1158"/>
      <c r="T145" s="1158"/>
      <c r="U145" s="1158"/>
      <c r="V145" s="1158"/>
      <c r="W145" s="1158"/>
      <c r="X145" s="1159"/>
      <c r="Y145" s="1159"/>
      <c r="Z145" s="1159"/>
      <c r="AA145" s="1159"/>
      <c r="AB145" s="1159"/>
      <c r="AC145" s="1159"/>
      <c r="AD145" s="1159"/>
      <c r="AE145" s="1159"/>
      <c r="AF145" s="1159"/>
      <c r="AG145" s="276"/>
    </row>
  </sheetData>
  <mergeCells count="11">
    <mergeCell ref="B15:AR15"/>
    <mergeCell ref="B119:C119"/>
    <mergeCell ref="B120:C120"/>
    <mergeCell ref="C126:D126"/>
    <mergeCell ref="C130:D130"/>
    <mergeCell ref="B134:AF134"/>
    <mergeCell ref="B135:AF135"/>
    <mergeCell ref="B48:Z48"/>
    <mergeCell ref="B49:Z49"/>
    <mergeCell ref="B55:Z55"/>
    <mergeCell ref="B87:AF87"/>
  </mergeCells>
  <pageMargins left="0.70866141732283472" right="0.70866141732283472" top="0.74803149606299213" bottom="0.74803149606299213" header="0.31496062992125984" footer="0.31496062992125984"/>
  <pageSetup paperSize="9" scale="35"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761FE-EA7B-471D-A104-B5ABB8E5DF60}">
  <sheetPr>
    <pageSetUpPr fitToPage="1"/>
  </sheetPr>
  <dimension ref="A1:AY203"/>
  <sheetViews>
    <sheetView topLeftCell="B15" zoomScale="80" zoomScaleNormal="80" workbookViewId="0">
      <selection activeCell="B15" sqref="B15:AR155"/>
    </sheetView>
  </sheetViews>
  <sheetFormatPr defaultColWidth="2.88671875" defaultRowHeight="12.75" outlineLevelRow="1" outlineLevelCol="1"/>
  <cols>
    <col min="1" max="1" width="2.5546875" style="1164" hidden="1" customWidth="1"/>
    <col min="2" max="2" width="40.109375" style="1164" customWidth="1"/>
    <col min="3" max="3" width="28.88671875" style="1164" customWidth="1"/>
    <col min="4" max="8" width="1.21875" style="1164" customWidth="1"/>
    <col min="9" max="17" width="2.88671875" style="1164" hidden="1" customWidth="1"/>
    <col min="18" max="23" width="6.21875" style="1164" hidden="1" customWidth="1"/>
    <col min="24" max="32" width="6.21875" style="1180" hidden="1" customWidth="1" outlineLevel="1"/>
    <col min="33" max="33" width="9.88671875" style="1164" customWidth="1" collapsed="1"/>
    <col min="34" max="35" width="9.88671875" style="1164" customWidth="1"/>
    <col min="36" max="36" width="9.88671875" style="1191" customWidth="1"/>
    <col min="37" max="43" width="9.88671875" style="1164" customWidth="1"/>
    <col min="44" max="44" width="8.21875" style="1164" customWidth="1"/>
    <col min="45" max="16384" width="2.88671875" style="1164"/>
  </cols>
  <sheetData>
    <row r="1" spans="1:51" ht="15" hidden="1" outlineLevel="1">
      <c r="A1" s="158"/>
      <c r="B1" s="158" t="s">
        <v>1907</v>
      </c>
      <c r="C1" s="158"/>
      <c r="D1" s="158"/>
      <c r="E1" s="158"/>
      <c r="F1" s="158"/>
      <c r="G1" s="158"/>
      <c r="H1" s="158"/>
      <c r="I1" s="158"/>
      <c r="J1" s="158"/>
      <c r="K1" s="158"/>
      <c r="L1" s="158"/>
      <c r="M1" s="158"/>
      <c r="N1" s="158"/>
      <c r="O1" s="158"/>
      <c r="P1" s="158"/>
      <c r="Q1" s="158"/>
      <c r="R1" s="158"/>
      <c r="S1" s="158"/>
      <c r="T1" s="158"/>
      <c r="U1" s="158"/>
      <c r="V1" s="158"/>
      <c r="W1" s="158"/>
      <c r="X1" s="276"/>
      <c r="Y1" s="276"/>
      <c r="Z1" s="276"/>
      <c r="AA1" s="276"/>
      <c r="AB1" s="276"/>
      <c r="AC1" s="276"/>
      <c r="AD1" s="276"/>
      <c r="AE1" s="276"/>
      <c r="AF1" s="276"/>
      <c r="AG1" s="276"/>
      <c r="AH1" s="276"/>
      <c r="AI1" s="276"/>
      <c r="AJ1" s="276"/>
      <c r="AK1" s="276"/>
      <c r="AL1" s="158"/>
      <c r="AM1" s="158"/>
      <c r="AN1" s="158"/>
      <c r="AO1" s="158"/>
      <c r="AP1" s="158"/>
      <c r="AQ1" s="843"/>
      <c r="AR1" s="843"/>
      <c r="AS1" s="843"/>
      <c r="AT1" s="843"/>
      <c r="AU1" s="843"/>
      <c r="AV1" s="843"/>
      <c r="AW1" s="843"/>
      <c r="AX1" s="843"/>
      <c r="AY1" s="843"/>
    </row>
    <row r="2" spans="1:51" ht="15" hidden="1" outlineLevel="1">
      <c r="A2" s="158"/>
      <c r="B2" s="158"/>
      <c r="C2" s="158"/>
      <c r="D2" s="158"/>
      <c r="E2" s="158"/>
      <c r="F2" s="158"/>
      <c r="G2" s="158"/>
      <c r="H2" s="158"/>
      <c r="I2" s="158"/>
      <c r="J2" s="158"/>
      <c r="K2" s="158"/>
      <c r="L2" s="158"/>
      <c r="M2" s="158"/>
      <c r="N2" s="158"/>
      <c r="O2" s="158"/>
      <c r="P2" s="158"/>
      <c r="Q2" s="158"/>
      <c r="R2" s="158"/>
      <c r="S2" s="158"/>
      <c r="T2" s="158"/>
      <c r="U2" s="158"/>
      <c r="V2" s="158"/>
      <c r="W2" s="158"/>
      <c r="X2" s="276"/>
      <c r="Y2" s="276"/>
      <c r="Z2" s="276"/>
      <c r="AA2" s="276"/>
      <c r="AB2" s="276"/>
      <c r="AC2" s="276"/>
      <c r="AD2" s="276"/>
      <c r="AE2" s="276"/>
      <c r="AF2" s="276"/>
      <c r="AG2" s="276"/>
      <c r="AH2" s="276"/>
      <c r="AI2" s="276"/>
      <c r="AJ2" s="276"/>
      <c r="AK2" s="276"/>
      <c r="AL2" s="158"/>
      <c r="AM2" s="158"/>
      <c r="AN2" s="158"/>
      <c r="AO2" s="158"/>
      <c r="AP2" s="158"/>
      <c r="AQ2" s="843"/>
      <c r="AR2" s="843"/>
      <c r="AS2" s="843"/>
      <c r="AT2" s="843"/>
      <c r="AU2" s="843"/>
      <c r="AV2" s="843"/>
      <c r="AW2" s="843"/>
      <c r="AX2" s="843"/>
      <c r="AY2" s="843"/>
    </row>
    <row r="3" spans="1:51" ht="15" hidden="1" outlineLevel="1">
      <c r="A3" s="158"/>
      <c r="B3" s="158"/>
      <c r="C3" s="158"/>
      <c r="D3" s="158"/>
      <c r="E3" s="158"/>
      <c r="F3" s="158"/>
      <c r="G3" s="158"/>
      <c r="H3" s="158"/>
      <c r="I3" s="158"/>
      <c r="J3" s="158"/>
      <c r="K3" s="158"/>
      <c r="L3" s="158"/>
      <c r="M3" s="158"/>
      <c r="N3" s="158"/>
      <c r="O3" s="158"/>
      <c r="P3" s="158"/>
      <c r="Q3" s="158"/>
      <c r="R3" s="158"/>
      <c r="S3" s="158"/>
      <c r="T3" s="158"/>
      <c r="U3" s="158"/>
      <c r="V3" s="158"/>
      <c r="W3" s="158"/>
      <c r="X3" s="276"/>
      <c r="Y3" s="276"/>
      <c r="Z3" s="276"/>
      <c r="AA3" s="276"/>
      <c r="AB3" s="276"/>
      <c r="AC3" s="276"/>
      <c r="AD3" s="276"/>
      <c r="AE3" s="276"/>
      <c r="AF3" s="276"/>
      <c r="AG3" s="276"/>
      <c r="AH3" s="276"/>
      <c r="AI3" s="276"/>
      <c r="AJ3" s="276"/>
      <c r="AK3" s="276"/>
      <c r="AL3" s="158"/>
      <c r="AM3" s="158"/>
      <c r="AN3" s="158"/>
      <c r="AO3" s="158"/>
      <c r="AP3" s="158"/>
      <c r="AQ3" s="843"/>
      <c r="AR3" s="843"/>
      <c r="AS3" s="843"/>
      <c r="AT3" s="843"/>
      <c r="AU3" s="843"/>
      <c r="AV3" s="843"/>
      <c r="AW3" s="843"/>
      <c r="AX3" s="843"/>
      <c r="AY3" s="843"/>
    </row>
    <row r="4" spans="1:51" ht="15" hidden="1" outlineLevel="1">
      <c r="A4" s="158"/>
      <c r="B4" s="158" t="s">
        <v>1842</v>
      </c>
      <c r="C4" s="158"/>
      <c r="D4" s="158"/>
      <c r="E4" s="158"/>
      <c r="F4" s="158"/>
      <c r="G4" s="158"/>
      <c r="H4" s="158"/>
      <c r="I4" s="158"/>
      <c r="J4" s="158"/>
      <c r="K4" s="158"/>
      <c r="L4" s="158"/>
      <c r="M4" s="158"/>
      <c r="N4" s="158"/>
      <c r="O4" s="158"/>
      <c r="P4" s="158"/>
      <c r="Q4" s="158"/>
      <c r="R4" s="559">
        <v>1995</v>
      </c>
      <c r="S4" s="559">
        <v>1996</v>
      </c>
      <c r="T4" s="559">
        <v>1997</v>
      </c>
      <c r="U4" s="559">
        <v>1998</v>
      </c>
      <c r="V4" s="559">
        <v>1999</v>
      </c>
      <c r="W4" s="559">
        <v>2000</v>
      </c>
      <c r="X4" s="1121">
        <v>2001</v>
      </c>
      <c r="Y4" s="1121">
        <v>2002</v>
      </c>
      <c r="Z4" s="1121">
        <v>2003</v>
      </c>
      <c r="AA4" s="1121">
        <v>2004</v>
      </c>
      <c r="AB4" s="1121">
        <v>2005</v>
      </c>
      <c r="AC4" s="1121">
        <v>2006</v>
      </c>
      <c r="AD4" s="1121">
        <v>2007</v>
      </c>
      <c r="AE4" s="1121">
        <v>2008</v>
      </c>
      <c r="AF4" s="1121">
        <v>2009</v>
      </c>
      <c r="AG4" s="1121">
        <v>2010</v>
      </c>
      <c r="AH4" s="1121">
        <v>2011</v>
      </c>
      <c r="AI4" s="1121">
        <v>2012</v>
      </c>
      <c r="AJ4" s="1121">
        <v>2013</v>
      </c>
      <c r="AK4" s="1121">
        <v>2014</v>
      </c>
      <c r="AL4" s="1121">
        <v>2015</v>
      </c>
      <c r="AM4" s="1121">
        <v>2016</v>
      </c>
      <c r="AN4" s="1121">
        <v>2017</v>
      </c>
      <c r="AO4" s="1121">
        <v>2018</v>
      </c>
      <c r="AP4" s="1121">
        <v>2019</v>
      </c>
      <c r="AQ4" s="1121">
        <v>2020</v>
      </c>
      <c r="AR4" s="843"/>
      <c r="AS4" s="843"/>
      <c r="AT4" s="843"/>
      <c r="AU4" s="843"/>
      <c r="AV4" s="843"/>
      <c r="AW4" s="843"/>
      <c r="AX4" s="843"/>
      <c r="AY4" s="843"/>
    </row>
    <row r="5" spans="1:51" ht="15" hidden="1" outlineLevel="1">
      <c r="A5" s="158"/>
      <c r="B5" s="158"/>
      <c r="C5" s="158"/>
      <c r="D5" s="158"/>
      <c r="E5" s="158"/>
      <c r="F5" s="158"/>
      <c r="G5" s="158"/>
      <c r="H5" s="158"/>
      <c r="I5" s="158"/>
      <c r="J5" s="158"/>
      <c r="K5" s="158"/>
      <c r="L5" s="158"/>
      <c r="M5" s="158"/>
      <c r="N5" s="158"/>
      <c r="O5" s="158"/>
      <c r="P5" s="158"/>
      <c r="Q5" s="158"/>
      <c r="R5" s="158"/>
      <c r="S5" s="158"/>
      <c r="T5" s="158"/>
      <c r="U5" s="158"/>
      <c r="V5" s="158"/>
      <c r="W5" s="158"/>
      <c r="X5" s="276"/>
      <c r="Y5" s="276"/>
      <c r="Z5" s="276"/>
      <c r="AA5" s="276"/>
      <c r="AB5" s="276"/>
      <c r="AC5" s="276"/>
      <c r="AD5" s="276"/>
      <c r="AE5" s="276"/>
      <c r="AF5" s="276"/>
      <c r="AG5" s="276"/>
      <c r="AH5" s="276"/>
      <c r="AI5" s="276"/>
      <c r="AJ5" s="276"/>
      <c r="AK5" s="276"/>
      <c r="AL5" s="158"/>
      <c r="AM5" s="158"/>
      <c r="AN5" s="158"/>
      <c r="AO5" s="158"/>
      <c r="AP5" s="158"/>
      <c r="AQ5" s="843"/>
      <c r="AR5" s="843"/>
      <c r="AS5" s="843"/>
      <c r="AT5" s="843"/>
      <c r="AU5" s="843"/>
      <c r="AV5" s="843"/>
      <c r="AW5" s="843"/>
      <c r="AX5" s="843"/>
      <c r="AY5" s="843"/>
    </row>
    <row r="6" spans="1:51" ht="15" hidden="1" outlineLevel="1">
      <c r="A6" s="311" t="s">
        <v>2</v>
      </c>
      <c r="B6" s="158" t="s">
        <v>3</v>
      </c>
      <c r="C6" s="158"/>
      <c r="D6" s="158"/>
      <c r="E6" s="158"/>
      <c r="F6" s="158"/>
      <c r="G6" s="158"/>
      <c r="H6" s="158"/>
      <c r="I6" s="158"/>
      <c r="J6" s="158"/>
      <c r="K6" s="158"/>
      <c r="L6" s="158"/>
      <c r="M6" s="158"/>
      <c r="N6" s="158"/>
      <c r="O6" s="158"/>
      <c r="P6" s="158"/>
      <c r="Q6" s="158"/>
      <c r="R6" s="1165">
        <f t="shared" ref="R6:AQ6" si="0">R94</f>
        <v>0</v>
      </c>
      <c r="S6" s="1165">
        <f t="shared" si="0"/>
        <v>0</v>
      </c>
      <c r="T6" s="1165">
        <f t="shared" si="0"/>
        <v>0</v>
      </c>
      <c r="U6" s="1165">
        <f t="shared" si="0"/>
        <v>0</v>
      </c>
      <c r="V6" s="1165">
        <f t="shared" si="0"/>
        <v>0</v>
      </c>
      <c r="W6" s="1165">
        <f t="shared" si="0"/>
        <v>0</v>
      </c>
      <c r="X6" s="1165">
        <f t="shared" si="0"/>
        <v>0</v>
      </c>
      <c r="Y6" s="1165">
        <f t="shared" si="0"/>
        <v>0</v>
      </c>
      <c r="Z6" s="1165">
        <f t="shared" si="0"/>
        <v>0</v>
      </c>
      <c r="AA6" s="1165">
        <f t="shared" si="0"/>
        <v>0</v>
      </c>
      <c r="AB6" s="1165">
        <f t="shared" si="0"/>
        <v>0</v>
      </c>
      <c r="AC6" s="1165">
        <f t="shared" si="0"/>
        <v>0</v>
      </c>
      <c r="AD6" s="1165">
        <f t="shared" si="0"/>
        <v>0</v>
      </c>
      <c r="AE6" s="1165">
        <f t="shared" si="0"/>
        <v>0</v>
      </c>
      <c r="AF6" s="1165">
        <f t="shared" si="0"/>
        <v>0</v>
      </c>
      <c r="AG6" s="1165">
        <f t="shared" si="0"/>
        <v>0</v>
      </c>
      <c r="AH6" s="1165">
        <f t="shared" si="0"/>
        <v>0</v>
      </c>
      <c r="AI6" s="1165">
        <f t="shared" si="0"/>
        <v>0</v>
      </c>
      <c r="AJ6" s="1165">
        <f t="shared" si="0"/>
        <v>0</v>
      </c>
      <c r="AK6" s="1165">
        <f t="shared" si="0"/>
        <v>0</v>
      </c>
      <c r="AL6" s="1165">
        <f t="shared" si="0"/>
        <v>0</v>
      </c>
      <c r="AM6" s="1165">
        <f t="shared" si="0"/>
        <v>0</v>
      </c>
      <c r="AN6" s="1165">
        <f t="shared" si="0"/>
        <v>0</v>
      </c>
      <c r="AO6" s="1165">
        <f t="shared" si="0"/>
        <v>0</v>
      </c>
      <c r="AP6" s="1165">
        <f t="shared" si="0"/>
        <v>0</v>
      </c>
      <c r="AQ6" s="1165">
        <f t="shared" si="0"/>
        <v>0</v>
      </c>
      <c r="AR6" s="843"/>
      <c r="AS6" s="843"/>
      <c r="AT6" s="843"/>
      <c r="AU6" s="843"/>
      <c r="AV6" s="843"/>
      <c r="AW6" s="843"/>
      <c r="AX6" s="843"/>
      <c r="AY6" s="843"/>
    </row>
    <row r="7" spans="1:51" ht="15" hidden="1" outlineLevel="1">
      <c r="A7" s="311" t="s">
        <v>4</v>
      </c>
      <c r="B7" s="158" t="s">
        <v>5</v>
      </c>
      <c r="C7" s="158"/>
      <c r="D7" s="158"/>
      <c r="E7" s="158"/>
      <c r="F7" s="158"/>
      <c r="G7" s="158"/>
      <c r="H7" s="158"/>
      <c r="I7" s="158"/>
      <c r="J7" s="158"/>
      <c r="K7" s="158"/>
      <c r="L7" s="158"/>
      <c r="M7" s="158"/>
      <c r="N7" s="158"/>
      <c r="O7" s="158"/>
      <c r="P7" s="158"/>
      <c r="Q7" s="158"/>
      <c r="R7" s="1118">
        <f t="shared" ref="R7:AN7" si="1">R94</f>
        <v>0</v>
      </c>
      <c r="S7" s="1118">
        <f t="shared" si="1"/>
        <v>0</v>
      </c>
      <c r="T7" s="1118">
        <f t="shared" si="1"/>
        <v>0</v>
      </c>
      <c r="U7" s="1118">
        <f t="shared" si="1"/>
        <v>0</v>
      </c>
      <c r="V7" s="1118">
        <f t="shared" si="1"/>
        <v>0</v>
      </c>
      <c r="W7" s="1118">
        <f t="shared" si="1"/>
        <v>0</v>
      </c>
      <c r="X7" s="1118">
        <f t="shared" si="1"/>
        <v>0</v>
      </c>
      <c r="Y7" s="1118">
        <f t="shared" si="1"/>
        <v>0</v>
      </c>
      <c r="Z7" s="1118">
        <f t="shared" si="1"/>
        <v>0</v>
      </c>
      <c r="AA7" s="1118">
        <f t="shared" si="1"/>
        <v>0</v>
      </c>
      <c r="AB7" s="1118">
        <f t="shared" si="1"/>
        <v>0</v>
      </c>
      <c r="AC7" s="1118">
        <f t="shared" si="1"/>
        <v>0</v>
      </c>
      <c r="AD7" s="1118">
        <f t="shared" si="1"/>
        <v>0</v>
      </c>
      <c r="AE7" s="1118">
        <f t="shared" si="1"/>
        <v>0</v>
      </c>
      <c r="AF7" s="1118">
        <f t="shared" si="1"/>
        <v>0</v>
      </c>
      <c r="AG7" s="1118">
        <f t="shared" si="1"/>
        <v>0</v>
      </c>
      <c r="AH7" s="1118">
        <f t="shared" si="1"/>
        <v>0</v>
      </c>
      <c r="AI7" s="1118">
        <f t="shared" si="1"/>
        <v>0</v>
      </c>
      <c r="AJ7" s="1118">
        <f t="shared" si="1"/>
        <v>0</v>
      </c>
      <c r="AK7" s="1118">
        <f t="shared" si="1"/>
        <v>0</v>
      </c>
      <c r="AL7" s="1118">
        <f t="shared" si="1"/>
        <v>0</v>
      </c>
      <c r="AM7" s="1118">
        <f t="shared" si="1"/>
        <v>0</v>
      </c>
      <c r="AN7" s="1118">
        <f t="shared" si="1"/>
        <v>0</v>
      </c>
      <c r="AO7" s="1118">
        <f>AO110</f>
        <v>0</v>
      </c>
      <c r="AP7" s="1118">
        <f>AP110</f>
        <v>0</v>
      </c>
      <c r="AQ7" s="1118">
        <f>AQ110</f>
        <v>0</v>
      </c>
      <c r="AR7" s="843"/>
      <c r="AS7" s="843"/>
      <c r="AT7" s="843"/>
      <c r="AU7" s="843"/>
      <c r="AV7" s="843"/>
      <c r="AW7" s="843"/>
      <c r="AX7" s="843"/>
      <c r="AY7" s="843"/>
    </row>
    <row r="8" spans="1:51" ht="15" hidden="1" outlineLevel="1">
      <c r="A8" s="311" t="s">
        <v>6</v>
      </c>
      <c r="B8" s="158"/>
      <c r="C8" s="158"/>
      <c r="D8" s="158"/>
      <c r="E8" s="158"/>
      <c r="F8" s="158"/>
      <c r="G8" s="158"/>
      <c r="H8" s="158"/>
      <c r="I8" s="158"/>
      <c r="J8" s="158"/>
      <c r="K8" s="158"/>
      <c r="L8" s="158"/>
      <c r="M8" s="158"/>
      <c r="N8" s="158"/>
      <c r="O8" s="158"/>
      <c r="P8" s="158"/>
      <c r="Q8" s="158"/>
      <c r="R8" s="282">
        <f t="shared" ref="R8:AQ8" si="2">R6+R7</f>
        <v>0</v>
      </c>
      <c r="S8" s="282">
        <f t="shared" si="2"/>
        <v>0</v>
      </c>
      <c r="T8" s="282">
        <f t="shared" si="2"/>
        <v>0</v>
      </c>
      <c r="U8" s="282">
        <f t="shared" si="2"/>
        <v>0</v>
      </c>
      <c r="V8" s="282">
        <f t="shared" si="2"/>
        <v>0</v>
      </c>
      <c r="W8" s="282">
        <f t="shared" si="2"/>
        <v>0</v>
      </c>
      <c r="X8" s="282">
        <f t="shared" si="2"/>
        <v>0</v>
      </c>
      <c r="Y8" s="282">
        <f t="shared" si="2"/>
        <v>0</v>
      </c>
      <c r="Z8" s="282">
        <f t="shared" si="2"/>
        <v>0</v>
      </c>
      <c r="AA8" s="282">
        <f t="shared" si="2"/>
        <v>0</v>
      </c>
      <c r="AB8" s="282">
        <f t="shared" si="2"/>
        <v>0</v>
      </c>
      <c r="AC8" s="282">
        <f t="shared" si="2"/>
        <v>0</v>
      </c>
      <c r="AD8" s="282">
        <f t="shared" si="2"/>
        <v>0</v>
      </c>
      <c r="AE8" s="282">
        <f t="shared" si="2"/>
        <v>0</v>
      </c>
      <c r="AF8" s="282">
        <f t="shared" si="2"/>
        <v>0</v>
      </c>
      <c r="AG8" s="282">
        <f t="shared" si="2"/>
        <v>0</v>
      </c>
      <c r="AH8" s="282">
        <f t="shared" si="2"/>
        <v>0</v>
      </c>
      <c r="AI8" s="282">
        <f t="shared" si="2"/>
        <v>0</v>
      </c>
      <c r="AJ8" s="282">
        <f t="shared" si="2"/>
        <v>0</v>
      </c>
      <c r="AK8" s="282">
        <f t="shared" si="2"/>
        <v>0</v>
      </c>
      <c r="AL8" s="282">
        <f t="shared" si="2"/>
        <v>0</v>
      </c>
      <c r="AM8" s="282">
        <f t="shared" si="2"/>
        <v>0</v>
      </c>
      <c r="AN8" s="282">
        <f t="shared" si="2"/>
        <v>0</v>
      </c>
      <c r="AO8" s="282">
        <f>AO6+AO7</f>
        <v>0</v>
      </c>
      <c r="AP8" s="282">
        <f t="shared" si="2"/>
        <v>0</v>
      </c>
      <c r="AQ8" s="282">
        <f t="shared" si="2"/>
        <v>0</v>
      </c>
      <c r="AR8" s="843"/>
      <c r="AS8" s="843"/>
      <c r="AT8" s="843"/>
      <c r="AU8" s="843"/>
      <c r="AV8" s="843"/>
      <c r="AW8" s="843"/>
      <c r="AX8" s="843"/>
      <c r="AY8" s="843"/>
    </row>
    <row r="9" spans="1:51" ht="15" hidden="1" outlineLevel="1">
      <c r="A9" s="311"/>
      <c r="B9" s="158"/>
      <c r="C9" s="158"/>
      <c r="D9" s="158"/>
      <c r="E9" s="158"/>
      <c r="F9" s="158"/>
      <c r="G9" s="158"/>
      <c r="H9" s="158"/>
      <c r="I9" s="158"/>
      <c r="J9" s="158"/>
      <c r="K9" s="158"/>
      <c r="L9" s="158"/>
      <c r="M9" s="158"/>
      <c r="N9" s="158"/>
      <c r="O9" s="158"/>
      <c r="P9" s="158"/>
      <c r="Q9" s="158"/>
      <c r="R9" s="282"/>
      <c r="S9" s="282"/>
      <c r="T9" s="282"/>
      <c r="U9" s="282"/>
      <c r="V9" s="282"/>
      <c r="W9" s="282"/>
      <c r="X9" s="278"/>
      <c r="Y9" s="278"/>
      <c r="Z9" s="278"/>
      <c r="AA9" s="278"/>
      <c r="AB9" s="278"/>
      <c r="AC9" s="278"/>
      <c r="AD9" s="278"/>
      <c r="AE9" s="278"/>
      <c r="AF9" s="285"/>
      <c r="AG9" s="285"/>
      <c r="AH9" s="285"/>
      <c r="AI9" s="285"/>
      <c r="AJ9" s="285"/>
      <c r="AK9" s="285"/>
      <c r="AL9" s="285"/>
      <c r="AM9" s="285"/>
      <c r="AN9" s="285"/>
      <c r="AO9" s="285"/>
      <c r="AP9" s="285"/>
      <c r="AQ9" s="285"/>
      <c r="AR9" s="843"/>
      <c r="AS9" s="843"/>
      <c r="AT9" s="843"/>
      <c r="AU9" s="843"/>
      <c r="AV9" s="843"/>
      <c r="AW9" s="843"/>
      <c r="AX9" s="843"/>
      <c r="AY9" s="843"/>
    </row>
    <row r="10" spans="1:51" ht="15" hidden="1" outlineLevel="1">
      <c r="A10" s="311"/>
      <c r="B10" s="158" t="s">
        <v>7</v>
      </c>
      <c r="C10" s="158"/>
      <c r="D10" s="158"/>
      <c r="E10" s="158"/>
      <c r="F10" s="158"/>
      <c r="G10" s="158"/>
      <c r="H10" s="158"/>
      <c r="I10" s="158"/>
      <c r="J10" s="158"/>
      <c r="K10" s="158"/>
      <c r="L10" s="158"/>
      <c r="M10" s="158"/>
      <c r="N10" s="158"/>
      <c r="O10" s="158"/>
      <c r="P10" s="158"/>
      <c r="Q10" s="158"/>
      <c r="R10" s="282"/>
      <c r="S10" s="282"/>
      <c r="T10" s="282"/>
      <c r="U10" s="282"/>
      <c r="V10" s="282"/>
      <c r="W10" s="282"/>
      <c r="X10" s="282"/>
      <c r="Y10" s="282"/>
      <c r="Z10" s="282"/>
      <c r="AA10" s="282"/>
      <c r="AB10" s="282"/>
      <c r="AC10" s="282"/>
      <c r="AD10" s="282"/>
      <c r="AE10" s="282"/>
      <c r="AF10" s="282"/>
      <c r="AG10" s="282"/>
      <c r="AH10" s="282"/>
      <c r="AI10" s="282"/>
      <c r="AJ10" s="282"/>
      <c r="AK10" s="282"/>
      <c r="AL10" s="282">
        <f t="shared" ref="AL10:AQ10" si="3">AL113</f>
        <v>0</v>
      </c>
      <c r="AM10" s="282">
        <f t="shared" si="3"/>
        <v>0</v>
      </c>
      <c r="AN10" s="282">
        <f t="shared" si="3"/>
        <v>0</v>
      </c>
      <c r="AO10" s="282">
        <f t="shared" si="3"/>
        <v>0</v>
      </c>
      <c r="AP10" s="282">
        <f t="shared" si="3"/>
        <v>0</v>
      </c>
      <c r="AQ10" s="282">
        <f t="shared" si="3"/>
        <v>0</v>
      </c>
      <c r="AR10" s="843"/>
      <c r="AS10" s="843"/>
      <c r="AT10" s="843"/>
      <c r="AU10" s="843"/>
      <c r="AV10" s="843"/>
      <c r="AW10" s="843"/>
      <c r="AX10" s="843"/>
      <c r="AY10" s="843"/>
    </row>
    <row r="11" spans="1:51" ht="15" hidden="1" outlineLevel="1">
      <c r="A11" s="311"/>
      <c r="B11" s="158"/>
      <c r="C11" s="158"/>
      <c r="D11" s="158"/>
      <c r="E11" s="158"/>
      <c r="F11" s="158"/>
      <c r="G11" s="158"/>
      <c r="H11" s="158"/>
      <c r="I11" s="158"/>
      <c r="J11" s="158"/>
      <c r="K11" s="158"/>
      <c r="L11" s="158"/>
      <c r="M11" s="158"/>
      <c r="N11" s="158"/>
      <c r="O11" s="158"/>
      <c r="P11" s="158"/>
      <c r="Q11" s="158"/>
      <c r="R11" s="282"/>
      <c r="S11" s="282"/>
      <c r="T11" s="282"/>
      <c r="U11" s="282"/>
      <c r="V11" s="282"/>
      <c r="W11" s="282"/>
      <c r="X11" s="278"/>
      <c r="Y11" s="278"/>
      <c r="Z11" s="278"/>
      <c r="AA11" s="278"/>
      <c r="AB11" s="278"/>
      <c r="AC11" s="278"/>
      <c r="AD11" s="278"/>
      <c r="AE11" s="278"/>
      <c r="AF11" s="285"/>
      <c r="AG11" s="285"/>
      <c r="AH11" s="285"/>
      <c r="AI11" s="285"/>
      <c r="AJ11" s="285"/>
      <c r="AK11" s="285"/>
      <c r="AL11" s="285"/>
      <c r="AM11" s="285"/>
      <c r="AN11" s="285"/>
      <c r="AO11" s="285"/>
      <c r="AP11" s="285"/>
      <c r="AQ11" s="285"/>
      <c r="AR11" s="843"/>
      <c r="AS11" s="843"/>
      <c r="AT11" s="843"/>
      <c r="AU11" s="843"/>
      <c r="AV11" s="843"/>
      <c r="AW11" s="843"/>
      <c r="AX11" s="843"/>
      <c r="AY11" s="843"/>
    </row>
    <row r="12" spans="1:51" ht="15" hidden="1" outlineLevel="1">
      <c r="A12" s="158"/>
      <c r="B12" s="158" t="s">
        <v>8</v>
      </c>
      <c r="C12" s="158"/>
      <c r="D12" s="158"/>
      <c r="E12" s="158"/>
      <c r="F12" s="158"/>
      <c r="G12" s="158"/>
      <c r="H12" s="158"/>
      <c r="I12" s="158"/>
      <c r="J12" s="158"/>
      <c r="K12" s="158"/>
      <c r="L12" s="158"/>
      <c r="M12" s="158"/>
      <c r="N12" s="158"/>
      <c r="O12" s="158"/>
      <c r="P12" s="158"/>
      <c r="Q12" s="158"/>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f>AO96</f>
        <v>0</v>
      </c>
      <c r="AP12" s="282">
        <f>AP96</f>
        <v>0</v>
      </c>
      <c r="AQ12" s="282">
        <f>AQ96</f>
        <v>0</v>
      </c>
      <c r="AR12" s="843"/>
      <c r="AS12" s="843"/>
      <c r="AT12" s="843"/>
      <c r="AU12" s="843"/>
      <c r="AV12" s="843"/>
      <c r="AW12" s="843"/>
      <c r="AX12" s="843"/>
      <c r="AY12" s="843"/>
    </row>
    <row r="13" spans="1:51" ht="15" hidden="1" outlineLevel="1">
      <c r="A13" s="158"/>
      <c r="B13" s="158"/>
      <c r="C13" s="158"/>
      <c r="D13" s="158"/>
      <c r="E13" s="158"/>
      <c r="F13" s="158"/>
      <c r="G13" s="158"/>
      <c r="H13" s="158"/>
      <c r="I13" s="158"/>
      <c r="J13" s="158"/>
      <c r="K13" s="158"/>
      <c r="L13" s="158"/>
      <c r="M13" s="158"/>
      <c r="N13" s="158"/>
      <c r="O13" s="158"/>
      <c r="P13" s="158"/>
      <c r="Q13" s="158"/>
      <c r="R13" s="282"/>
      <c r="S13" s="282"/>
      <c r="T13" s="282"/>
      <c r="U13" s="282"/>
      <c r="V13" s="282"/>
      <c r="W13" s="282"/>
      <c r="X13" s="278"/>
      <c r="Y13" s="278"/>
      <c r="Z13" s="278"/>
      <c r="AA13" s="278"/>
      <c r="AB13" s="278"/>
      <c r="AC13" s="278"/>
      <c r="AD13" s="278"/>
      <c r="AE13" s="278"/>
      <c r="AF13" s="285"/>
      <c r="AG13" s="278"/>
      <c r="AH13" s="278"/>
      <c r="AI13" s="278"/>
      <c r="AJ13" s="278"/>
      <c r="AK13" s="278"/>
      <c r="AL13" s="278"/>
      <c r="AM13" s="278"/>
      <c r="AN13" s="158"/>
      <c r="AO13" s="158"/>
      <c r="AP13" s="158"/>
      <c r="AQ13" s="843"/>
      <c r="AR13" s="843"/>
      <c r="AS13" s="843"/>
      <c r="AT13" s="843"/>
      <c r="AU13" s="843"/>
      <c r="AV13" s="843"/>
      <c r="AW13" s="843"/>
      <c r="AX13" s="843"/>
      <c r="AY13" s="843"/>
    </row>
    <row r="14" spans="1:51" ht="45" hidden="1" customHeight="1" outlineLevel="1">
      <c r="A14" s="158"/>
      <c r="B14" s="158"/>
      <c r="C14" s="158"/>
      <c r="D14" s="158"/>
      <c r="E14" s="158"/>
      <c r="F14" s="158"/>
      <c r="G14" s="158"/>
      <c r="H14" s="158"/>
      <c r="I14" s="158"/>
      <c r="J14" s="158"/>
      <c r="K14" s="158"/>
      <c r="L14" s="158"/>
      <c r="M14" s="158"/>
      <c r="N14" s="158"/>
      <c r="O14" s="158"/>
      <c r="P14" s="158"/>
      <c r="Q14" s="158"/>
      <c r="R14" s="282"/>
      <c r="S14" s="282"/>
      <c r="T14" s="282"/>
      <c r="U14" s="282"/>
      <c r="V14" s="282"/>
      <c r="W14" s="282"/>
      <c r="X14" s="278"/>
      <c r="Y14" s="278"/>
      <c r="Z14" s="278"/>
      <c r="AA14" s="278"/>
      <c r="AB14" s="278"/>
      <c r="AC14" s="278"/>
      <c r="AD14" s="278"/>
      <c r="AE14" s="278"/>
      <c r="AF14" s="278"/>
      <c r="AG14" s="278"/>
      <c r="AH14" s="278"/>
      <c r="AI14" s="278"/>
      <c r="AJ14" s="278"/>
      <c r="AK14" s="278"/>
      <c r="AL14" s="282"/>
      <c r="AM14" s="158"/>
      <c r="AN14" s="158"/>
      <c r="AO14" s="158"/>
      <c r="AP14" s="158"/>
      <c r="AQ14" s="843"/>
      <c r="AR14" s="843"/>
      <c r="AS14" s="843"/>
      <c r="AT14" s="843"/>
      <c r="AU14" s="843"/>
      <c r="AV14" s="843"/>
      <c r="AW14" s="843"/>
      <c r="AX14" s="843"/>
      <c r="AY14" s="843"/>
    </row>
    <row r="15" spans="1:51" ht="37.5" customHeight="1" collapsed="1">
      <c r="A15" s="158"/>
      <c r="B15" s="1917" t="s">
        <v>1843</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37"/>
      <c r="AH15" s="1937"/>
      <c r="AI15" s="1937"/>
      <c r="AJ15" s="1937"/>
      <c r="AK15" s="1937"/>
      <c r="AL15" s="1937"/>
      <c r="AM15" s="1937"/>
      <c r="AN15" s="1937"/>
      <c r="AO15" s="1937"/>
      <c r="AP15" s="1937"/>
      <c r="AQ15" s="1937"/>
      <c r="AR15" s="1937"/>
      <c r="AS15" s="843"/>
      <c r="AT15" s="843"/>
      <c r="AU15" s="843"/>
      <c r="AV15" s="843"/>
      <c r="AW15" s="843"/>
      <c r="AX15" s="843"/>
      <c r="AY15" s="843"/>
    </row>
    <row r="16" spans="1:51" ht="15">
      <c r="A16" s="158"/>
      <c r="B16" s="158"/>
      <c r="C16" s="158"/>
      <c r="D16" s="158"/>
      <c r="E16" s="158"/>
      <c r="F16" s="158"/>
      <c r="G16" s="158"/>
      <c r="H16" s="158"/>
      <c r="I16" s="158"/>
      <c r="J16" s="158"/>
      <c r="K16" s="158"/>
      <c r="L16" s="158"/>
      <c r="M16" s="158"/>
      <c r="N16" s="158"/>
      <c r="O16" s="283"/>
      <c r="P16" s="283"/>
      <c r="Q16" s="283"/>
      <c r="R16" s="283"/>
      <c r="S16" s="283"/>
      <c r="T16" s="283"/>
      <c r="U16" s="283"/>
      <c r="V16" s="283"/>
      <c r="W16" s="283"/>
      <c r="X16" s="284"/>
      <c r="Y16" s="285"/>
      <c r="Z16" s="285"/>
      <c r="AA16" s="285"/>
      <c r="AB16" s="285"/>
      <c r="AC16" s="285"/>
      <c r="AD16" s="285"/>
      <c r="AE16" s="285"/>
      <c r="AF16" s="285"/>
      <c r="AG16" s="278"/>
      <c r="AH16" s="278"/>
      <c r="AI16" s="278"/>
      <c r="AJ16" s="278"/>
      <c r="AK16" s="278"/>
      <c r="AL16" s="282"/>
      <c r="AM16" s="158"/>
      <c r="AN16" s="158"/>
      <c r="AO16" s="158"/>
      <c r="AP16" s="158"/>
      <c r="AQ16" s="843"/>
      <c r="AR16" s="843"/>
      <c r="AS16" s="843"/>
      <c r="AT16" s="843"/>
      <c r="AU16" s="843"/>
      <c r="AV16" s="843"/>
      <c r="AW16" s="843"/>
      <c r="AX16" s="843"/>
      <c r="AY16" s="843"/>
    </row>
    <row r="17" spans="1:51" ht="15">
      <c r="A17" s="158"/>
      <c r="B17" s="294" t="s">
        <v>1907</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78"/>
      <c r="AH17" s="278"/>
      <c r="AI17" s="278"/>
      <c r="AJ17" s="278"/>
      <c r="AK17" s="278"/>
      <c r="AL17" s="282"/>
      <c r="AM17" s="158"/>
      <c r="AN17" s="158"/>
      <c r="AO17" s="158"/>
      <c r="AP17" s="158"/>
      <c r="AQ17" s="843"/>
      <c r="AR17" s="843"/>
      <c r="AS17" s="843"/>
      <c r="AT17" s="843"/>
      <c r="AU17" s="843"/>
      <c r="AV17" s="843"/>
      <c r="AW17" s="843"/>
      <c r="AX17" s="843"/>
      <c r="AY17" s="843"/>
    </row>
    <row r="18" spans="1:51" ht="15">
      <c r="A18" s="158"/>
      <c r="B18" s="158"/>
      <c r="C18" s="158"/>
      <c r="D18" s="158"/>
      <c r="E18" s="158"/>
      <c r="F18" s="158"/>
      <c r="G18" s="158"/>
      <c r="H18" s="158"/>
      <c r="I18" s="158"/>
      <c r="J18" s="158"/>
      <c r="K18" s="158"/>
      <c r="L18" s="158"/>
      <c r="M18" s="158"/>
      <c r="N18" s="158"/>
      <c r="O18" s="283"/>
      <c r="P18" s="283"/>
      <c r="Q18" s="283"/>
      <c r="R18" s="283"/>
      <c r="S18" s="283"/>
      <c r="T18" s="283"/>
      <c r="U18" s="283"/>
      <c r="V18" s="283"/>
      <c r="W18" s="283"/>
      <c r="X18" s="284"/>
      <c r="Y18" s="285"/>
      <c r="Z18" s="285"/>
      <c r="AA18" s="285"/>
      <c r="AB18" s="285"/>
      <c r="AC18" s="285"/>
      <c r="AD18" s="285"/>
      <c r="AE18" s="285"/>
      <c r="AF18" s="285"/>
      <c r="AG18" s="278"/>
      <c r="AH18" s="278"/>
      <c r="AI18" s="278"/>
      <c r="AJ18" s="278"/>
      <c r="AK18" s="278"/>
      <c r="AL18" s="282"/>
      <c r="AM18" s="158"/>
      <c r="AN18" s="158"/>
      <c r="AO18" s="158"/>
      <c r="AP18" s="158"/>
      <c r="AQ18" s="843"/>
      <c r="AR18" s="843"/>
      <c r="AS18" s="843"/>
      <c r="AT18" s="843"/>
      <c r="AU18" s="843"/>
      <c r="AV18" s="843"/>
      <c r="AW18" s="843"/>
      <c r="AX18" s="843"/>
      <c r="AY18" s="843"/>
    </row>
    <row r="19" spans="1:51" ht="15">
      <c r="A19" s="158"/>
      <c r="B19" s="286" t="s">
        <v>243</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78"/>
      <c r="AH19" s="278"/>
      <c r="AI19" s="278"/>
      <c r="AJ19" s="278"/>
      <c r="AK19" s="278"/>
      <c r="AL19" s="282"/>
      <c r="AM19" s="158"/>
      <c r="AN19" s="158"/>
      <c r="AO19" s="158"/>
      <c r="AP19" s="158"/>
      <c r="AQ19" s="843"/>
      <c r="AR19" s="843"/>
      <c r="AS19" s="843"/>
      <c r="AT19" s="843"/>
      <c r="AU19" s="843"/>
      <c r="AV19" s="843"/>
      <c r="AW19" s="843"/>
      <c r="AX19" s="843"/>
      <c r="AY19" s="843"/>
    </row>
    <row r="20" spans="1:51" ht="15">
      <c r="A20" s="158"/>
      <c r="B20" s="226"/>
      <c r="C20" s="226"/>
      <c r="D20" s="226"/>
      <c r="E20" s="226"/>
      <c r="F20" s="226"/>
      <c r="G20" s="226"/>
      <c r="H20" s="226"/>
      <c r="I20" s="226"/>
      <c r="J20" s="226"/>
      <c r="K20" s="226"/>
      <c r="L20" s="226"/>
      <c r="M20" s="226"/>
      <c r="N20" s="226"/>
      <c r="O20" s="859"/>
      <c r="P20" s="859"/>
      <c r="Q20" s="859"/>
      <c r="R20" s="859"/>
      <c r="S20" s="859"/>
      <c r="T20" s="859"/>
      <c r="U20" s="859"/>
      <c r="V20" s="859"/>
      <c r="W20" s="859"/>
      <c r="X20" s="860"/>
      <c r="Y20" s="860"/>
      <c r="Z20" s="860"/>
      <c r="AA20" s="860"/>
      <c r="AB20" s="860"/>
      <c r="AC20" s="860"/>
      <c r="AD20" s="860"/>
      <c r="AE20" s="860"/>
      <c r="AF20" s="284"/>
      <c r="AG20" s="278"/>
      <c r="AH20" s="278"/>
      <c r="AI20" s="278"/>
      <c r="AJ20" s="278"/>
      <c r="AK20" s="278"/>
      <c r="AL20" s="282"/>
      <c r="AM20" s="158"/>
      <c r="AN20" s="158"/>
      <c r="AO20" s="158"/>
      <c r="AP20" s="158"/>
      <c r="AQ20" s="843"/>
      <c r="AR20" s="843"/>
      <c r="AS20" s="843"/>
      <c r="AT20" s="843"/>
      <c r="AU20" s="843"/>
      <c r="AV20" s="843"/>
      <c r="AW20" s="843"/>
      <c r="AX20" s="843"/>
      <c r="AY20" s="843"/>
    </row>
    <row r="21" spans="1:51" ht="15">
      <c r="A21" s="158"/>
      <c r="B21" s="158"/>
      <c r="C21" s="158"/>
      <c r="D21" s="158"/>
      <c r="E21" s="158"/>
      <c r="F21" s="158"/>
      <c r="G21" s="158"/>
      <c r="H21" s="158"/>
      <c r="I21" s="158"/>
      <c r="J21" s="158"/>
      <c r="K21" s="158"/>
      <c r="L21" s="158"/>
      <c r="M21" s="158"/>
      <c r="N21" s="158"/>
      <c r="O21" s="283"/>
      <c r="P21" s="283"/>
      <c r="Q21" s="283"/>
      <c r="R21" s="559">
        <v>1995</v>
      </c>
      <c r="S21" s="559">
        <v>1996</v>
      </c>
      <c r="T21" s="559">
        <v>1997</v>
      </c>
      <c r="U21" s="559">
        <v>1998</v>
      </c>
      <c r="V21" s="559">
        <v>1999</v>
      </c>
      <c r="W21" s="559">
        <v>2000</v>
      </c>
      <c r="X21" s="1121">
        <v>2001</v>
      </c>
      <c r="Y21" s="1121">
        <v>2002</v>
      </c>
      <c r="Z21" s="1121">
        <v>2003</v>
      </c>
      <c r="AA21" s="1121">
        <v>2004</v>
      </c>
      <c r="AB21" s="1121">
        <v>2005</v>
      </c>
      <c r="AC21" s="1121">
        <v>2006</v>
      </c>
      <c r="AD21" s="1121">
        <v>2007</v>
      </c>
      <c r="AE21" s="1121">
        <v>2008</v>
      </c>
      <c r="AF21" s="1121">
        <v>2009</v>
      </c>
      <c r="AG21" s="1121">
        <v>2010</v>
      </c>
      <c r="AH21" s="1121">
        <v>2011</v>
      </c>
      <c r="AI21" s="1121">
        <v>2012</v>
      </c>
      <c r="AJ21" s="1121">
        <v>2013</v>
      </c>
      <c r="AK21" s="1121">
        <v>2014</v>
      </c>
      <c r="AL21" s="1121">
        <v>2015</v>
      </c>
      <c r="AM21" s="1121">
        <v>2016</v>
      </c>
      <c r="AN21" s="1121">
        <v>2017</v>
      </c>
      <c r="AO21" s="1121">
        <v>2018</v>
      </c>
      <c r="AP21" s="1121">
        <v>2019</v>
      </c>
      <c r="AQ21" s="1121">
        <v>2020</v>
      </c>
      <c r="AR21" s="1121">
        <v>2021</v>
      </c>
      <c r="AS21" s="843"/>
      <c r="AT21" s="843"/>
      <c r="AU21" s="843"/>
      <c r="AV21" s="843"/>
      <c r="AW21" s="843"/>
      <c r="AX21" s="843"/>
      <c r="AY21" s="843"/>
    </row>
    <row r="22" spans="1:51" ht="15">
      <c r="A22" s="158"/>
      <c r="B22" s="276">
        <v>1</v>
      </c>
      <c r="C22" s="158" t="s">
        <v>410</v>
      </c>
      <c r="D22" s="158"/>
      <c r="E22" s="158"/>
      <c r="F22" s="158"/>
      <c r="G22" s="158"/>
      <c r="H22" s="158"/>
      <c r="I22" s="158"/>
      <c r="J22" s="158"/>
      <c r="K22" s="158"/>
      <c r="L22" s="158"/>
      <c r="M22" s="158"/>
      <c r="N22" s="158"/>
      <c r="O22" s="283"/>
      <c r="P22" s="283"/>
      <c r="Q22" s="283"/>
      <c r="R22" s="283"/>
      <c r="S22" s="283"/>
      <c r="T22" s="283"/>
      <c r="U22" s="283"/>
      <c r="V22" s="283"/>
      <c r="W22" s="283"/>
      <c r="X22" s="276"/>
      <c r="Y22" s="276"/>
      <c r="Z22" s="276"/>
      <c r="AA22" s="276"/>
      <c r="AB22" s="276"/>
      <c r="AC22" s="276"/>
      <c r="AD22" s="276"/>
      <c r="AE22" s="276"/>
      <c r="AF22" s="276"/>
      <c r="AG22" s="278"/>
      <c r="AH22" s="278"/>
      <c r="AI22" s="278"/>
      <c r="AJ22" s="278"/>
      <c r="AK22" s="278"/>
      <c r="AL22" s="282"/>
      <c r="AM22" s="158"/>
      <c r="AN22" s="158"/>
      <c r="AO22" s="158"/>
      <c r="AP22" s="158"/>
      <c r="AQ22" s="843"/>
      <c r="AR22" s="843"/>
      <c r="AS22" s="843"/>
      <c r="AT22" s="843"/>
      <c r="AU22" s="843"/>
      <c r="AV22" s="843"/>
      <c r="AW22" s="843"/>
      <c r="AX22" s="843"/>
      <c r="AY22" s="843"/>
    </row>
    <row r="23" spans="1:51" ht="15">
      <c r="A23" s="158"/>
      <c r="B23" s="276" t="s">
        <v>289</v>
      </c>
      <c r="C23" s="158" t="s">
        <v>12</v>
      </c>
      <c r="D23" s="158"/>
      <c r="E23" s="158"/>
      <c r="F23" s="158"/>
      <c r="G23" s="158"/>
      <c r="H23" s="158"/>
      <c r="I23" s="158"/>
      <c r="J23" s="158"/>
      <c r="K23" s="158"/>
      <c r="L23" s="158"/>
      <c r="M23" s="158"/>
      <c r="N23" s="158"/>
      <c r="O23" s="158"/>
      <c r="P23" s="158"/>
      <c r="Q23" s="158"/>
      <c r="R23" s="282"/>
      <c r="S23" s="282"/>
      <c r="T23" s="282"/>
      <c r="U23" s="282"/>
      <c r="V23" s="282"/>
      <c r="W23" s="282"/>
      <c r="X23" s="296"/>
      <c r="Y23" s="1122"/>
      <c r="Z23" s="276"/>
      <c r="AA23" s="1122"/>
      <c r="AB23" s="276"/>
      <c r="AC23" s="843"/>
      <c r="AD23" s="843"/>
      <c r="AE23" s="843"/>
      <c r="AF23" s="843"/>
      <c r="AG23" s="843"/>
      <c r="AH23" s="843"/>
      <c r="AI23" s="843"/>
      <c r="AJ23" s="843"/>
      <c r="AK23" s="843"/>
      <c r="AL23" s="843"/>
      <c r="AM23" s="843"/>
      <c r="AN23" s="843"/>
      <c r="AO23" s="843"/>
      <c r="AP23" s="843"/>
      <c r="AQ23" s="843"/>
      <c r="AR23" s="843"/>
      <c r="AS23" s="843"/>
      <c r="AT23" s="843"/>
      <c r="AU23" s="843"/>
      <c r="AV23" s="843"/>
      <c r="AW23" s="843"/>
      <c r="AX23" s="843"/>
      <c r="AY23" s="843"/>
    </row>
    <row r="24" spans="1:51" ht="15">
      <c r="A24" s="158"/>
      <c r="B24" s="276" t="s">
        <v>411</v>
      </c>
      <c r="C24" s="158" t="s">
        <v>412</v>
      </c>
      <c r="D24" s="158"/>
      <c r="E24" s="158"/>
      <c r="F24" s="158"/>
      <c r="G24" s="158"/>
      <c r="H24" s="158"/>
      <c r="I24" s="158"/>
      <c r="J24" s="158"/>
      <c r="K24" s="158"/>
      <c r="L24" s="158"/>
      <c r="M24" s="158"/>
      <c r="N24" s="158"/>
      <c r="O24" s="158"/>
      <c r="P24" s="158"/>
      <c r="Q24" s="158"/>
      <c r="R24" s="282"/>
      <c r="S24" s="282"/>
      <c r="T24" s="282"/>
      <c r="U24" s="282"/>
      <c r="V24" s="282"/>
      <c r="W24" s="282"/>
      <c r="X24" s="278"/>
      <c r="Y24" s="278"/>
      <c r="Z24" s="296"/>
      <c r="AA24" s="278"/>
      <c r="AB24" s="296"/>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row>
    <row r="25" spans="1:51" ht="15">
      <c r="A25" s="158"/>
      <c r="B25" s="276">
        <v>2</v>
      </c>
      <c r="C25" s="158" t="s">
        <v>413</v>
      </c>
      <c r="D25" s="158"/>
      <c r="E25" s="158"/>
      <c r="F25" s="158"/>
      <c r="G25" s="158"/>
      <c r="H25" s="158"/>
      <c r="I25" s="158"/>
      <c r="J25" s="158"/>
      <c r="K25" s="158"/>
      <c r="L25" s="158"/>
      <c r="M25" s="158"/>
      <c r="N25" s="158"/>
      <c r="O25" s="158"/>
      <c r="P25" s="158"/>
      <c r="Q25" s="158"/>
      <c r="R25" s="282"/>
      <c r="S25" s="282"/>
      <c r="T25" s="282"/>
      <c r="U25" s="282"/>
      <c r="V25" s="282"/>
      <c r="W25" s="282"/>
      <c r="X25" s="278"/>
      <c r="Y25" s="278"/>
      <c r="Z25" s="296"/>
      <c r="AA25" s="278"/>
      <c r="AB25" s="296"/>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row>
    <row r="26" spans="1:51" ht="15">
      <c r="A26" s="158"/>
      <c r="B26" s="276" t="s">
        <v>414</v>
      </c>
      <c r="C26" s="158" t="s">
        <v>12</v>
      </c>
      <c r="D26" s="158"/>
      <c r="E26" s="158"/>
      <c r="F26" s="158"/>
      <c r="G26" s="158"/>
      <c r="H26" s="158"/>
      <c r="I26" s="158"/>
      <c r="J26" s="158"/>
      <c r="K26" s="158"/>
      <c r="L26" s="158"/>
      <c r="M26" s="158"/>
      <c r="N26" s="158"/>
      <c r="O26" s="158"/>
      <c r="P26" s="158"/>
      <c r="Q26" s="158"/>
      <c r="R26" s="282"/>
      <c r="S26" s="282"/>
      <c r="T26" s="282"/>
      <c r="U26" s="282"/>
      <c r="V26" s="282"/>
      <c r="W26" s="282"/>
      <c r="X26" s="278"/>
      <c r="Y26" s="278"/>
      <c r="Z26" s="278"/>
      <c r="AA26" s="278"/>
      <c r="AB26" s="278"/>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row>
    <row r="27" spans="1:51" ht="15">
      <c r="A27" s="158"/>
      <c r="B27" s="276">
        <v>3</v>
      </c>
      <c r="C27" s="158" t="s">
        <v>14</v>
      </c>
      <c r="D27" s="158"/>
      <c r="E27" s="158"/>
      <c r="F27" s="158"/>
      <c r="G27" s="158"/>
      <c r="H27" s="158"/>
      <c r="I27" s="158"/>
      <c r="J27" s="158"/>
      <c r="K27" s="158"/>
      <c r="L27" s="158"/>
      <c r="M27" s="158"/>
      <c r="N27" s="158"/>
      <c r="O27" s="158"/>
      <c r="P27" s="158"/>
      <c r="Q27" s="158"/>
      <c r="R27" s="282"/>
      <c r="S27" s="282"/>
      <c r="T27" s="282"/>
      <c r="U27" s="282"/>
      <c r="V27" s="282"/>
      <c r="W27" s="282"/>
      <c r="X27" s="296"/>
      <c r="Y27" s="278"/>
      <c r="Z27" s="296"/>
      <c r="AA27" s="278"/>
      <c r="AB27" s="296"/>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row>
    <row r="28" spans="1:51" ht="15">
      <c r="A28" s="158"/>
      <c r="B28" s="276" t="s">
        <v>415</v>
      </c>
      <c r="C28" s="158" t="s">
        <v>15</v>
      </c>
      <c r="D28" s="158"/>
      <c r="E28" s="158"/>
      <c r="F28" s="158"/>
      <c r="G28" s="158"/>
      <c r="H28" s="158"/>
      <c r="I28" s="158"/>
      <c r="J28" s="158"/>
      <c r="K28" s="158"/>
      <c r="L28" s="158"/>
      <c r="M28" s="158"/>
      <c r="N28" s="158"/>
      <c r="O28" s="158"/>
      <c r="P28" s="158"/>
      <c r="Q28" s="158"/>
      <c r="R28" s="282"/>
      <c r="S28" s="282"/>
      <c r="T28" s="282"/>
      <c r="U28" s="282"/>
      <c r="V28" s="282"/>
      <c r="W28" s="282"/>
      <c r="X28" s="296"/>
      <c r="Y28" s="278"/>
      <c r="Z28" s="296"/>
      <c r="AA28" s="278"/>
      <c r="AB28" s="296"/>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row>
    <row r="29" spans="1:51" ht="15">
      <c r="A29" s="158"/>
      <c r="B29" s="276" t="s">
        <v>416</v>
      </c>
      <c r="C29" s="158" t="s">
        <v>16</v>
      </c>
      <c r="D29" s="158"/>
      <c r="E29" s="158"/>
      <c r="F29" s="158"/>
      <c r="G29" s="158"/>
      <c r="H29" s="158"/>
      <c r="I29" s="158"/>
      <c r="J29" s="158"/>
      <c r="K29" s="158"/>
      <c r="L29" s="158"/>
      <c r="M29" s="158"/>
      <c r="N29" s="158"/>
      <c r="O29" s="158"/>
      <c r="P29" s="158"/>
      <c r="Q29" s="158"/>
      <c r="R29" s="282"/>
      <c r="S29" s="282"/>
      <c r="T29" s="282"/>
      <c r="U29" s="282"/>
      <c r="V29" s="282"/>
      <c r="W29" s="282"/>
      <c r="X29" s="296"/>
      <c r="Y29" s="278"/>
      <c r="Z29" s="296"/>
      <c r="AA29" s="278"/>
      <c r="AB29" s="296"/>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row>
    <row r="30" spans="1:51" ht="15">
      <c r="A30" s="158"/>
      <c r="B30" s="276" t="s">
        <v>417</v>
      </c>
      <c r="C30" s="158" t="s">
        <v>418</v>
      </c>
      <c r="D30" s="158"/>
      <c r="E30" s="158"/>
      <c r="F30" s="158"/>
      <c r="G30" s="158"/>
      <c r="H30" s="158"/>
      <c r="I30" s="158"/>
      <c r="J30" s="158"/>
      <c r="K30" s="158"/>
      <c r="L30" s="158"/>
      <c r="M30" s="158"/>
      <c r="N30" s="158"/>
      <c r="O30" s="158"/>
      <c r="P30" s="158"/>
      <c r="Q30" s="158"/>
      <c r="R30" s="282"/>
      <c r="S30" s="282"/>
      <c r="T30" s="282"/>
      <c r="U30" s="282"/>
      <c r="V30" s="282"/>
      <c r="W30" s="282"/>
      <c r="X30" s="296"/>
      <c r="Y30" s="278"/>
      <c r="Z30" s="296"/>
      <c r="AA30" s="278"/>
      <c r="AB30" s="296"/>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row>
    <row r="31" spans="1:51" ht="15">
      <c r="A31" s="158"/>
      <c r="B31" s="276">
        <v>4</v>
      </c>
      <c r="C31" s="158" t="s">
        <v>419</v>
      </c>
      <c r="D31" s="158"/>
      <c r="E31" s="158"/>
      <c r="F31" s="158"/>
      <c r="G31" s="158"/>
      <c r="H31" s="158"/>
      <c r="I31" s="158"/>
      <c r="J31" s="158"/>
      <c r="K31" s="158"/>
      <c r="L31" s="158"/>
      <c r="M31" s="158"/>
      <c r="N31" s="158"/>
      <c r="O31" s="158"/>
      <c r="P31" s="158"/>
      <c r="Q31" s="158"/>
      <c r="R31" s="282"/>
      <c r="S31" s="282"/>
      <c r="T31" s="282"/>
      <c r="U31" s="282"/>
      <c r="V31" s="282"/>
      <c r="W31" s="282"/>
      <c r="X31" s="296"/>
      <c r="Y31" s="278"/>
      <c r="Z31" s="296"/>
      <c r="AA31" s="278"/>
      <c r="AB31" s="296"/>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row>
    <row r="32" spans="1:51" ht="15">
      <c r="A32" s="158"/>
      <c r="B32" s="276" t="s">
        <v>296</v>
      </c>
      <c r="C32" s="158" t="s">
        <v>420</v>
      </c>
      <c r="D32" s="158"/>
      <c r="E32" s="158"/>
      <c r="F32" s="158"/>
      <c r="G32" s="158"/>
      <c r="H32" s="158"/>
      <c r="I32" s="158"/>
      <c r="J32" s="158"/>
      <c r="K32" s="158"/>
      <c r="L32" s="158"/>
      <c r="M32" s="158"/>
      <c r="N32" s="158"/>
      <c r="O32" s="158"/>
      <c r="P32" s="158"/>
      <c r="Q32" s="158"/>
      <c r="R32" s="282"/>
      <c r="S32" s="282"/>
      <c r="T32" s="282"/>
      <c r="U32" s="282"/>
      <c r="V32" s="282"/>
      <c r="W32" s="282"/>
      <c r="X32" s="296"/>
      <c r="Y32" s="278"/>
      <c r="Z32" s="296"/>
      <c r="AA32" s="278"/>
      <c r="AB32" s="296"/>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row>
    <row r="33" spans="1:51" ht="15">
      <c r="A33" s="158"/>
      <c r="B33" s="276" t="s">
        <v>298</v>
      </c>
      <c r="C33" s="158" t="s">
        <v>421</v>
      </c>
      <c r="D33" s="158"/>
      <c r="E33" s="158"/>
      <c r="F33" s="158"/>
      <c r="G33" s="158"/>
      <c r="H33" s="158"/>
      <c r="I33" s="158"/>
      <c r="J33" s="158"/>
      <c r="K33" s="158"/>
      <c r="L33" s="158"/>
      <c r="M33" s="158"/>
      <c r="N33" s="158"/>
      <c r="O33" s="158"/>
      <c r="P33" s="158"/>
      <c r="Q33" s="158"/>
      <c r="R33" s="282"/>
      <c r="S33" s="282"/>
      <c r="T33" s="282"/>
      <c r="U33" s="282"/>
      <c r="V33" s="282"/>
      <c r="W33" s="282"/>
      <c r="X33" s="296"/>
      <c r="Y33" s="278"/>
      <c r="Z33" s="296"/>
      <c r="AA33" s="278"/>
      <c r="AB33" s="296"/>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row>
    <row r="34" spans="1:51" ht="15">
      <c r="A34" s="158"/>
      <c r="B34" s="276">
        <v>5</v>
      </c>
      <c r="C34" s="158" t="s">
        <v>422</v>
      </c>
      <c r="D34" s="158"/>
      <c r="E34" s="158"/>
      <c r="F34" s="158"/>
      <c r="G34" s="158"/>
      <c r="H34" s="158"/>
      <c r="I34" s="158"/>
      <c r="J34" s="158"/>
      <c r="K34" s="158"/>
      <c r="L34" s="158"/>
      <c r="M34" s="158"/>
      <c r="N34" s="158"/>
      <c r="O34" s="158"/>
      <c r="P34" s="158"/>
      <c r="Q34" s="158"/>
      <c r="R34" s="282"/>
      <c r="S34" s="282"/>
      <c r="T34" s="282"/>
      <c r="U34" s="282"/>
      <c r="V34" s="282"/>
      <c r="W34" s="282"/>
      <c r="X34" s="296"/>
      <c r="Y34" s="278"/>
      <c r="Z34" s="296"/>
      <c r="AA34" s="278"/>
      <c r="AB34" s="296"/>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row>
    <row r="35" spans="1:51" ht="15">
      <c r="A35" s="158"/>
      <c r="B35" s="276" t="s">
        <v>423</v>
      </c>
      <c r="C35" s="158" t="s">
        <v>424</v>
      </c>
      <c r="D35" s="158"/>
      <c r="E35" s="158"/>
      <c r="F35" s="158"/>
      <c r="G35" s="158"/>
      <c r="H35" s="158"/>
      <c r="I35" s="158"/>
      <c r="J35" s="158"/>
      <c r="K35" s="158"/>
      <c r="L35" s="158"/>
      <c r="M35" s="158"/>
      <c r="N35" s="158"/>
      <c r="O35" s="158"/>
      <c r="P35" s="158"/>
      <c r="Q35" s="158"/>
      <c r="R35" s="282"/>
      <c r="S35" s="282"/>
      <c r="T35" s="282"/>
      <c r="U35" s="282"/>
      <c r="V35" s="282"/>
      <c r="W35" s="282"/>
      <c r="X35" s="296"/>
      <c r="Y35" s="278"/>
      <c r="Z35" s="296"/>
      <c r="AA35" s="278"/>
      <c r="AB35" s="296"/>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row>
    <row r="36" spans="1:51" ht="15">
      <c r="A36" s="158"/>
      <c r="B36" s="276">
        <v>6</v>
      </c>
      <c r="C36" s="158" t="s">
        <v>425</v>
      </c>
      <c r="D36" s="158"/>
      <c r="E36" s="158"/>
      <c r="F36" s="158"/>
      <c r="G36" s="158"/>
      <c r="H36" s="158"/>
      <c r="I36" s="158"/>
      <c r="J36" s="158"/>
      <c r="K36" s="158"/>
      <c r="L36" s="158"/>
      <c r="M36" s="158"/>
      <c r="N36" s="158"/>
      <c r="O36" s="158"/>
      <c r="P36" s="158"/>
      <c r="Q36" s="158"/>
      <c r="R36" s="282"/>
      <c r="S36" s="282"/>
      <c r="T36" s="282"/>
      <c r="U36" s="282"/>
      <c r="V36" s="282"/>
      <c r="W36" s="282"/>
      <c r="X36" s="296"/>
      <c r="Y36" s="278"/>
      <c r="Z36" s="296"/>
      <c r="AA36" s="278"/>
      <c r="AB36" s="296"/>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c r="AY36" s="843"/>
    </row>
    <row r="37" spans="1:51" ht="15">
      <c r="A37" s="158"/>
      <c r="B37" s="276" t="s">
        <v>426</v>
      </c>
      <c r="C37" s="158" t="s">
        <v>427</v>
      </c>
      <c r="D37" s="158"/>
      <c r="E37" s="158"/>
      <c r="F37" s="158"/>
      <c r="G37" s="158"/>
      <c r="H37" s="158"/>
      <c r="I37" s="158"/>
      <c r="J37" s="158"/>
      <c r="K37" s="158"/>
      <c r="L37" s="158"/>
      <c r="M37" s="158"/>
      <c r="N37" s="158"/>
      <c r="O37" s="158"/>
      <c r="P37" s="158"/>
      <c r="Q37" s="158"/>
      <c r="R37" s="282"/>
      <c r="S37" s="282"/>
      <c r="T37" s="282"/>
      <c r="U37" s="282"/>
      <c r="V37" s="282"/>
      <c r="W37" s="282"/>
      <c r="X37" s="296"/>
      <c r="Y37" s="278"/>
      <c r="Z37" s="296"/>
      <c r="AA37" s="278"/>
      <c r="AB37" s="296"/>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row>
    <row r="38" spans="1:51" ht="15">
      <c r="A38" s="158"/>
      <c r="B38" s="276" t="s">
        <v>428</v>
      </c>
      <c r="C38" s="158" t="s">
        <v>429</v>
      </c>
      <c r="D38" s="158"/>
      <c r="E38" s="158"/>
      <c r="F38" s="158"/>
      <c r="G38" s="158"/>
      <c r="H38" s="158"/>
      <c r="I38" s="158"/>
      <c r="J38" s="158"/>
      <c r="K38" s="158"/>
      <c r="L38" s="158"/>
      <c r="M38" s="158"/>
      <c r="N38" s="158"/>
      <c r="O38" s="158"/>
      <c r="P38" s="158"/>
      <c r="Q38" s="158"/>
      <c r="R38" s="282"/>
      <c r="S38" s="282"/>
      <c r="T38" s="282"/>
      <c r="U38" s="282"/>
      <c r="V38" s="282"/>
      <c r="W38" s="282"/>
      <c r="X38" s="296"/>
      <c r="Y38" s="278"/>
      <c r="Z38" s="296"/>
      <c r="AA38" s="278"/>
      <c r="AB38" s="296"/>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row>
    <row r="39" spans="1:51" ht="15">
      <c r="A39" s="158"/>
      <c r="B39" s="1126"/>
      <c r="C39" s="158"/>
      <c r="D39" s="158"/>
      <c r="E39" s="158"/>
      <c r="F39" s="158"/>
      <c r="G39" s="158"/>
      <c r="H39" s="158"/>
      <c r="I39" s="158"/>
      <c r="J39" s="158"/>
      <c r="K39" s="158"/>
      <c r="L39" s="158"/>
      <c r="M39" s="158"/>
      <c r="N39" s="158"/>
      <c r="O39" s="158"/>
      <c r="P39" s="158"/>
      <c r="Q39" s="158"/>
      <c r="R39" s="282"/>
      <c r="S39" s="282"/>
      <c r="T39" s="282"/>
      <c r="U39" s="282"/>
      <c r="V39" s="282"/>
      <c r="W39" s="282"/>
      <c r="X39" s="296"/>
      <c r="Y39" s="278"/>
      <c r="Z39" s="296"/>
      <c r="AA39" s="278"/>
      <c r="AB39" s="296"/>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row>
    <row r="40" spans="1:51" ht="15">
      <c r="A40" s="158"/>
      <c r="B40" s="1126" t="s">
        <v>1844</v>
      </c>
      <c r="C40" s="158"/>
      <c r="D40" s="158"/>
      <c r="E40" s="158"/>
      <c r="F40" s="158"/>
      <c r="G40" s="158"/>
      <c r="H40" s="158"/>
      <c r="I40" s="158"/>
      <c r="J40" s="158"/>
      <c r="K40" s="158"/>
      <c r="L40" s="158"/>
      <c r="M40" s="158"/>
      <c r="N40" s="158"/>
      <c r="O40" s="158"/>
      <c r="P40" s="158"/>
      <c r="Q40" s="158"/>
      <c r="R40" s="282"/>
      <c r="S40" s="282"/>
      <c r="T40" s="282"/>
      <c r="U40" s="282"/>
      <c r="V40" s="282"/>
      <c r="W40" s="282"/>
      <c r="X40" s="296"/>
      <c r="Y40" s="278"/>
      <c r="Z40" s="296"/>
      <c r="AA40" s="278"/>
      <c r="AB40" s="296"/>
      <c r="AC40" s="843"/>
      <c r="AD40" s="843"/>
      <c r="AE40" s="843"/>
      <c r="AF40" s="843"/>
      <c r="AG40" s="843"/>
      <c r="AH40" s="843"/>
      <c r="AI40" s="843"/>
      <c r="AJ40" s="843"/>
      <c r="AK40" s="843"/>
      <c r="AL40" s="843"/>
      <c r="AM40" s="843"/>
      <c r="AN40" s="843"/>
      <c r="AO40" s="843"/>
      <c r="AP40" s="843"/>
      <c r="AQ40" s="843"/>
      <c r="AR40" s="843"/>
      <c r="AS40" s="843"/>
      <c r="AT40" s="843"/>
      <c r="AU40" s="843"/>
      <c r="AV40" s="843"/>
      <c r="AW40" s="843"/>
      <c r="AX40" s="843"/>
      <c r="AY40" s="843"/>
    </row>
    <row r="41" spans="1:51" ht="15.75">
      <c r="A41" s="158"/>
      <c r="B41" s="1166" t="s">
        <v>522</v>
      </c>
      <c r="C41" s="158"/>
      <c r="D41" s="158"/>
      <c r="E41" s="158"/>
      <c r="F41" s="158"/>
      <c r="G41" s="158"/>
      <c r="H41" s="158"/>
      <c r="I41" s="158"/>
      <c r="J41" s="158"/>
      <c r="K41" s="158"/>
      <c r="L41" s="158"/>
      <c r="M41" s="158"/>
      <c r="N41" s="158"/>
      <c r="O41" s="158"/>
      <c r="P41" s="158"/>
      <c r="Q41" s="158"/>
      <c r="R41" s="282"/>
      <c r="S41" s="282"/>
      <c r="T41" s="282"/>
      <c r="U41" s="282"/>
      <c r="V41" s="282"/>
      <c r="W41" s="282"/>
      <c r="X41" s="296"/>
      <c r="Y41" s="278"/>
      <c r="Z41" s="296"/>
      <c r="AA41" s="278"/>
      <c r="AB41" s="296"/>
      <c r="AC41" s="843"/>
      <c r="AD41" s="843"/>
      <c r="AE41" s="843"/>
      <c r="AF41" s="843"/>
      <c r="AG41" s="843"/>
      <c r="AH41" s="843"/>
      <c r="AI41" s="843"/>
      <c r="AJ41" s="843"/>
      <c r="AK41" s="843"/>
      <c r="AL41" s="843"/>
      <c r="AM41" s="843"/>
      <c r="AN41" s="843"/>
      <c r="AO41" s="843"/>
      <c r="AP41" s="843"/>
      <c r="AQ41" s="843"/>
      <c r="AR41" s="843"/>
      <c r="AS41" s="843"/>
      <c r="AT41" s="843"/>
      <c r="AU41" s="843"/>
      <c r="AV41" s="843"/>
      <c r="AW41" s="843"/>
      <c r="AX41" s="843"/>
      <c r="AY41" s="843"/>
    </row>
    <row r="42" spans="1:51" ht="15.75">
      <c r="A42" s="158"/>
      <c r="B42" s="1166" t="s">
        <v>523</v>
      </c>
      <c r="C42" s="158"/>
      <c r="D42" s="158"/>
      <c r="E42" s="158"/>
      <c r="F42" s="158"/>
      <c r="G42" s="158"/>
      <c r="H42" s="158"/>
      <c r="I42" s="158"/>
      <c r="J42" s="158"/>
      <c r="K42" s="158"/>
      <c r="L42" s="158"/>
      <c r="M42" s="158"/>
      <c r="N42" s="158"/>
      <c r="O42" s="158"/>
      <c r="P42" s="158"/>
      <c r="Q42" s="158"/>
      <c r="R42" s="282"/>
      <c r="S42" s="282"/>
      <c r="T42" s="282"/>
      <c r="U42" s="282"/>
      <c r="V42" s="282"/>
      <c r="W42" s="282"/>
      <c r="X42" s="296"/>
      <c r="Y42" s="278"/>
      <c r="Z42" s="296"/>
      <c r="AA42" s="278"/>
      <c r="AB42" s="296"/>
      <c r="AC42" s="843"/>
      <c r="AD42" s="843"/>
      <c r="AE42" s="843"/>
      <c r="AF42" s="843"/>
      <c r="AG42" s="843"/>
      <c r="AH42" s="843"/>
      <c r="AI42" s="843"/>
      <c r="AJ42" s="843"/>
      <c r="AK42" s="843"/>
      <c r="AL42" s="843"/>
      <c r="AM42" s="843"/>
      <c r="AN42" s="843"/>
      <c r="AO42" s="843"/>
      <c r="AP42" s="843"/>
      <c r="AQ42" s="843"/>
      <c r="AR42" s="843"/>
      <c r="AS42" s="843"/>
      <c r="AT42" s="843"/>
      <c r="AU42" s="843"/>
      <c r="AV42" s="843"/>
      <c r="AW42" s="843"/>
      <c r="AX42" s="843"/>
      <c r="AY42" s="843"/>
    </row>
    <row r="43" spans="1:51" ht="15.75">
      <c r="A43" s="158"/>
      <c r="B43" s="1166" t="s">
        <v>524</v>
      </c>
      <c r="C43" s="158"/>
      <c r="D43" s="158"/>
      <c r="E43" s="158"/>
      <c r="F43" s="158"/>
      <c r="G43" s="158"/>
      <c r="H43" s="158"/>
      <c r="I43" s="158"/>
      <c r="J43" s="158"/>
      <c r="K43" s="158"/>
      <c r="L43" s="158"/>
      <c r="M43" s="158"/>
      <c r="N43" s="158"/>
      <c r="O43" s="158"/>
      <c r="P43" s="158"/>
      <c r="Q43" s="158"/>
      <c r="R43" s="282"/>
      <c r="S43" s="282"/>
      <c r="T43" s="282"/>
      <c r="U43" s="282"/>
      <c r="V43" s="282"/>
      <c r="W43" s="282"/>
      <c r="X43" s="296"/>
      <c r="Y43" s="278"/>
      <c r="Z43" s="296"/>
      <c r="AA43" s="278"/>
      <c r="AB43" s="296"/>
      <c r="AC43" s="296"/>
      <c r="AD43" s="296"/>
      <c r="AE43" s="278"/>
      <c r="AF43" s="296"/>
      <c r="AG43" s="278"/>
      <c r="AH43" s="278"/>
      <c r="AI43" s="278"/>
      <c r="AJ43" s="278"/>
      <c r="AK43" s="278"/>
      <c r="AL43" s="282"/>
      <c r="AM43" s="158"/>
      <c r="AN43" s="158"/>
      <c r="AO43" s="158"/>
      <c r="AP43" s="158"/>
      <c r="AQ43" s="843"/>
      <c r="AR43" s="843"/>
      <c r="AS43" s="843"/>
      <c r="AT43" s="843"/>
      <c r="AU43" s="843"/>
      <c r="AV43" s="843"/>
      <c r="AW43" s="843"/>
      <c r="AX43" s="843"/>
      <c r="AY43" s="843"/>
    </row>
    <row r="44" spans="1:51" ht="15.75">
      <c r="A44" s="158"/>
      <c r="B44" s="1166" t="s">
        <v>525</v>
      </c>
      <c r="C44" s="158"/>
      <c r="D44" s="158"/>
      <c r="E44" s="158"/>
      <c r="F44" s="158"/>
      <c r="G44" s="158"/>
      <c r="H44" s="158"/>
      <c r="I44" s="158"/>
      <c r="J44" s="158"/>
      <c r="K44" s="158"/>
      <c r="L44" s="158"/>
      <c r="M44" s="158"/>
      <c r="N44" s="158"/>
      <c r="O44" s="158"/>
      <c r="P44" s="158"/>
      <c r="Q44" s="158"/>
      <c r="R44" s="282"/>
      <c r="S44" s="282"/>
      <c r="T44" s="282"/>
      <c r="U44" s="282"/>
      <c r="V44" s="282"/>
      <c r="W44" s="282"/>
      <c r="X44" s="296"/>
      <c r="Y44" s="278"/>
      <c r="Z44" s="296"/>
      <c r="AA44" s="278"/>
      <c r="AB44" s="296"/>
      <c r="AC44" s="296"/>
      <c r="AD44" s="296"/>
      <c r="AE44" s="278"/>
      <c r="AF44" s="296"/>
      <c r="AG44" s="278"/>
      <c r="AH44" s="278"/>
      <c r="AI44" s="278"/>
      <c r="AJ44" s="278"/>
      <c r="AK44" s="278"/>
      <c r="AL44" s="282"/>
      <c r="AM44" s="158"/>
      <c r="AN44" s="158"/>
      <c r="AO44" s="158"/>
      <c r="AP44" s="158"/>
      <c r="AQ44" s="843"/>
      <c r="AR44" s="843"/>
      <c r="AS44" s="843"/>
      <c r="AT44" s="843"/>
      <c r="AU44" s="843"/>
      <c r="AV44" s="843"/>
      <c r="AW44" s="843"/>
      <c r="AX44" s="843"/>
      <c r="AY44" s="843"/>
    </row>
    <row r="45" spans="1:51" ht="15.75">
      <c r="A45" s="158"/>
      <c r="B45" s="1166" t="s">
        <v>526</v>
      </c>
      <c r="C45" s="158"/>
      <c r="D45" s="158"/>
      <c r="E45" s="158"/>
      <c r="F45" s="158"/>
      <c r="G45" s="158"/>
      <c r="H45" s="158"/>
      <c r="I45" s="158"/>
      <c r="J45" s="158"/>
      <c r="K45" s="158"/>
      <c r="L45" s="158"/>
      <c r="M45" s="158"/>
      <c r="N45" s="158"/>
      <c r="O45" s="158"/>
      <c r="P45" s="158"/>
      <c r="Q45" s="158"/>
      <c r="R45" s="282"/>
      <c r="S45" s="282"/>
      <c r="T45" s="282"/>
      <c r="U45" s="282"/>
      <c r="V45" s="282"/>
      <c r="W45" s="282"/>
      <c r="X45" s="296"/>
      <c r="Y45" s="278"/>
      <c r="Z45" s="296"/>
      <c r="AA45" s="278"/>
      <c r="AB45" s="296"/>
      <c r="AC45" s="296"/>
      <c r="AD45" s="296"/>
      <c r="AE45" s="278"/>
      <c r="AF45" s="296"/>
      <c r="AG45" s="278"/>
      <c r="AH45" s="278"/>
      <c r="AI45" s="278"/>
      <c r="AJ45" s="278"/>
      <c r="AK45" s="278"/>
      <c r="AL45" s="282"/>
      <c r="AM45" s="158"/>
      <c r="AN45" s="158"/>
      <c r="AO45" s="158"/>
      <c r="AP45" s="158"/>
      <c r="AQ45" s="843"/>
      <c r="AR45" s="843"/>
      <c r="AS45" s="843"/>
      <c r="AT45" s="843"/>
      <c r="AU45" s="843"/>
      <c r="AV45" s="843"/>
      <c r="AW45" s="843"/>
      <c r="AX45" s="843"/>
      <c r="AY45" s="843"/>
    </row>
    <row r="46" spans="1:51" ht="15">
      <c r="A46" s="158"/>
      <c r="B46" s="884"/>
      <c r="C46" s="226"/>
      <c r="D46" s="226"/>
      <c r="E46" s="226"/>
      <c r="F46" s="226"/>
      <c r="G46" s="226"/>
      <c r="H46" s="226"/>
      <c r="I46" s="226"/>
      <c r="J46" s="226"/>
      <c r="K46" s="226"/>
      <c r="L46" s="226"/>
      <c r="M46" s="226"/>
      <c r="N46" s="226"/>
      <c r="O46" s="226"/>
      <c r="P46" s="226"/>
      <c r="Q46" s="226"/>
      <c r="R46" s="1118"/>
      <c r="S46" s="1118"/>
      <c r="T46" s="1118"/>
      <c r="U46" s="1118"/>
      <c r="V46" s="1118"/>
      <c r="W46" s="1118"/>
      <c r="X46" s="280"/>
      <c r="Y46" s="280"/>
      <c r="Z46" s="639"/>
      <c r="AA46" s="280"/>
      <c r="AB46" s="639"/>
      <c r="AC46" s="639"/>
      <c r="AD46" s="639"/>
      <c r="AE46" s="280"/>
      <c r="AF46" s="639"/>
      <c r="AG46" s="639"/>
      <c r="AH46" s="639"/>
      <c r="AI46" s="639"/>
      <c r="AJ46" s="639"/>
      <c r="AK46" s="639"/>
      <c r="AL46" s="639"/>
      <c r="AM46" s="639"/>
      <c r="AN46" s="639"/>
      <c r="AO46" s="639"/>
      <c r="AP46" s="639"/>
      <c r="AQ46" s="639"/>
      <c r="AR46" s="639"/>
      <c r="AS46" s="843"/>
      <c r="AT46" s="843"/>
      <c r="AU46" s="843"/>
      <c r="AV46" s="843"/>
      <c r="AW46" s="843"/>
      <c r="AX46" s="843"/>
      <c r="AY46" s="843"/>
    </row>
    <row r="47" spans="1:51" ht="15">
      <c r="A47" s="158"/>
      <c r="B47" s="1126"/>
      <c r="C47" s="158"/>
      <c r="D47" s="158"/>
      <c r="E47" s="158"/>
      <c r="F47" s="158"/>
      <c r="G47" s="158"/>
      <c r="H47" s="158"/>
      <c r="I47" s="158"/>
      <c r="J47" s="158"/>
      <c r="K47" s="158"/>
      <c r="L47" s="158"/>
      <c r="M47" s="158"/>
      <c r="N47" s="158"/>
      <c r="O47" s="158"/>
      <c r="P47" s="158"/>
      <c r="Q47" s="158"/>
      <c r="R47" s="282"/>
      <c r="S47" s="282"/>
      <c r="T47" s="282"/>
      <c r="U47" s="282"/>
      <c r="V47" s="282"/>
      <c r="W47" s="282"/>
      <c r="X47" s="278"/>
      <c r="Y47" s="278"/>
      <c r="Z47" s="278"/>
      <c r="AA47" s="278"/>
      <c r="AB47" s="278"/>
      <c r="AC47" s="278"/>
      <c r="AD47" s="278"/>
      <c r="AE47" s="278"/>
      <c r="AF47" s="278"/>
      <c r="AG47" s="278"/>
      <c r="AH47" s="278"/>
      <c r="AI47" s="278"/>
      <c r="AJ47" s="278"/>
      <c r="AK47" s="278"/>
      <c r="AL47" s="282"/>
      <c r="AM47" s="158"/>
      <c r="AN47" s="158"/>
      <c r="AO47" s="158"/>
      <c r="AP47" s="158"/>
      <c r="AQ47" s="158"/>
      <c r="AR47" s="158"/>
      <c r="AS47" s="843"/>
      <c r="AT47" s="843"/>
      <c r="AU47" s="843"/>
      <c r="AV47" s="843"/>
      <c r="AW47" s="843"/>
      <c r="AX47" s="843"/>
      <c r="AY47" s="843"/>
    </row>
    <row r="48" spans="1:51" ht="15">
      <c r="A48" s="158"/>
      <c r="B48" s="1938" t="s">
        <v>1845</v>
      </c>
      <c r="C48" s="1939"/>
      <c r="D48" s="1939"/>
      <c r="E48" s="1939"/>
      <c r="F48" s="1939"/>
      <c r="G48" s="1939"/>
      <c r="H48" s="1939"/>
      <c r="I48" s="1939"/>
      <c r="J48" s="1939"/>
      <c r="K48" s="1939"/>
      <c r="L48" s="1939"/>
      <c r="M48" s="1939"/>
      <c r="N48" s="1939"/>
      <c r="O48" s="1939"/>
      <c r="P48" s="1939"/>
      <c r="Q48" s="1939"/>
      <c r="R48" s="1939"/>
      <c r="S48" s="1939"/>
      <c r="T48" s="1939"/>
      <c r="U48" s="1939"/>
      <c r="V48" s="1939"/>
      <c r="W48" s="1939"/>
      <c r="X48" s="1939"/>
      <c r="Y48" s="1939"/>
      <c r="Z48" s="1939"/>
      <c r="AA48" s="1939"/>
      <c r="AB48" s="1939"/>
      <c r="AC48" s="1939"/>
      <c r="AD48" s="1939"/>
      <c r="AE48" s="1939"/>
      <c r="AF48" s="1939"/>
      <c r="AG48" s="278"/>
      <c r="AH48" s="278"/>
      <c r="AI48" s="278"/>
      <c r="AJ48" s="278"/>
      <c r="AK48" s="278"/>
      <c r="AL48" s="282"/>
      <c r="AM48" s="158"/>
      <c r="AN48" s="158"/>
      <c r="AO48" s="158"/>
      <c r="AP48" s="158"/>
      <c r="AQ48" s="158"/>
      <c r="AR48" s="158"/>
      <c r="AS48" s="843"/>
      <c r="AT48" s="843"/>
      <c r="AU48" s="843"/>
      <c r="AV48" s="843"/>
      <c r="AW48" s="843"/>
      <c r="AX48" s="843"/>
      <c r="AY48" s="843"/>
    </row>
    <row r="49" spans="1:51" ht="15">
      <c r="A49" s="158"/>
      <c r="B49" s="158"/>
      <c r="C49" s="158"/>
      <c r="D49" s="158"/>
      <c r="E49" s="158"/>
      <c r="F49" s="158"/>
      <c r="G49" s="158"/>
      <c r="H49" s="158"/>
      <c r="I49" s="158"/>
      <c r="J49" s="158"/>
      <c r="K49" s="158"/>
      <c r="L49" s="158"/>
      <c r="M49" s="158"/>
      <c r="N49" s="158"/>
      <c r="O49" s="158"/>
      <c r="P49" s="158"/>
      <c r="Q49" s="158"/>
      <c r="R49" s="282"/>
      <c r="S49" s="282"/>
      <c r="T49" s="282"/>
      <c r="U49" s="282"/>
      <c r="V49" s="282"/>
      <c r="W49" s="282"/>
      <c r="X49" s="278"/>
      <c r="Y49" s="278"/>
      <c r="Z49" s="278"/>
      <c r="AA49" s="278"/>
      <c r="AB49" s="278"/>
      <c r="AC49" s="278"/>
      <c r="AD49" s="278"/>
      <c r="AE49" s="278"/>
      <c r="AF49" s="278"/>
      <c r="AG49" s="278"/>
      <c r="AH49" s="278"/>
      <c r="AI49" s="278"/>
      <c r="AJ49" s="278"/>
      <c r="AK49" s="278"/>
      <c r="AL49" s="282"/>
      <c r="AM49" s="158"/>
      <c r="AN49" s="158"/>
      <c r="AO49" s="158"/>
      <c r="AP49" s="158"/>
      <c r="AQ49" s="843"/>
      <c r="AR49" s="843"/>
      <c r="AS49" s="843"/>
      <c r="AT49" s="843"/>
      <c r="AU49" s="843"/>
      <c r="AV49" s="843"/>
      <c r="AW49" s="843"/>
      <c r="AX49" s="843"/>
      <c r="AY49" s="843"/>
    </row>
    <row r="50" spans="1:51" ht="15" hidden="1">
      <c r="A50" s="158"/>
      <c r="B50" s="158"/>
      <c r="C50" s="158"/>
      <c r="D50" s="158"/>
      <c r="E50" s="158"/>
      <c r="F50" s="158"/>
      <c r="G50" s="158"/>
      <c r="H50" s="158"/>
      <c r="I50" s="158"/>
      <c r="J50" s="158"/>
      <c r="K50" s="158"/>
      <c r="L50" s="158"/>
      <c r="M50" s="158"/>
      <c r="N50" s="158"/>
      <c r="O50" s="158"/>
      <c r="P50" s="158"/>
      <c r="Q50" s="158"/>
      <c r="R50" s="282"/>
      <c r="S50" s="282"/>
      <c r="T50" s="282"/>
      <c r="U50" s="282"/>
      <c r="V50" s="282"/>
      <c r="W50" s="282"/>
      <c r="X50" s="278"/>
      <c r="Y50" s="278"/>
      <c r="Z50" s="278"/>
      <c r="AA50" s="278"/>
      <c r="AB50" s="278"/>
      <c r="AC50" s="278"/>
      <c r="AD50" s="278"/>
      <c r="AE50" s="278"/>
      <c r="AF50" s="278"/>
      <c r="AG50" s="278"/>
      <c r="AH50" s="278"/>
      <c r="AI50" s="278"/>
      <c r="AJ50" s="278"/>
      <c r="AK50" s="278"/>
      <c r="AL50" s="282"/>
      <c r="AM50" s="158"/>
      <c r="AN50" s="158"/>
      <c r="AO50" s="158"/>
      <c r="AP50" s="158"/>
      <c r="AQ50" s="843"/>
      <c r="AR50" s="843"/>
      <c r="AS50" s="843"/>
      <c r="AT50" s="843"/>
      <c r="AU50" s="843"/>
      <c r="AV50" s="843"/>
      <c r="AW50" s="843"/>
      <c r="AX50" s="843"/>
      <c r="AY50" s="843"/>
    </row>
    <row r="51" spans="1:51" ht="15" hidden="1">
      <c r="A51" s="158"/>
      <c r="B51" s="158"/>
      <c r="C51" s="158"/>
      <c r="D51" s="158"/>
      <c r="E51" s="158"/>
      <c r="F51" s="158"/>
      <c r="G51" s="158"/>
      <c r="H51" s="158"/>
      <c r="I51" s="158"/>
      <c r="J51" s="158"/>
      <c r="K51" s="158"/>
      <c r="L51" s="158"/>
      <c r="M51" s="158"/>
      <c r="N51" s="158"/>
      <c r="O51" s="158"/>
      <c r="P51" s="158"/>
      <c r="Q51" s="158"/>
      <c r="R51" s="282"/>
      <c r="S51" s="282"/>
      <c r="T51" s="282"/>
      <c r="U51" s="282"/>
      <c r="V51" s="282"/>
      <c r="W51" s="282"/>
      <c r="X51" s="278"/>
      <c r="Y51" s="278"/>
      <c r="Z51" s="278"/>
      <c r="AA51" s="278"/>
      <c r="AB51" s="278"/>
      <c r="AC51" s="278"/>
      <c r="AD51" s="278"/>
      <c r="AE51" s="278"/>
      <c r="AF51" s="278"/>
      <c r="AG51" s="278"/>
      <c r="AH51" s="278"/>
      <c r="AI51" s="278"/>
      <c r="AJ51" s="278"/>
      <c r="AK51" s="278"/>
      <c r="AL51" s="282"/>
      <c r="AM51" s="158"/>
      <c r="AN51" s="158"/>
      <c r="AO51" s="158"/>
      <c r="AP51" s="158"/>
      <c r="AQ51" s="843"/>
      <c r="AR51" s="843"/>
      <c r="AS51" s="843"/>
      <c r="AT51" s="843"/>
      <c r="AU51" s="843"/>
      <c r="AV51" s="843"/>
      <c r="AW51" s="843"/>
      <c r="AX51" s="843"/>
      <c r="AY51" s="843"/>
    </row>
    <row r="52" spans="1:51" ht="15" hidden="1">
      <c r="A52" s="158"/>
      <c r="B52" s="158"/>
      <c r="C52" s="158"/>
      <c r="D52" s="158"/>
      <c r="E52" s="158"/>
      <c r="F52" s="158"/>
      <c r="G52" s="158"/>
      <c r="H52" s="158"/>
      <c r="I52" s="158"/>
      <c r="J52" s="158"/>
      <c r="K52" s="158"/>
      <c r="L52" s="158"/>
      <c r="M52" s="158"/>
      <c r="N52" s="158"/>
      <c r="O52" s="158"/>
      <c r="P52" s="158"/>
      <c r="Q52" s="158"/>
      <c r="R52" s="282"/>
      <c r="S52" s="282"/>
      <c r="T52" s="282"/>
      <c r="U52" s="282"/>
      <c r="V52" s="282"/>
      <c r="W52" s="282"/>
      <c r="X52" s="278"/>
      <c r="Y52" s="278"/>
      <c r="Z52" s="278"/>
      <c r="AA52" s="278"/>
      <c r="AB52" s="278"/>
      <c r="AC52" s="278"/>
      <c r="AD52" s="278"/>
      <c r="AE52" s="278"/>
      <c r="AF52" s="278"/>
      <c r="AG52" s="278"/>
      <c r="AH52" s="278"/>
      <c r="AI52" s="278"/>
      <c r="AJ52" s="278"/>
      <c r="AK52" s="278"/>
      <c r="AL52" s="282"/>
      <c r="AM52" s="158"/>
      <c r="AN52" s="158"/>
      <c r="AO52" s="158"/>
      <c r="AP52" s="158"/>
      <c r="AQ52" s="843"/>
      <c r="AR52" s="843"/>
      <c r="AS52" s="843"/>
      <c r="AT52" s="843"/>
      <c r="AU52" s="843"/>
      <c r="AV52" s="843"/>
      <c r="AW52" s="843"/>
      <c r="AX52" s="843"/>
      <c r="AY52" s="843"/>
    </row>
    <row r="53" spans="1:51" ht="15" hidden="1">
      <c r="A53" s="158"/>
      <c r="B53" s="158"/>
      <c r="C53" s="158"/>
      <c r="D53" s="158"/>
      <c r="E53" s="158"/>
      <c r="F53" s="158"/>
      <c r="G53" s="158"/>
      <c r="H53" s="158"/>
      <c r="I53" s="158"/>
      <c r="J53" s="158"/>
      <c r="K53" s="158"/>
      <c r="L53" s="158"/>
      <c r="M53" s="158"/>
      <c r="N53" s="158"/>
      <c r="O53" s="158"/>
      <c r="P53" s="158"/>
      <c r="Q53" s="158"/>
      <c r="R53" s="282"/>
      <c r="S53" s="282"/>
      <c r="T53" s="282"/>
      <c r="U53" s="282"/>
      <c r="V53" s="282"/>
      <c r="W53" s="282"/>
      <c r="X53" s="278"/>
      <c r="Y53" s="278"/>
      <c r="Z53" s="278"/>
      <c r="AA53" s="278"/>
      <c r="AB53" s="278"/>
      <c r="AC53" s="278"/>
      <c r="AD53" s="278"/>
      <c r="AE53" s="278"/>
      <c r="AF53" s="278"/>
      <c r="AG53" s="278"/>
      <c r="AH53" s="278"/>
      <c r="AI53" s="278"/>
      <c r="AJ53" s="278"/>
      <c r="AK53" s="278"/>
      <c r="AL53" s="282"/>
      <c r="AM53" s="158"/>
      <c r="AN53" s="158"/>
      <c r="AO53" s="158"/>
      <c r="AP53" s="158"/>
      <c r="AQ53" s="843"/>
      <c r="AR53" s="843"/>
      <c r="AS53" s="843"/>
      <c r="AT53" s="843"/>
      <c r="AU53" s="843"/>
      <c r="AV53" s="843"/>
      <c r="AW53" s="843"/>
      <c r="AX53" s="843"/>
      <c r="AY53" s="843"/>
    </row>
    <row r="54" spans="1:51" ht="15" hidden="1">
      <c r="A54" s="158"/>
      <c r="B54" s="158"/>
      <c r="C54" s="158"/>
      <c r="D54" s="158"/>
      <c r="E54" s="158"/>
      <c r="F54" s="158"/>
      <c r="G54" s="158"/>
      <c r="H54" s="158"/>
      <c r="I54" s="158"/>
      <c r="J54" s="158"/>
      <c r="K54" s="158"/>
      <c r="L54" s="158"/>
      <c r="M54" s="158"/>
      <c r="N54" s="158"/>
      <c r="O54" s="158"/>
      <c r="P54" s="158"/>
      <c r="Q54" s="158"/>
      <c r="R54" s="282"/>
      <c r="S54" s="282"/>
      <c r="T54" s="282"/>
      <c r="U54" s="282"/>
      <c r="V54" s="282"/>
      <c r="W54" s="282"/>
      <c r="X54" s="278"/>
      <c r="Y54" s="278"/>
      <c r="Z54" s="278"/>
      <c r="AA54" s="278"/>
      <c r="AB54" s="278"/>
      <c r="AC54" s="278"/>
      <c r="AD54" s="278"/>
      <c r="AE54" s="278"/>
      <c r="AF54" s="278"/>
      <c r="AG54" s="278"/>
      <c r="AH54" s="278"/>
      <c r="AI54" s="278"/>
      <c r="AJ54" s="278"/>
      <c r="AK54" s="278"/>
      <c r="AL54" s="282"/>
      <c r="AM54" s="158"/>
      <c r="AN54" s="158"/>
      <c r="AO54" s="158"/>
      <c r="AP54" s="158"/>
      <c r="AQ54" s="843"/>
      <c r="AR54" s="843"/>
      <c r="AS54" s="843"/>
      <c r="AT54" s="843"/>
      <c r="AU54" s="843"/>
      <c r="AV54" s="843"/>
      <c r="AW54" s="843"/>
      <c r="AX54" s="843"/>
      <c r="AY54" s="843"/>
    </row>
    <row r="55" spans="1:51" ht="15" hidden="1">
      <c r="A55" s="158"/>
      <c r="B55" s="158"/>
      <c r="C55" s="158"/>
      <c r="D55" s="158"/>
      <c r="E55" s="158"/>
      <c r="F55" s="158"/>
      <c r="G55" s="158"/>
      <c r="H55" s="158"/>
      <c r="I55" s="158"/>
      <c r="J55" s="158"/>
      <c r="K55" s="158"/>
      <c r="L55" s="158"/>
      <c r="M55" s="158"/>
      <c r="N55" s="158"/>
      <c r="O55" s="158"/>
      <c r="P55" s="158"/>
      <c r="Q55" s="158"/>
      <c r="R55" s="282"/>
      <c r="S55" s="282"/>
      <c r="T55" s="282"/>
      <c r="U55" s="282"/>
      <c r="V55" s="282"/>
      <c r="W55" s="282"/>
      <c r="X55" s="278"/>
      <c r="Y55" s="278"/>
      <c r="Z55" s="278"/>
      <c r="AA55" s="278"/>
      <c r="AB55" s="278"/>
      <c r="AC55" s="278"/>
      <c r="AD55" s="278"/>
      <c r="AE55" s="278"/>
      <c r="AF55" s="278"/>
      <c r="AG55" s="278"/>
      <c r="AH55" s="278"/>
      <c r="AI55" s="278"/>
      <c r="AJ55" s="278"/>
      <c r="AK55" s="278"/>
      <c r="AL55" s="282"/>
      <c r="AM55" s="158"/>
      <c r="AN55" s="158"/>
      <c r="AO55" s="158"/>
      <c r="AP55" s="158"/>
      <c r="AQ55" s="843"/>
      <c r="AR55" s="843"/>
      <c r="AS55" s="843"/>
      <c r="AT55" s="843"/>
      <c r="AU55" s="843"/>
      <c r="AV55" s="843"/>
      <c r="AW55" s="843"/>
      <c r="AX55" s="843"/>
      <c r="AY55" s="843"/>
    </row>
    <row r="56" spans="1:51" ht="15" hidden="1">
      <c r="A56" s="158"/>
      <c r="B56" s="158"/>
      <c r="C56" s="158"/>
      <c r="D56" s="158"/>
      <c r="E56" s="158"/>
      <c r="F56" s="158"/>
      <c r="G56" s="158"/>
      <c r="H56" s="158"/>
      <c r="I56" s="158"/>
      <c r="J56" s="158"/>
      <c r="K56" s="158"/>
      <c r="L56" s="158"/>
      <c r="M56" s="158"/>
      <c r="N56" s="158"/>
      <c r="O56" s="158"/>
      <c r="P56" s="158"/>
      <c r="Q56" s="158"/>
      <c r="R56" s="282"/>
      <c r="S56" s="282"/>
      <c r="T56" s="282"/>
      <c r="U56" s="282"/>
      <c r="V56" s="282"/>
      <c r="W56" s="282"/>
      <c r="X56" s="278"/>
      <c r="Y56" s="278"/>
      <c r="Z56" s="278"/>
      <c r="AA56" s="278"/>
      <c r="AB56" s="278"/>
      <c r="AC56" s="278"/>
      <c r="AD56" s="278"/>
      <c r="AE56" s="278"/>
      <c r="AF56" s="278"/>
      <c r="AG56" s="278"/>
      <c r="AH56" s="278"/>
      <c r="AI56" s="278"/>
      <c r="AJ56" s="278"/>
      <c r="AK56" s="278"/>
      <c r="AL56" s="282"/>
      <c r="AM56" s="158"/>
      <c r="AN56" s="158"/>
      <c r="AO56" s="158"/>
      <c r="AP56" s="158"/>
      <c r="AQ56" s="843"/>
      <c r="AR56" s="843"/>
      <c r="AS56" s="843"/>
      <c r="AT56" s="843"/>
      <c r="AU56" s="843"/>
      <c r="AV56" s="843"/>
      <c r="AW56" s="843"/>
      <c r="AX56" s="843"/>
      <c r="AY56" s="843"/>
    </row>
    <row r="57" spans="1:51" ht="15" hidden="1">
      <c r="A57" s="167"/>
      <c r="B57" s="167"/>
      <c r="C57" s="167"/>
      <c r="D57" s="167"/>
      <c r="E57" s="167"/>
      <c r="F57" s="167"/>
      <c r="G57" s="167"/>
      <c r="H57" s="167"/>
      <c r="I57" s="167"/>
      <c r="J57" s="167"/>
      <c r="K57" s="167"/>
      <c r="L57" s="167"/>
      <c r="M57" s="167"/>
      <c r="N57" s="167"/>
      <c r="O57" s="197"/>
      <c r="P57" s="198"/>
      <c r="Q57" s="199"/>
      <c r="R57" s="198"/>
      <c r="S57" s="198"/>
      <c r="T57" s="198"/>
      <c r="U57" s="198"/>
      <c r="V57" s="198"/>
      <c r="W57" s="198"/>
      <c r="X57" s="196"/>
      <c r="Y57" s="196"/>
      <c r="Z57" s="196"/>
      <c r="AA57" s="196"/>
      <c r="AB57" s="196"/>
      <c r="AC57" s="196"/>
      <c r="AD57" s="196"/>
      <c r="AE57" s="196"/>
      <c r="AF57" s="196"/>
      <c r="AG57" s="564"/>
      <c r="AH57" s="564"/>
      <c r="AI57" s="564"/>
      <c r="AJ57" s="564"/>
      <c r="AK57" s="564"/>
      <c r="AL57" s="210"/>
      <c r="AM57" s="167"/>
      <c r="AN57" s="167"/>
      <c r="AO57" s="167"/>
      <c r="AP57" s="167"/>
      <c r="AQ57" s="843"/>
      <c r="AR57" s="843"/>
      <c r="AS57" s="843"/>
      <c r="AT57" s="843"/>
      <c r="AU57" s="843"/>
      <c r="AV57" s="843"/>
      <c r="AW57" s="843"/>
      <c r="AX57" s="843"/>
      <c r="AY57" s="843"/>
    </row>
    <row r="58" spans="1:51" ht="15" hidden="1">
      <c r="A58" s="167"/>
      <c r="B58" s="167"/>
      <c r="C58" s="167"/>
      <c r="D58" s="167"/>
      <c r="E58" s="167"/>
      <c r="F58" s="167"/>
      <c r="G58" s="167"/>
      <c r="H58" s="167"/>
      <c r="I58" s="167"/>
      <c r="J58" s="167"/>
      <c r="K58" s="167"/>
      <c r="L58" s="167"/>
      <c r="M58" s="167"/>
      <c r="N58" s="167"/>
      <c r="O58" s="197"/>
      <c r="P58" s="198"/>
      <c r="Q58" s="199"/>
      <c r="R58" s="198"/>
      <c r="S58" s="198"/>
      <c r="T58" s="198"/>
      <c r="U58" s="198"/>
      <c r="V58" s="198"/>
      <c r="W58" s="198"/>
      <c r="X58" s="196"/>
      <c r="Y58" s="196"/>
      <c r="Z58" s="196"/>
      <c r="AA58" s="196"/>
      <c r="AB58" s="196"/>
      <c r="AC58" s="196"/>
      <c r="AD58" s="196"/>
      <c r="AE58" s="196"/>
      <c r="AF58" s="196"/>
      <c r="AG58" s="564"/>
      <c r="AH58" s="564"/>
      <c r="AI58" s="564"/>
      <c r="AJ58" s="564"/>
      <c r="AK58" s="564"/>
      <c r="AL58" s="210"/>
      <c r="AM58" s="167"/>
      <c r="AN58" s="167"/>
      <c r="AO58" s="167"/>
      <c r="AP58" s="167"/>
      <c r="AQ58" s="843"/>
      <c r="AR58" s="843"/>
      <c r="AS58" s="843"/>
      <c r="AT58" s="843"/>
      <c r="AU58" s="843"/>
      <c r="AV58" s="843"/>
      <c r="AW58" s="843"/>
      <c r="AX58" s="843"/>
      <c r="AY58" s="843"/>
    </row>
    <row r="59" spans="1:51" ht="15" hidden="1">
      <c r="A59" s="167"/>
      <c r="B59" s="167"/>
      <c r="C59" s="167"/>
      <c r="D59" s="167"/>
      <c r="E59" s="167"/>
      <c r="F59" s="167"/>
      <c r="G59" s="167"/>
      <c r="H59" s="167"/>
      <c r="I59" s="167"/>
      <c r="J59" s="167"/>
      <c r="K59" s="167"/>
      <c r="L59" s="167"/>
      <c r="M59" s="167"/>
      <c r="N59" s="167"/>
      <c r="O59" s="197"/>
      <c r="P59" s="198"/>
      <c r="Q59" s="199"/>
      <c r="R59" s="198"/>
      <c r="S59" s="198"/>
      <c r="T59" s="198"/>
      <c r="U59" s="198"/>
      <c r="V59" s="198"/>
      <c r="W59" s="198"/>
      <c r="X59" s="196"/>
      <c r="Y59" s="196"/>
      <c r="Z59" s="196"/>
      <c r="AA59" s="196"/>
      <c r="AB59" s="196"/>
      <c r="AC59" s="196"/>
      <c r="AD59" s="196"/>
      <c r="AE59" s="196"/>
      <c r="AF59" s="196"/>
      <c r="AG59" s="564"/>
      <c r="AH59" s="564"/>
      <c r="AI59" s="564"/>
      <c r="AJ59" s="564"/>
      <c r="AK59" s="564"/>
      <c r="AL59" s="210"/>
      <c r="AM59" s="167"/>
      <c r="AN59" s="167"/>
      <c r="AO59" s="167"/>
      <c r="AP59" s="167"/>
      <c r="AQ59" s="843"/>
      <c r="AR59" s="843"/>
      <c r="AS59" s="843"/>
      <c r="AT59" s="843"/>
      <c r="AU59" s="843"/>
      <c r="AV59" s="843"/>
      <c r="AW59" s="843"/>
      <c r="AX59" s="843"/>
      <c r="AY59" s="843"/>
    </row>
    <row r="60" spans="1:51" ht="15">
      <c r="A60" s="167"/>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564"/>
      <c r="AH60" s="564"/>
      <c r="AI60" s="564"/>
      <c r="AJ60" s="564"/>
      <c r="AK60" s="564"/>
      <c r="AL60" s="210"/>
      <c r="AM60" s="167"/>
      <c r="AN60" s="167"/>
      <c r="AO60" s="167"/>
      <c r="AP60" s="167"/>
      <c r="AQ60" s="843"/>
      <c r="AR60" s="843"/>
      <c r="AS60" s="843"/>
      <c r="AT60" s="843"/>
      <c r="AU60" s="843"/>
      <c r="AV60" s="843"/>
      <c r="AW60" s="843"/>
      <c r="AX60" s="843"/>
      <c r="AY60" s="843"/>
    </row>
    <row r="61" spans="1:51" ht="15">
      <c r="A61" s="167"/>
      <c r="B61" s="190" t="s">
        <v>1846</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564"/>
      <c r="AH61" s="564"/>
      <c r="AI61" s="564"/>
      <c r="AJ61" s="564"/>
      <c r="AK61" s="564"/>
      <c r="AL61" s="210"/>
      <c r="AM61" s="210"/>
      <c r="AN61" s="167"/>
      <c r="AO61" s="167"/>
      <c r="AP61" s="167"/>
      <c r="AQ61" s="843"/>
      <c r="AR61" s="843"/>
      <c r="AS61" s="843"/>
      <c r="AT61" s="843"/>
      <c r="AU61" s="843"/>
      <c r="AV61" s="843"/>
      <c r="AW61" s="843"/>
      <c r="AX61" s="843"/>
      <c r="AY61" s="843"/>
    </row>
    <row r="62" spans="1:51" ht="15">
      <c r="A62" s="167"/>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564"/>
      <c r="AH62" s="564"/>
      <c r="AI62" s="564"/>
      <c r="AJ62" s="564"/>
      <c r="AK62" s="564"/>
      <c r="AL62" s="210"/>
      <c r="AM62" s="210"/>
      <c r="AN62" s="167"/>
      <c r="AO62" s="167"/>
      <c r="AP62" s="167"/>
      <c r="AQ62" s="843"/>
      <c r="AR62" s="843"/>
      <c r="AS62" s="843"/>
      <c r="AT62" s="843"/>
      <c r="AU62" s="843"/>
      <c r="AV62" s="843"/>
      <c r="AW62" s="843"/>
      <c r="AX62" s="843"/>
      <c r="AY62" s="843"/>
    </row>
    <row r="63" spans="1:51" ht="15">
      <c r="A63" s="167"/>
      <c r="B63" s="158" t="s">
        <v>1907</v>
      </c>
      <c r="C63" s="158"/>
      <c r="D63" s="158"/>
      <c r="E63" s="167"/>
      <c r="F63" s="167"/>
      <c r="G63" s="167"/>
      <c r="H63" s="167"/>
      <c r="I63" s="167"/>
      <c r="J63" s="167"/>
      <c r="K63" s="167"/>
      <c r="L63" s="167"/>
      <c r="M63" s="167"/>
      <c r="N63" s="167"/>
      <c r="O63" s="197"/>
      <c r="P63" s="198"/>
      <c r="Q63" s="199"/>
      <c r="R63" s="559">
        <v>1995</v>
      </c>
      <c r="S63" s="559">
        <v>1996</v>
      </c>
      <c r="T63" s="559">
        <v>1997</v>
      </c>
      <c r="U63" s="559">
        <v>1998</v>
      </c>
      <c r="V63" s="559">
        <v>1999</v>
      </c>
      <c r="W63" s="559">
        <v>2000</v>
      </c>
      <c r="X63" s="1121">
        <v>2001</v>
      </c>
      <c r="Y63" s="1121">
        <v>2002</v>
      </c>
      <c r="Z63" s="1121">
        <v>2003</v>
      </c>
      <c r="AA63" s="1121">
        <v>2004</v>
      </c>
      <c r="AB63" s="1121">
        <v>2005</v>
      </c>
      <c r="AC63" s="1121">
        <v>2006</v>
      </c>
      <c r="AD63" s="1121">
        <v>2007</v>
      </c>
      <c r="AE63" s="1121">
        <v>2008</v>
      </c>
      <c r="AF63" s="1121">
        <v>2009</v>
      </c>
      <c r="AG63" s="1121">
        <v>2010</v>
      </c>
      <c r="AH63" s="1121">
        <v>2011</v>
      </c>
      <c r="AI63" s="1121">
        <v>2012</v>
      </c>
      <c r="AJ63" s="1121">
        <v>2013</v>
      </c>
      <c r="AK63" s="1121">
        <v>2014</v>
      </c>
      <c r="AL63" s="1121">
        <v>2015</v>
      </c>
      <c r="AM63" s="1121">
        <v>2016</v>
      </c>
      <c r="AN63" s="1121">
        <v>2017</v>
      </c>
      <c r="AO63" s="1121">
        <v>2018</v>
      </c>
      <c r="AP63" s="1121">
        <v>2019</v>
      </c>
      <c r="AQ63" s="1121">
        <v>2020</v>
      </c>
      <c r="AR63" s="1121">
        <v>2021</v>
      </c>
      <c r="AS63" s="843"/>
      <c r="AT63" s="843"/>
      <c r="AU63" s="843"/>
      <c r="AV63" s="843"/>
      <c r="AW63" s="843"/>
      <c r="AX63" s="843"/>
      <c r="AY63" s="843"/>
    </row>
    <row r="64" spans="1:51" ht="15">
      <c r="A64" s="167"/>
      <c r="B64" s="158" t="s">
        <v>1906</v>
      </c>
      <c r="C64" s="158"/>
      <c r="D64" s="158"/>
      <c r="E64" s="167"/>
      <c r="F64" s="167"/>
      <c r="G64" s="167"/>
      <c r="H64" s="167"/>
      <c r="I64" s="167"/>
      <c r="J64" s="167"/>
      <c r="K64" s="167"/>
      <c r="L64" s="167"/>
      <c r="M64" s="167"/>
      <c r="N64" s="167"/>
      <c r="O64" s="197"/>
      <c r="P64" s="198"/>
      <c r="Q64" s="199"/>
      <c r="R64" s="198"/>
      <c r="S64" s="198"/>
      <c r="T64" s="198"/>
      <c r="U64" s="198"/>
      <c r="V64" s="198"/>
      <c r="W64" s="198"/>
      <c r="X64" s="276"/>
      <c r="Y64" s="291"/>
      <c r="Z64" s="276"/>
      <c r="AA64" s="291"/>
      <c r="AB64" s="276"/>
      <c r="AC64" s="276"/>
      <c r="AD64" s="276"/>
      <c r="AE64" s="291"/>
      <c r="AF64" s="276"/>
      <c r="AG64" s="276"/>
      <c r="AH64" s="276"/>
      <c r="AI64" s="564"/>
      <c r="AJ64" s="564"/>
      <c r="AK64" s="564"/>
      <c r="AL64" s="210"/>
      <c r="AM64" s="210"/>
      <c r="AN64" s="167"/>
      <c r="AO64" s="167"/>
      <c r="AP64" s="167"/>
      <c r="AQ64" s="843"/>
      <c r="AR64" s="843"/>
      <c r="AS64" s="843"/>
      <c r="AT64" s="843"/>
      <c r="AU64" s="843"/>
      <c r="AV64" s="843"/>
      <c r="AW64" s="843"/>
      <c r="AX64" s="843"/>
      <c r="AY64" s="843"/>
    </row>
    <row r="65" spans="1:51" ht="15">
      <c r="A65" s="167"/>
      <c r="B65" s="308" t="s">
        <v>28</v>
      </c>
      <c r="C65" s="158" t="s">
        <v>29</v>
      </c>
      <c r="D65" s="158"/>
      <c r="E65" s="167"/>
      <c r="F65" s="167"/>
      <c r="G65" s="167"/>
      <c r="H65" s="167"/>
      <c r="I65" s="167"/>
      <c r="J65" s="167"/>
      <c r="K65" s="167"/>
      <c r="L65" s="167"/>
      <c r="M65" s="167"/>
      <c r="N65" s="167"/>
      <c r="O65" s="197"/>
      <c r="P65" s="198"/>
      <c r="Q65" s="199"/>
      <c r="R65" s="198"/>
      <c r="S65" s="198"/>
      <c r="T65" s="198"/>
      <c r="U65" s="198"/>
      <c r="V65" s="198"/>
      <c r="W65" s="198"/>
      <c r="X65" s="285"/>
      <c r="Y65" s="276"/>
      <c r="Z65" s="285"/>
      <c r="AA65" s="276"/>
      <c r="AB65" s="285"/>
      <c r="AC65" s="285"/>
      <c r="AD65" s="285"/>
      <c r="AE65" s="843"/>
      <c r="AF65" s="843"/>
      <c r="AG65" s="283">
        <v>358720000</v>
      </c>
      <c r="AH65" s="283">
        <v>399719000</v>
      </c>
      <c r="AI65" s="283">
        <v>437446000</v>
      </c>
      <c r="AJ65" s="283">
        <v>467973000</v>
      </c>
      <c r="AK65" s="283">
        <v>503294000</v>
      </c>
      <c r="AL65" s="283">
        <v>551013000</v>
      </c>
      <c r="AM65" s="283">
        <v>596525000</v>
      </c>
      <c r="AN65" s="197">
        <v>630636000</v>
      </c>
      <c r="AO65" s="197">
        <v>672867000</v>
      </c>
      <c r="AP65" s="197">
        <v>727394000</v>
      </c>
      <c r="AQ65" s="283">
        <v>700870400</v>
      </c>
      <c r="AR65" s="1167"/>
      <c r="AS65" s="843"/>
      <c r="AT65" s="843"/>
      <c r="AU65" s="843"/>
      <c r="AV65" s="843"/>
      <c r="AW65" s="843"/>
      <c r="AX65" s="843"/>
      <c r="AY65" s="843"/>
    </row>
    <row r="66" spans="1:51" ht="15">
      <c r="A66" s="167"/>
      <c r="B66" s="158"/>
      <c r="C66" s="158"/>
      <c r="D66" s="158"/>
      <c r="E66" s="167"/>
      <c r="F66" s="167"/>
      <c r="G66" s="167"/>
      <c r="H66" s="167"/>
      <c r="I66" s="167"/>
      <c r="J66" s="167"/>
      <c r="K66" s="167"/>
      <c r="L66" s="167"/>
      <c r="M66" s="167"/>
      <c r="N66" s="167"/>
      <c r="O66" s="197"/>
      <c r="P66" s="198"/>
      <c r="Q66" s="199"/>
      <c r="R66" s="198"/>
      <c r="S66" s="198"/>
      <c r="T66" s="198"/>
      <c r="U66" s="198"/>
      <c r="V66" s="198"/>
      <c r="W66" s="198"/>
      <c r="X66" s="285"/>
      <c r="Y66" s="276"/>
      <c r="Z66" s="285"/>
      <c r="AA66" s="276"/>
      <c r="AB66" s="285"/>
      <c r="AC66" s="285"/>
      <c r="AD66" s="285"/>
      <c r="AE66" s="843"/>
      <c r="AF66" s="843"/>
      <c r="AG66" s="283"/>
      <c r="AH66" s="283"/>
      <c r="AI66" s="283"/>
      <c r="AJ66" s="283"/>
      <c r="AK66" s="283"/>
      <c r="AL66" s="283"/>
      <c r="AM66" s="283"/>
      <c r="AN66" s="197"/>
      <c r="AO66" s="197"/>
      <c r="AP66" s="197"/>
      <c r="AQ66" s="283"/>
      <c r="AR66" s="1167"/>
      <c r="AS66" s="843"/>
      <c r="AT66" s="843"/>
      <c r="AU66" s="843"/>
      <c r="AV66" s="843"/>
      <c r="AW66" s="843"/>
      <c r="AX66" s="843"/>
      <c r="AY66" s="843"/>
    </row>
    <row r="67" spans="1:51" ht="15">
      <c r="A67" s="167"/>
      <c r="B67" s="308" t="s">
        <v>30</v>
      </c>
      <c r="C67" s="158" t="s">
        <v>31</v>
      </c>
      <c r="D67" s="158"/>
      <c r="E67" s="167"/>
      <c r="F67" s="167"/>
      <c r="G67" s="167"/>
      <c r="H67" s="167"/>
      <c r="I67" s="167"/>
      <c r="J67" s="167"/>
      <c r="K67" s="167"/>
      <c r="L67" s="167"/>
      <c r="M67" s="167"/>
      <c r="N67" s="167"/>
      <c r="O67" s="197"/>
      <c r="P67" s="198"/>
      <c r="Q67" s="199"/>
      <c r="R67" s="198"/>
      <c r="S67" s="198"/>
      <c r="T67" s="198"/>
      <c r="U67" s="198"/>
      <c r="V67" s="198"/>
      <c r="W67" s="198"/>
      <c r="X67" s="285"/>
      <c r="Y67" s="276"/>
      <c r="Z67" s="285"/>
      <c r="AA67" s="276"/>
      <c r="AB67" s="285"/>
      <c r="AC67" s="285"/>
      <c r="AD67" s="285"/>
      <c r="AE67" s="843"/>
      <c r="AF67" s="843"/>
      <c r="AG67" s="283">
        <v>399349000</v>
      </c>
      <c r="AH67" s="283">
        <v>445486000</v>
      </c>
      <c r="AI67" s="283">
        <v>485548000</v>
      </c>
      <c r="AJ67" s="283">
        <v>521571000</v>
      </c>
      <c r="AK67" s="283">
        <v>561452000</v>
      </c>
      <c r="AL67" s="283">
        <v>614893000</v>
      </c>
      <c r="AM67" s="283">
        <v>660153000</v>
      </c>
      <c r="AN67" s="197">
        <v>700485000</v>
      </c>
      <c r="AO67" s="197">
        <v>751848000</v>
      </c>
      <c r="AP67" s="197">
        <v>814505000</v>
      </c>
      <c r="AQ67" s="283">
        <v>878561700</v>
      </c>
      <c r="AR67" s="1167"/>
      <c r="AS67" s="843"/>
      <c r="AT67" s="843"/>
      <c r="AU67" s="843"/>
      <c r="AV67" s="843"/>
      <c r="AW67" s="843"/>
      <c r="AX67" s="843"/>
      <c r="AY67" s="843"/>
    </row>
    <row r="68" spans="1:51" ht="15">
      <c r="A68" s="167"/>
      <c r="B68" s="158"/>
      <c r="C68" s="158"/>
      <c r="D68" s="158"/>
      <c r="E68" s="167"/>
      <c r="F68" s="167"/>
      <c r="G68" s="167"/>
      <c r="H68" s="167"/>
      <c r="I68" s="167"/>
      <c r="J68" s="167"/>
      <c r="K68" s="167"/>
      <c r="L68" s="167"/>
      <c r="M68" s="167"/>
      <c r="N68" s="167"/>
      <c r="O68" s="197"/>
      <c r="P68" s="198"/>
      <c r="Q68" s="199"/>
      <c r="R68" s="198"/>
      <c r="S68" s="198"/>
      <c r="T68" s="198"/>
      <c r="U68" s="198"/>
      <c r="V68" s="198"/>
      <c r="W68" s="198"/>
      <c r="X68" s="276"/>
      <c r="Y68" s="276"/>
      <c r="Z68" s="276"/>
      <c r="AA68" s="276"/>
      <c r="AB68" s="276"/>
      <c r="AC68" s="276"/>
      <c r="AD68" s="276"/>
      <c r="AE68" s="843"/>
      <c r="AF68" s="843"/>
      <c r="AG68" s="283"/>
      <c r="AH68" s="283"/>
      <c r="AI68" s="283"/>
      <c r="AJ68" s="283"/>
      <c r="AK68" s="283"/>
      <c r="AL68" s="283"/>
      <c r="AM68" s="283"/>
      <c r="AN68" s="197"/>
      <c r="AO68" s="197"/>
      <c r="AP68" s="197"/>
      <c r="AQ68" s="283"/>
      <c r="AR68" s="1167"/>
      <c r="AS68" s="843"/>
      <c r="AT68" s="843"/>
      <c r="AU68" s="843"/>
      <c r="AV68" s="843"/>
      <c r="AW68" s="843"/>
      <c r="AX68" s="843"/>
      <c r="AY68" s="843"/>
    </row>
    <row r="69" spans="1:51" ht="15">
      <c r="A69" s="167"/>
      <c r="B69" s="308" t="s">
        <v>32</v>
      </c>
      <c r="C69" s="158" t="s">
        <v>33</v>
      </c>
      <c r="D69" s="158"/>
      <c r="E69" s="167"/>
      <c r="F69" s="167"/>
      <c r="G69" s="167"/>
      <c r="H69" s="167"/>
      <c r="I69" s="167"/>
      <c r="J69" s="167"/>
      <c r="K69" s="167"/>
      <c r="L69" s="167"/>
      <c r="M69" s="167"/>
      <c r="N69" s="167"/>
      <c r="O69" s="197"/>
      <c r="P69" s="198"/>
      <c r="Q69" s="199"/>
      <c r="R69" s="198"/>
      <c r="S69" s="198"/>
      <c r="T69" s="198"/>
      <c r="U69" s="198"/>
      <c r="V69" s="198"/>
      <c r="W69" s="198"/>
      <c r="X69" s="285"/>
      <c r="Y69" s="276"/>
      <c r="Z69" s="285"/>
      <c r="AA69" s="276"/>
      <c r="AB69" s="285"/>
      <c r="AC69" s="285"/>
      <c r="AD69" s="285"/>
      <c r="AE69" s="843"/>
      <c r="AF69" s="843"/>
      <c r="AG69" s="283">
        <f t="shared" ref="AG69:AN69" si="4">SUM(AG71:AG72)</f>
        <v>39386075.028999999</v>
      </c>
      <c r="AH69" s="283">
        <f t="shared" si="4"/>
        <v>47124285.674999997</v>
      </c>
      <c r="AI69" s="283">
        <f t="shared" si="4"/>
        <v>49280347</v>
      </c>
      <c r="AJ69" s="283">
        <f t="shared" si="4"/>
        <v>50428822.606999993</v>
      </c>
      <c r="AK69" s="283">
        <f t="shared" si="4"/>
        <v>55922059.875999995</v>
      </c>
      <c r="AL69" s="283">
        <f t="shared" si="4"/>
        <v>60097150.322999999</v>
      </c>
      <c r="AM69" s="283">
        <f t="shared" si="4"/>
        <v>61673764.012999997</v>
      </c>
      <c r="AN69" s="197">
        <f t="shared" si="4"/>
        <v>70182643.252000004</v>
      </c>
      <c r="AO69" s="197">
        <f>SUM(AO71:AO72)</f>
        <v>76377151.166000009</v>
      </c>
      <c r="AP69" s="197">
        <f t="shared" ref="AP69:AQ69" si="5">SUM(AP71:AP72)</f>
        <v>84231092.895000011</v>
      </c>
      <c r="AQ69" s="283">
        <f t="shared" si="5"/>
        <v>73026582.510000005</v>
      </c>
      <c r="AR69" s="1167"/>
      <c r="AS69" s="843"/>
      <c r="AT69" s="843"/>
      <c r="AU69" s="843"/>
      <c r="AV69" s="843"/>
      <c r="AW69" s="843"/>
      <c r="AX69" s="843"/>
      <c r="AY69" s="843"/>
    </row>
    <row r="70" spans="1:51" ht="15">
      <c r="A70" s="167"/>
      <c r="B70" s="158"/>
      <c r="C70" s="158"/>
      <c r="D70" s="158"/>
      <c r="E70" s="167"/>
      <c r="F70" s="167"/>
      <c r="G70" s="167"/>
      <c r="H70" s="167"/>
      <c r="I70" s="167"/>
      <c r="J70" s="167"/>
      <c r="K70" s="167"/>
      <c r="L70" s="167"/>
      <c r="M70" s="167"/>
      <c r="N70" s="167"/>
      <c r="O70" s="197"/>
      <c r="P70" s="198"/>
      <c r="Q70" s="199"/>
      <c r="R70" s="198"/>
      <c r="S70" s="198"/>
      <c r="T70" s="198"/>
      <c r="U70" s="198"/>
      <c r="V70" s="198"/>
      <c r="W70" s="198"/>
      <c r="X70" s="276"/>
      <c r="Y70" s="276"/>
      <c r="Z70" s="276"/>
      <c r="AA70" s="276"/>
      <c r="AB70" s="276"/>
      <c r="AC70" s="276"/>
      <c r="AD70" s="276"/>
      <c r="AE70" s="843"/>
      <c r="AF70" s="843"/>
      <c r="AG70" s="283"/>
      <c r="AH70" s="283"/>
      <c r="AI70" s="283"/>
      <c r="AJ70" s="283"/>
      <c r="AK70" s="283"/>
      <c r="AL70" s="283"/>
      <c r="AM70" s="283"/>
      <c r="AN70" s="197"/>
      <c r="AO70" s="197"/>
      <c r="AP70" s="197"/>
      <c r="AQ70" s="283"/>
      <c r="AR70" s="1167"/>
      <c r="AS70" s="843"/>
      <c r="AT70" s="843"/>
      <c r="AU70" s="843"/>
      <c r="AV70" s="843"/>
      <c r="AW70" s="843"/>
      <c r="AX70" s="843"/>
      <c r="AY70" s="843"/>
    </row>
    <row r="71" spans="1:51" ht="15">
      <c r="A71" s="167"/>
      <c r="B71" s="158"/>
      <c r="C71" s="158" t="s">
        <v>34</v>
      </c>
      <c r="D71" s="158"/>
      <c r="E71" s="167"/>
      <c r="F71" s="167"/>
      <c r="G71" s="167"/>
      <c r="H71" s="167"/>
      <c r="I71" s="167"/>
      <c r="J71" s="167"/>
      <c r="K71" s="167"/>
      <c r="L71" s="167"/>
      <c r="M71" s="167"/>
      <c r="N71" s="167"/>
      <c r="O71" s="197"/>
      <c r="P71" s="198"/>
      <c r="Q71" s="199"/>
      <c r="R71" s="198"/>
      <c r="S71" s="198"/>
      <c r="T71" s="198"/>
      <c r="U71" s="198"/>
      <c r="V71" s="198"/>
      <c r="W71" s="198"/>
      <c r="X71" s="285"/>
      <c r="Y71" s="276"/>
      <c r="Z71" s="285"/>
      <c r="AA71" s="276"/>
      <c r="AB71" s="285"/>
      <c r="AC71" s="285"/>
      <c r="AD71" s="285"/>
      <c r="AE71" s="843"/>
      <c r="AF71" s="843"/>
      <c r="AG71" s="283">
        <v>33333802.462000001</v>
      </c>
      <c r="AH71" s="283">
        <v>40024881.522</v>
      </c>
      <c r="AI71" s="283">
        <v>41862731.802000001</v>
      </c>
      <c r="AJ71" s="283">
        <v>40479366.053999998</v>
      </c>
      <c r="AK71" s="283">
        <v>45197474.093999997</v>
      </c>
      <c r="AL71" s="283">
        <v>48684900.122000001</v>
      </c>
      <c r="AM71" s="283">
        <v>49355123.381999999</v>
      </c>
      <c r="AN71" s="197">
        <v>58565799.431999996</v>
      </c>
      <c r="AO71" s="197">
        <v>64316019.331</v>
      </c>
      <c r="AP71" s="197">
        <v>71235138.386000007</v>
      </c>
      <c r="AQ71" s="283">
        <v>62866652.512000002</v>
      </c>
      <c r="AR71" s="1167"/>
      <c r="AS71" s="843"/>
      <c r="AT71" s="843"/>
      <c r="AU71" s="843"/>
      <c r="AV71" s="843"/>
      <c r="AW71" s="843"/>
      <c r="AX71" s="843"/>
      <c r="AY71" s="843"/>
    </row>
    <row r="72" spans="1:51" ht="15">
      <c r="A72" s="167"/>
      <c r="B72" s="158"/>
      <c r="C72" s="158" t="s">
        <v>35</v>
      </c>
      <c r="D72" s="158"/>
      <c r="E72" s="167"/>
      <c r="F72" s="167"/>
      <c r="G72" s="167"/>
      <c r="H72" s="167"/>
      <c r="I72" s="167"/>
      <c r="J72" s="167"/>
      <c r="K72" s="167"/>
      <c r="L72" s="167"/>
      <c r="M72" s="167"/>
      <c r="N72" s="167"/>
      <c r="O72" s="197"/>
      <c r="P72" s="198"/>
      <c r="Q72" s="199"/>
      <c r="R72" s="198"/>
      <c r="S72" s="198"/>
      <c r="T72" s="198"/>
      <c r="U72" s="198"/>
      <c r="V72" s="198"/>
      <c r="W72" s="198"/>
      <c r="X72" s="285"/>
      <c r="Y72" s="276"/>
      <c r="Z72" s="285"/>
      <c r="AA72" s="276"/>
      <c r="AB72" s="285"/>
      <c r="AC72" s="285"/>
      <c r="AD72" s="285"/>
      <c r="AE72" s="843"/>
      <c r="AF72" s="843"/>
      <c r="AG72" s="283">
        <v>6052272.5669999998</v>
      </c>
      <c r="AH72" s="283">
        <v>7099404.1530000009</v>
      </c>
      <c r="AI72" s="283">
        <v>7417615.1980000008</v>
      </c>
      <c r="AJ72" s="283">
        <v>9949456.5529999994</v>
      </c>
      <c r="AK72" s="283">
        <v>10724585.782</v>
      </c>
      <c r="AL72" s="283">
        <v>11412250.201000001</v>
      </c>
      <c r="AM72" s="283">
        <v>12318640.631000001</v>
      </c>
      <c r="AN72" s="197">
        <v>11616843.82</v>
      </c>
      <c r="AO72" s="197">
        <v>12061131.835000001</v>
      </c>
      <c r="AP72" s="197">
        <v>12995954.509</v>
      </c>
      <c r="AQ72" s="283">
        <v>10159929.998</v>
      </c>
      <c r="AR72" s="1167"/>
      <c r="AS72" s="843"/>
      <c r="AT72" s="843"/>
      <c r="AU72" s="843"/>
      <c r="AV72" s="843"/>
      <c r="AW72" s="843"/>
      <c r="AX72" s="843"/>
      <c r="AY72" s="843"/>
    </row>
    <row r="73" spans="1:51" ht="15">
      <c r="A73" s="167"/>
      <c r="B73" s="158"/>
      <c r="C73" s="158"/>
      <c r="D73" s="158"/>
      <c r="E73" s="167"/>
      <c r="F73" s="167"/>
      <c r="G73" s="167"/>
      <c r="H73" s="167"/>
      <c r="I73" s="167"/>
      <c r="J73" s="167"/>
      <c r="K73" s="167"/>
      <c r="L73" s="167"/>
      <c r="M73" s="167"/>
      <c r="N73" s="167"/>
      <c r="O73" s="197"/>
      <c r="P73" s="198"/>
      <c r="Q73" s="199"/>
      <c r="R73" s="198"/>
      <c r="S73" s="198"/>
      <c r="T73" s="198"/>
      <c r="U73" s="198"/>
      <c r="V73" s="198"/>
      <c r="W73" s="198"/>
      <c r="X73" s="285"/>
      <c r="Y73" s="276"/>
      <c r="Z73" s="285"/>
      <c r="AA73" s="276"/>
      <c r="AB73" s="285"/>
      <c r="AC73" s="285"/>
      <c r="AD73" s="285"/>
      <c r="AE73" s="843"/>
      <c r="AF73" s="843"/>
      <c r="AG73" s="283"/>
      <c r="AH73" s="283"/>
      <c r="AI73" s="283"/>
      <c r="AJ73" s="283"/>
      <c r="AK73" s="283"/>
      <c r="AL73" s="283"/>
      <c r="AM73" s="283"/>
      <c r="AN73" s="197"/>
      <c r="AO73" s="197"/>
      <c r="AP73" s="197"/>
      <c r="AQ73" s="283"/>
      <c r="AR73" s="1167"/>
      <c r="AS73" s="843"/>
      <c r="AT73" s="843"/>
      <c r="AU73" s="843"/>
      <c r="AV73" s="843"/>
      <c r="AW73" s="843"/>
      <c r="AX73" s="843"/>
      <c r="AY73" s="843"/>
    </row>
    <row r="74" spans="1:51" ht="15">
      <c r="A74" s="167"/>
      <c r="B74" s="308" t="s">
        <v>36</v>
      </c>
      <c r="C74" s="158" t="s">
        <v>37</v>
      </c>
      <c r="D74" s="158"/>
      <c r="E74" s="167"/>
      <c r="F74" s="167"/>
      <c r="G74" s="167"/>
      <c r="H74" s="167"/>
      <c r="I74" s="167"/>
      <c r="J74" s="167"/>
      <c r="K74" s="167"/>
      <c r="L74" s="167"/>
      <c r="M74" s="167"/>
      <c r="N74" s="167"/>
      <c r="O74" s="197"/>
      <c r="P74" s="198"/>
      <c r="Q74" s="199"/>
      <c r="R74" s="198"/>
      <c r="S74" s="198"/>
      <c r="T74" s="198"/>
      <c r="U74" s="198"/>
      <c r="V74" s="198"/>
      <c r="W74" s="198"/>
      <c r="X74" s="285"/>
      <c r="Y74" s="276"/>
      <c r="Z74" s="285"/>
      <c r="AA74" s="276"/>
      <c r="AB74" s="285"/>
      <c r="AC74" s="285"/>
      <c r="AD74" s="285"/>
      <c r="AE74" s="843"/>
      <c r="AF74" s="843"/>
      <c r="AG74" s="283">
        <v>44038073.908</v>
      </c>
      <c r="AH74" s="283">
        <v>51205001.189000003</v>
      </c>
      <c r="AI74" s="283">
        <v>52803666.976999998</v>
      </c>
      <c r="AJ74" s="283">
        <v>54326006.240000002</v>
      </c>
      <c r="AK74" s="283">
        <v>59908783.802999996</v>
      </c>
      <c r="AL74" s="283">
        <v>64688081.060999997</v>
      </c>
      <c r="AM74" s="283">
        <v>65786950.605999999</v>
      </c>
      <c r="AN74" s="197">
        <v>74003567.148000002</v>
      </c>
      <c r="AO74" s="197">
        <v>79935336.472000003</v>
      </c>
      <c r="AP74" s="197">
        <v>88064086.783000007</v>
      </c>
      <c r="AQ74" s="283">
        <v>75960350.897</v>
      </c>
      <c r="AR74" s="1167"/>
      <c r="AS74" s="843"/>
      <c r="AT74" s="843"/>
      <c r="AU74" s="843"/>
      <c r="AV74" s="843"/>
      <c r="AW74" s="843"/>
      <c r="AX74" s="843"/>
      <c r="AY74" s="843"/>
    </row>
    <row r="75" spans="1:51" ht="15">
      <c r="A75" s="167"/>
      <c r="B75" s="158"/>
      <c r="C75" s="158"/>
      <c r="D75" s="158"/>
      <c r="E75" s="167"/>
      <c r="F75" s="167"/>
      <c r="G75" s="167"/>
      <c r="H75" s="167"/>
      <c r="I75" s="167"/>
      <c r="J75" s="167"/>
      <c r="K75" s="167"/>
      <c r="L75" s="167"/>
      <c r="M75" s="167"/>
      <c r="N75" s="167"/>
      <c r="O75" s="197"/>
      <c r="P75" s="198"/>
      <c r="Q75" s="199"/>
      <c r="R75" s="198"/>
      <c r="S75" s="198"/>
      <c r="T75" s="198"/>
      <c r="U75" s="198"/>
      <c r="V75" s="198"/>
      <c r="W75" s="198"/>
      <c r="X75" s="285"/>
      <c r="Y75" s="276"/>
      <c r="Z75" s="285"/>
      <c r="AA75" s="276"/>
      <c r="AB75" s="285"/>
      <c r="AC75" s="285"/>
      <c r="AD75" s="285"/>
      <c r="AE75" s="843"/>
      <c r="AF75" s="843"/>
      <c r="AG75" s="283"/>
      <c r="AH75" s="283"/>
      <c r="AI75" s="283"/>
      <c r="AJ75" s="283"/>
      <c r="AK75" s="283"/>
      <c r="AL75" s="283"/>
      <c r="AM75" s="283"/>
      <c r="AN75" s="197"/>
      <c r="AO75" s="197"/>
      <c r="AP75" s="197"/>
      <c r="AQ75" s="283"/>
      <c r="AR75" s="1167"/>
      <c r="AS75" s="843"/>
      <c r="AT75" s="843"/>
      <c r="AU75" s="843"/>
      <c r="AV75" s="843"/>
      <c r="AW75" s="843"/>
      <c r="AX75" s="843"/>
      <c r="AY75" s="843"/>
    </row>
    <row r="76" spans="1:51" ht="15">
      <c r="A76" s="167"/>
      <c r="B76" s="308" t="s">
        <v>38</v>
      </c>
      <c r="C76" s="158" t="s">
        <v>39</v>
      </c>
      <c r="D76" s="158"/>
      <c r="E76" s="167"/>
      <c r="F76" s="167"/>
      <c r="G76" s="167"/>
      <c r="H76" s="167"/>
      <c r="I76" s="167"/>
      <c r="J76" s="167"/>
      <c r="K76" s="167"/>
      <c r="L76" s="167"/>
      <c r="M76" s="167"/>
      <c r="N76" s="167"/>
      <c r="O76" s="197"/>
      <c r="P76" s="198"/>
      <c r="Q76" s="199"/>
      <c r="R76" s="198"/>
      <c r="S76" s="198"/>
      <c r="T76" s="198"/>
      <c r="U76" s="198"/>
      <c r="V76" s="198"/>
      <c r="W76" s="198"/>
      <c r="X76" s="285"/>
      <c r="Y76" s="276"/>
      <c r="Z76" s="285"/>
      <c r="AA76" s="276"/>
      <c r="AB76" s="285"/>
      <c r="AC76" s="285"/>
      <c r="AD76" s="285"/>
      <c r="AE76" s="843"/>
      <c r="AF76" s="843"/>
      <c r="AG76" s="283">
        <v>44411642.193999998</v>
      </c>
      <c r="AH76" s="283">
        <v>51632897.448999994</v>
      </c>
      <c r="AI76" s="283">
        <v>53239807.616999999</v>
      </c>
      <c r="AJ76" s="283">
        <v>55285569.367999993</v>
      </c>
      <c r="AK76" s="283">
        <v>60969981.733000003</v>
      </c>
      <c r="AL76" s="283">
        <v>65716566.484999999</v>
      </c>
      <c r="AM76" s="283">
        <v>66962419.912</v>
      </c>
      <c r="AN76" s="197">
        <v>75381123.040999994</v>
      </c>
      <c r="AO76" s="197">
        <v>81408789.140000001</v>
      </c>
      <c r="AP76" s="197">
        <v>89797926.586999997</v>
      </c>
      <c r="AQ76" s="283">
        <v>77752543.071999997</v>
      </c>
      <c r="AR76" s="1167"/>
      <c r="AS76" s="843"/>
      <c r="AT76" s="843"/>
      <c r="AU76" s="843"/>
      <c r="AV76" s="843"/>
      <c r="AW76" s="843"/>
      <c r="AX76" s="843"/>
      <c r="AY76" s="843"/>
    </row>
    <row r="77" spans="1:51" ht="15">
      <c r="A77" s="167"/>
      <c r="B77" s="308"/>
      <c r="C77" s="158"/>
      <c r="D77" s="158"/>
      <c r="E77" s="167"/>
      <c r="F77" s="167"/>
      <c r="G77" s="167"/>
      <c r="H77" s="167"/>
      <c r="I77" s="167"/>
      <c r="J77" s="167"/>
      <c r="K77" s="167"/>
      <c r="L77" s="167"/>
      <c r="M77" s="167"/>
      <c r="N77" s="167"/>
      <c r="O77" s="197"/>
      <c r="P77" s="198"/>
      <c r="Q77" s="199"/>
      <c r="R77" s="198"/>
      <c r="S77" s="198"/>
      <c r="T77" s="198"/>
      <c r="U77" s="198"/>
      <c r="V77" s="198"/>
      <c r="W77" s="198"/>
      <c r="X77" s="285"/>
      <c r="Y77" s="276"/>
      <c r="Z77" s="285"/>
      <c r="AA77" s="276"/>
      <c r="AB77" s="285"/>
      <c r="AC77" s="285"/>
      <c r="AD77" s="285"/>
      <c r="AE77" s="843"/>
      <c r="AF77" s="843"/>
      <c r="AG77" s="158"/>
      <c r="AH77" s="158"/>
      <c r="AI77" s="158"/>
      <c r="AJ77" s="158"/>
      <c r="AK77" s="158"/>
      <c r="AL77" s="158"/>
      <c r="AM77" s="158"/>
      <c r="AN77" s="167"/>
      <c r="AO77" s="167"/>
      <c r="AP77" s="167"/>
      <c r="AQ77" s="158"/>
      <c r="AR77" s="843"/>
      <c r="AS77" s="843"/>
      <c r="AT77" s="843"/>
      <c r="AU77" s="843"/>
      <c r="AV77" s="843"/>
      <c r="AW77" s="843"/>
      <c r="AX77" s="843"/>
      <c r="AY77" s="843"/>
    </row>
    <row r="78" spans="1:51" ht="15">
      <c r="A78" s="167"/>
      <c r="B78" s="158" t="s">
        <v>40</v>
      </c>
      <c r="C78" s="167"/>
      <c r="D78" s="158"/>
      <c r="E78" s="167"/>
      <c r="F78" s="167"/>
      <c r="G78" s="167"/>
      <c r="H78" s="167"/>
      <c r="I78" s="167"/>
      <c r="J78" s="167"/>
      <c r="K78" s="167"/>
      <c r="L78" s="167"/>
      <c r="M78" s="167"/>
      <c r="N78" s="167"/>
      <c r="O78" s="197"/>
      <c r="P78" s="198"/>
      <c r="Q78" s="199"/>
      <c r="R78" s="198"/>
      <c r="S78" s="198"/>
      <c r="T78" s="198"/>
      <c r="U78" s="198"/>
      <c r="V78" s="198"/>
      <c r="W78" s="198"/>
      <c r="X78" s="285"/>
      <c r="Y78" s="276"/>
      <c r="Z78" s="285"/>
      <c r="AA78" s="276"/>
      <c r="AB78" s="285"/>
      <c r="AC78" s="285"/>
      <c r="AD78" s="285"/>
      <c r="AE78" s="843"/>
      <c r="AF78" s="843"/>
      <c r="AG78" s="158"/>
      <c r="AH78" s="158"/>
      <c r="AI78" s="158"/>
      <c r="AJ78" s="158"/>
      <c r="AK78" s="158"/>
      <c r="AL78" s="158"/>
      <c r="AM78" s="158"/>
      <c r="AN78" s="167"/>
      <c r="AO78" s="167"/>
      <c r="AP78" s="167"/>
      <c r="AQ78" s="158"/>
      <c r="AR78" s="843"/>
      <c r="AS78" s="843"/>
      <c r="AT78" s="843"/>
      <c r="AU78" s="843"/>
      <c r="AV78" s="843"/>
      <c r="AW78" s="843"/>
      <c r="AX78" s="843"/>
      <c r="AY78" s="843"/>
    </row>
    <row r="79" spans="1:51" ht="15">
      <c r="A79" s="167"/>
      <c r="B79" s="158"/>
      <c r="C79" s="158"/>
      <c r="D79" s="158"/>
      <c r="E79" s="167"/>
      <c r="F79" s="167"/>
      <c r="G79" s="167"/>
      <c r="H79" s="167"/>
      <c r="I79" s="167"/>
      <c r="J79" s="167"/>
      <c r="K79" s="167"/>
      <c r="L79" s="167"/>
      <c r="M79" s="167"/>
      <c r="N79" s="167"/>
      <c r="O79" s="197"/>
      <c r="P79" s="198"/>
      <c r="Q79" s="199"/>
      <c r="R79" s="198"/>
      <c r="S79" s="198"/>
      <c r="T79" s="198"/>
      <c r="U79" s="198"/>
      <c r="V79" s="198"/>
      <c r="W79" s="198"/>
      <c r="X79" s="285"/>
      <c r="Y79" s="276"/>
      <c r="Z79" s="285"/>
      <c r="AA79" s="276"/>
      <c r="AB79" s="285"/>
      <c r="AC79" s="285"/>
      <c r="AD79" s="285"/>
      <c r="AE79" s="843"/>
      <c r="AF79" s="843"/>
      <c r="AG79" s="158"/>
      <c r="AH79" s="158"/>
      <c r="AI79" s="158"/>
      <c r="AJ79" s="158"/>
      <c r="AK79" s="158"/>
      <c r="AL79" s="158"/>
      <c r="AM79" s="158"/>
      <c r="AN79" s="167"/>
      <c r="AO79" s="167"/>
      <c r="AP79" s="167"/>
      <c r="AQ79" s="158"/>
      <c r="AR79" s="843"/>
      <c r="AS79" s="843"/>
      <c r="AT79" s="843"/>
      <c r="AU79" s="843"/>
      <c r="AV79" s="843"/>
      <c r="AW79" s="843"/>
      <c r="AX79" s="843"/>
      <c r="AY79" s="843"/>
    </row>
    <row r="80" spans="1:51" ht="15">
      <c r="A80" s="167"/>
      <c r="B80" s="310" t="s">
        <v>41</v>
      </c>
      <c r="C80" s="294" t="s">
        <v>42</v>
      </c>
      <c r="D80" s="294"/>
      <c r="E80" s="167"/>
      <c r="F80" s="167"/>
      <c r="G80" s="167"/>
      <c r="H80" s="167"/>
      <c r="I80" s="167"/>
      <c r="J80" s="167"/>
      <c r="K80" s="167"/>
      <c r="L80" s="167"/>
      <c r="M80" s="167"/>
      <c r="N80" s="167"/>
      <c r="O80" s="197"/>
      <c r="P80" s="198"/>
      <c r="Q80" s="199"/>
      <c r="R80" s="198" t="e">
        <f>R69/R67</f>
        <v>#DIV/0!</v>
      </c>
      <c r="S80" s="198" t="e">
        <f t="shared" ref="S80:AN80" si="6">S69/S67</f>
        <v>#DIV/0!</v>
      </c>
      <c r="T80" s="198" t="e">
        <f t="shared" si="6"/>
        <v>#DIV/0!</v>
      </c>
      <c r="U80" s="198" t="e">
        <f t="shared" si="6"/>
        <v>#DIV/0!</v>
      </c>
      <c r="V80" s="198" t="e">
        <f t="shared" si="6"/>
        <v>#DIV/0!</v>
      </c>
      <c r="W80" s="198" t="e">
        <f t="shared" si="6"/>
        <v>#DIV/0!</v>
      </c>
      <c r="X80" s="198" t="e">
        <f t="shared" si="6"/>
        <v>#DIV/0!</v>
      </c>
      <c r="Y80" s="198" t="e">
        <f t="shared" si="6"/>
        <v>#DIV/0!</v>
      </c>
      <c r="Z80" s="198" t="e">
        <f t="shared" si="6"/>
        <v>#DIV/0!</v>
      </c>
      <c r="AA80" s="198" t="e">
        <f t="shared" si="6"/>
        <v>#DIV/0!</v>
      </c>
      <c r="AB80" s="198" t="e">
        <f t="shared" si="6"/>
        <v>#DIV/0!</v>
      </c>
      <c r="AC80" s="198" t="e">
        <f t="shared" si="6"/>
        <v>#DIV/0!</v>
      </c>
      <c r="AD80" s="198" t="e">
        <f t="shared" si="6"/>
        <v>#DIV/0!</v>
      </c>
      <c r="AE80" s="198" t="e">
        <f t="shared" si="6"/>
        <v>#DIV/0!</v>
      </c>
      <c r="AF80" s="198" t="e">
        <f t="shared" si="6"/>
        <v>#DIV/0!</v>
      </c>
      <c r="AG80" s="1168">
        <f t="shared" si="6"/>
        <v>9.8625700900715915E-2</v>
      </c>
      <c r="AH80" s="1168">
        <f t="shared" si="6"/>
        <v>0.10578174325343556</v>
      </c>
      <c r="AI80" s="1168">
        <f t="shared" si="6"/>
        <v>0.10149428480809312</v>
      </c>
      <c r="AJ80" s="1168">
        <f t="shared" si="6"/>
        <v>9.6686400522651747E-2</v>
      </c>
      <c r="AK80" s="1168">
        <f t="shared" si="6"/>
        <v>9.9602565982488248E-2</v>
      </c>
      <c r="AL80" s="1168">
        <f t="shared" si="6"/>
        <v>9.7735948080397719E-2</v>
      </c>
      <c r="AM80" s="1168">
        <f t="shared" si="6"/>
        <v>9.3423439737454803E-2</v>
      </c>
      <c r="AN80" s="1168">
        <f t="shared" si="6"/>
        <v>0.10019150053462958</v>
      </c>
      <c r="AO80" s="1168">
        <f>AO69/AO67</f>
        <v>0.10158589391206735</v>
      </c>
      <c r="AP80" s="1168">
        <f t="shared" ref="AP80:AQ80" si="7">AP69/AP67</f>
        <v>0.10341384386222308</v>
      </c>
      <c r="AQ80" s="1169">
        <f t="shared" si="7"/>
        <v>8.3120607818437803E-2</v>
      </c>
      <c r="AR80" s="843"/>
      <c r="AS80" s="843"/>
      <c r="AT80" s="843"/>
      <c r="AU80" s="843"/>
      <c r="AV80" s="843"/>
      <c r="AW80" s="843"/>
      <c r="AX80" s="843"/>
      <c r="AY80" s="843"/>
    </row>
    <row r="81" spans="1:51" ht="15">
      <c r="A81" s="167"/>
      <c r="B81" s="158"/>
      <c r="C81" s="158"/>
      <c r="D81" s="158"/>
      <c r="E81" s="167"/>
      <c r="F81" s="167"/>
      <c r="G81" s="167"/>
      <c r="H81" s="167"/>
      <c r="I81" s="167"/>
      <c r="J81" s="167"/>
      <c r="K81" s="167"/>
      <c r="L81" s="167"/>
      <c r="M81" s="167"/>
      <c r="N81" s="167"/>
      <c r="O81" s="197"/>
      <c r="P81" s="198"/>
      <c r="Q81" s="199"/>
      <c r="R81" s="198"/>
      <c r="S81" s="198"/>
      <c r="T81" s="198"/>
      <c r="U81" s="198"/>
      <c r="V81" s="198"/>
      <c r="W81" s="198"/>
      <c r="X81" s="285"/>
      <c r="Y81" s="276"/>
      <c r="Z81" s="285"/>
      <c r="AA81" s="276"/>
      <c r="AB81" s="285"/>
      <c r="AC81" s="285"/>
      <c r="AD81" s="285"/>
      <c r="AE81" s="843"/>
      <c r="AF81" s="843"/>
      <c r="AG81" s="1170"/>
      <c r="AH81" s="1170"/>
      <c r="AI81" s="1170"/>
      <c r="AJ81" s="1170"/>
      <c r="AK81" s="1170"/>
      <c r="AL81" s="1170"/>
      <c r="AM81" s="1170"/>
      <c r="AN81" s="1171"/>
      <c r="AO81" s="1171"/>
      <c r="AP81" s="1171"/>
      <c r="AQ81" s="1170"/>
      <c r="AR81" s="843"/>
      <c r="AS81" s="843"/>
      <c r="AT81" s="843"/>
      <c r="AU81" s="843"/>
      <c r="AV81" s="843"/>
      <c r="AW81" s="843"/>
      <c r="AX81" s="843"/>
      <c r="AY81" s="843"/>
    </row>
    <row r="82" spans="1:51" ht="15">
      <c r="A82" s="167"/>
      <c r="B82" s="308" t="s">
        <v>43</v>
      </c>
      <c r="C82" s="158" t="s">
        <v>44</v>
      </c>
      <c r="D82" s="158"/>
      <c r="E82" s="167"/>
      <c r="F82" s="167"/>
      <c r="G82" s="167"/>
      <c r="H82" s="167"/>
      <c r="I82" s="167"/>
      <c r="J82" s="167"/>
      <c r="K82" s="167"/>
      <c r="L82" s="167"/>
      <c r="M82" s="167"/>
      <c r="N82" s="167"/>
      <c r="O82" s="197"/>
      <c r="P82" s="198"/>
      <c r="Q82" s="199"/>
      <c r="R82" s="198" t="e">
        <f>R76/R67</f>
        <v>#DIV/0!</v>
      </c>
      <c r="S82" s="198" t="e">
        <f t="shared" ref="S82:AN82" si="8">S76/S67</f>
        <v>#DIV/0!</v>
      </c>
      <c r="T82" s="198" t="e">
        <f t="shared" si="8"/>
        <v>#DIV/0!</v>
      </c>
      <c r="U82" s="198" t="e">
        <f t="shared" si="8"/>
        <v>#DIV/0!</v>
      </c>
      <c r="V82" s="198" t="e">
        <f t="shared" si="8"/>
        <v>#DIV/0!</v>
      </c>
      <c r="W82" s="198" t="e">
        <f t="shared" si="8"/>
        <v>#DIV/0!</v>
      </c>
      <c r="X82" s="198" t="e">
        <f t="shared" si="8"/>
        <v>#DIV/0!</v>
      </c>
      <c r="Y82" s="198" t="e">
        <f t="shared" si="8"/>
        <v>#DIV/0!</v>
      </c>
      <c r="Z82" s="198" t="e">
        <f t="shared" si="8"/>
        <v>#DIV/0!</v>
      </c>
      <c r="AA82" s="198" t="e">
        <f t="shared" si="8"/>
        <v>#DIV/0!</v>
      </c>
      <c r="AB82" s="198" t="e">
        <f t="shared" si="8"/>
        <v>#DIV/0!</v>
      </c>
      <c r="AC82" s="198" t="e">
        <f t="shared" si="8"/>
        <v>#DIV/0!</v>
      </c>
      <c r="AD82" s="198" t="e">
        <f t="shared" si="8"/>
        <v>#DIV/0!</v>
      </c>
      <c r="AE82" s="198" t="e">
        <f t="shared" si="8"/>
        <v>#DIV/0!</v>
      </c>
      <c r="AF82" s="198" t="e">
        <f t="shared" si="8"/>
        <v>#DIV/0!</v>
      </c>
      <c r="AG82" s="1172">
        <f t="shared" si="8"/>
        <v>0.11121009992262407</v>
      </c>
      <c r="AH82" s="1172">
        <f t="shared" si="8"/>
        <v>0.11590240198120702</v>
      </c>
      <c r="AI82" s="1172">
        <f t="shared" si="8"/>
        <v>0.10964890724912882</v>
      </c>
      <c r="AJ82" s="1172">
        <f t="shared" si="8"/>
        <v>0.10599816586428308</v>
      </c>
      <c r="AK82" s="1172">
        <f t="shared" si="8"/>
        <v>0.10859340020696338</v>
      </c>
      <c r="AL82" s="1172">
        <f t="shared" si="8"/>
        <v>0.10687480014409011</v>
      </c>
      <c r="AM82" s="1172">
        <f t="shared" si="8"/>
        <v>0.10143469758071236</v>
      </c>
      <c r="AN82" s="1172">
        <f t="shared" si="8"/>
        <v>0.10761275836170653</v>
      </c>
      <c r="AO82" s="1172">
        <f>AO76/AO67</f>
        <v>0.10827825456741257</v>
      </c>
      <c r="AP82" s="1172">
        <f t="shared" ref="AP82:AQ82" si="9">AP76/AP67</f>
        <v>0.11024846573931406</v>
      </c>
      <c r="AQ82" s="1170">
        <f t="shared" si="9"/>
        <v>8.8499809486345685E-2</v>
      </c>
      <c r="AR82" s="843"/>
      <c r="AS82" s="843"/>
      <c r="AT82" s="843"/>
      <c r="AU82" s="843"/>
      <c r="AV82" s="843"/>
      <c r="AW82" s="843"/>
      <c r="AX82" s="843"/>
      <c r="AY82" s="843"/>
    </row>
    <row r="83" spans="1:51" ht="15">
      <c r="A83" s="167"/>
      <c r="B83" s="158"/>
      <c r="C83" s="158"/>
      <c r="D83" s="158"/>
      <c r="E83" s="167"/>
      <c r="F83" s="167"/>
      <c r="G83" s="167"/>
      <c r="H83" s="167"/>
      <c r="I83" s="167"/>
      <c r="J83" s="167"/>
      <c r="K83" s="167"/>
      <c r="L83" s="167"/>
      <c r="M83" s="167"/>
      <c r="N83" s="167"/>
      <c r="O83" s="197"/>
      <c r="P83" s="198"/>
      <c r="Q83" s="199"/>
      <c r="R83" s="198"/>
      <c r="S83" s="198"/>
      <c r="T83" s="198"/>
      <c r="U83" s="198"/>
      <c r="V83" s="198"/>
      <c r="W83" s="198"/>
      <c r="X83" s="285"/>
      <c r="Y83" s="276"/>
      <c r="Z83" s="285"/>
      <c r="AA83" s="276"/>
      <c r="AB83" s="285"/>
      <c r="AC83" s="285"/>
      <c r="AD83" s="285"/>
      <c r="AE83" s="843"/>
      <c r="AF83" s="843"/>
      <c r="AG83" s="1170"/>
      <c r="AH83" s="1170"/>
      <c r="AI83" s="1170"/>
      <c r="AJ83" s="1170"/>
      <c r="AK83" s="1170"/>
      <c r="AL83" s="1170"/>
      <c r="AM83" s="1170"/>
      <c r="AN83" s="1171"/>
      <c r="AO83" s="1171"/>
      <c r="AP83" s="1171"/>
      <c r="AQ83" s="1170"/>
      <c r="AR83" s="843"/>
      <c r="AS83" s="843"/>
      <c r="AT83" s="843"/>
      <c r="AU83" s="843"/>
      <c r="AV83" s="843"/>
      <c r="AW83" s="843"/>
      <c r="AX83" s="843"/>
      <c r="AY83" s="843"/>
    </row>
    <row r="84" spans="1:51" ht="15">
      <c r="A84" s="167"/>
      <c r="B84" s="308" t="s">
        <v>45</v>
      </c>
      <c r="C84" s="158" t="s">
        <v>46</v>
      </c>
      <c r="D84" s="158"/>
      <c r="E84" s="167"/>
      <c r="F84" s="167"/>
      <c r="G84" s="167"/>
      <c r="H84" s="167"/>
      <c r="I84" s="167"/>
      <c r="J84" s="167"/>
      <c r="K84" s="167"/>
      <c r="L84" s="167"/>
      <c r="M84" s="167"/>
      <c r="N84" s="167"/>
      <c r="O84" s="197"/>
      <c r="P84" s="198"/>
      <c r="Q84" s="199"/>
      <c r="R84" s="198" t="e">
        <f>R76/R65</f>
        <v>#DIV/0!</v>
      </c>
      <c r="S84" s="198" t="e">
        <f t="shared" ref="S84:AN84" si="10">S76/S65</f>
        <v>#DIV/0!</v>
      </c>
      <c r="T84" s="198" t="e">
        <f t="shared" si="10"/>
        <v>#DIV/0!</v>
      </c>
      <c r="U84" s="198" t="e">
        <f t="shared" si="10"/>
        <v>#DIV/0!</v>
      </c>
      <c r="V84" s="198" t="e">
        <f t="shared" si="10"/>
        <v>#DIV/0!</v>
      </c>
      <c r="W84" s="198" t="e">
        <f t="shared" si="10"/>
        <v>#DIV/0!</v>
      </c>
      <c r="X84" s="198" t="e">
        <f t="shared" si="10"/>
        <v>#DIV/0!</v>
      </c>
      <c r="Y84" s="198" t="e">
        <f t="shared" si="10"/>
        <v>#DIV/0!</v>
      </c>
      <c r="Z84" s="198" t="e">
        <f t="shared" si="10"/>
        <v>#DIV/0!</v>
      </c>
      <c r="AA84" s="198" t="e">
        <f t="shared" si="10"/>
        <v>#DIV/0!</v>
      </c>
      <c r="AB84" s="198" t="e">
        <f t="shared" si="10"/>
        <v>#DIV/0!</v>
      </c>
      <c r="AC84" s="198" t="e">
        <f t="shared" si="10"/>
        <v>#DIV/0!</v>
      </c>
      <c r="AD84" s="198" t="e">
        <f t="shared" si="10"/>
        <v>#DIV/0!</v>
      </c>
      <c r="AE84" s="198" t="e">
        <f t="shared" si="10"/>
        <v>#DIV/0!</v>
      </c>
      <c r="AF84" s="198" t="e">
        <f t="shared" si="10"/>
        <v>#DIV/0!</v>
      </c>
      <c r="AG84" s="1172">
        <f t="shared" si="10"/>
        <v>0.12380587141503122</v>
      </c>
      <c r="AH84" s="1172">
        <f t="shared" si="10"/>
        <v>0.12917298764632151</v>
      </c>
      <c r="AI84" s="1172">
        <f t="shared" si="10"/>
        <v>0.12170601083790913</v>
      </c>
      <c r="AJ84" s="1172">
        <f t="shared" si="10"/>
        <v>0.11813837415406443</v>
      </c>
      <c r="AK84" s="1172">
        <f t="shared" si="10"/>
        <v>0.12114188075558223</v>
      </c>
      <c r="AL84" s="1172">
        <f t="shared" si="10"/>
        <v>0.11926500188743278</v>
      </c>
      <c r="AM84" s="1172">
        <f t="shared" si="10"/>
        <v>0.11225417193244207</v>
      </c>
      <c r="AN84" s="1172">
        <f t="shared" si="10"/>
        <v>0.11953190595050076</v>
      </c>
      <c r="AO84" s="1172">
        <f>AO76/AO65</f>
        <v>0.12098793541665738</v>
      </c>
      <c r="AP84" s="1172">
        <f t="shared" ref="AP84:AQ84" si="11">AP76/AP65</f>
        <v>0.12345156350890989</v>
      </c>
      <c r="AQ84" s="1170">
        <f t="shared" si="11"/>
        <v>0.11093711914784815</v>
      </c>
      <c r="AR84" s="843"/>
      <c r="AS84" s="843"/>
      <c r="AT84" s="843"/>
      <c r="AU84" s="843"/>
      <c r="AV84" s="843"/>
      <c r="AW84" s="843"/>
      <c r="AX84" s="843"/>
      <c r="AY84" s="843"/>
    </row>
    <row r="85" spans="1:51" ht="15">
      <c r="A85" s="167"/>
      <c r="B85" s="226"/>
      <c r="C85" s="226"/>
      <c r="D85" s="226"/>
      <c r="E85" s="562"/>
      <c r="F85" s="562"/>
      <c r="G85" s="562"/>
      <c r="H85" s="562"/>
      <c r="I85" s="562"/>
      <c r="J85" s="562"/>
      <c r="K85" s="562"/>
      <c r="L85" s="562"/>
      <c r="M85" s="562"/>
      <c r="N85" s="562"/>
      <c r="O85" s="561"/>
      <c r="P85" s="194"/>
      <c r="Q85" s="194"/>
      <c r="R85" s="194"/>
      <c r="S85" s="194"/>
      <c r="T85" s="194"/>
      <c r="U85" s="194"/>
      <c r="V85" s="194"/>
      <c r="W85" s="194"/>
      <c r="X85" s="563"/>
      <c r="Y85" s="563"/>
      <c r="Z85" s="563"/>
      <c r="AA85" s="563"/>
      <c r="AB85" s="563"/>
      <c r="AC85" s="563"/>
      <c r="AD85" s="563"/>
      <c r="AE85" s="1173"/>
      <c r="AF85" s="1173"/>
      <c r="AG85" s="1173"/>
      <c r="AH85" s="1173"/>
      <c r="AI85" s="1173"/>
      <c r="AJ85" s="1173"/>
      <c r="AK85" s="1173"/>
      <c r="AL85" s="1173"/>
      <c r="AM85" s="1173"/>
      <c r="AN85" s="562"/>
      <c r="AO85" s="562"/>
      <c r="AP85" s="562"/>
      <c r="AQ85" s="562"/>
      <c r="AR85" s="562"/>
      <c r="AS85" s="843"/>
      <c r="AT85" s="843"/>
      <c r="AU85" s="843"/>
      <c r="AV85" s="843"/>
      <c r="AW85" s="843"/>
      <c r="AX85" s="843"/>
      <c r="AY85" s="843"/>
    </row>
    <row r="86" spans="1:51" ht="15">
      <c r="A86" s="167"/>
      <c r="B86" s="158"/>
      <c r="C86" s="158"/>
      <c r="D86" s="158"/>
      <c r="E86" s="167"/>
      <c r="F86" s="167"/>
      <c r="G86" s="167"/>
      <c r="H86" s="167"/>
      <c r="I86" s="167"/>
      <c r="J86" s="167"/>
      <c r="K86" s="167"/>
      <c r="L86" s="167"/>
      <c r="M86" s="167"/>
      <c r="N86" s="167"/>
      <c r="O86" s="197"/>
      <c r="P86" s="198"/>
      <c r="Q86" s="199"/>
      <c r="R86" s="198"/>
      <c r="S86" s="198"/>
      <c r="T86" s="198"/>
      <c r="U86" s="198"/>
      <c r="V86" s="198"/>
      <c r="W86" s="198"/>
      <c r="X86" s="276"/>
      <c r="Y86" s="276"/>
      <c r="Z86" s="276"/>
      <c r="AA86" s="276"/>
      <c r="AB86" s="276"/>
      <c r="AC86" s="276"/>
      <c r="AD86" s="276"/>
      <c r="AE86" s="276"/>
      <c r="AF86" s="276"/>
      <c r="AG86" s="564"/>
      <c r="AH86" s="564"/>
      <c r="AI86" s="564"/>
      <c r="AJ86" s="564"/>
      <c r="AK86" s="564"/>
      <c r="AL86" s="564"/>
      <c r="AM86" s="210"/>
      <c r="AN86" s="167"/>
      <c r="AO86" s="167"/>
      <c r="AP86" s="167"/>
      <c r="AQ86" s="167"/>
      <c r="AR86" s="167"/>
      <c r="AS86" s="843"/>
      <c r="AT86" s="843"/>
      <c r="AU86" s="843"/>
      <c r="AV86" s="843"/>
      <c r="AW86" s="843"/>
      <c r="AX86" s="843"/>
      <c r="AY86" s="843"/>
    </row>
    <row r="87" spans="1:51" ht="39" customHeight="1">
      <c r="A87" s="167"/>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G87" s="564"/>
      <c r="AH87" s="564"/>
      <c r="AI87" s="564"/>
      <c r="AJ87" s="564"/>
      <c r="AK87" s="564"/>
      <c r="AL87" s="210"/>
      <c r="AM87" s="167"/>
      <c r="AN87" s="167"/>
      <c r="AO87" s="167"/>
      <c r="AP87" s="167"/>
      <c r="AQ87" s="843"/>
      <c r="AR87" s="843"/>
      <c r="AS87" s="843"/>
      <c r="AT87" s="843"/>
      <c r="AU87" s="843"/>
      <c r="AV87" s="843"/>
      <c r="AW87" s="843"/>
      <c r="AX87" s="843"/>
      <c r="AY87" s="843"/>
    </row>
    <row r="88" spans="1:51" ht="15">
      <c r="A88" s="167"/>
      <c r="B88" s="1132"/>
      <c r="C88" s="167"/>
      <c r="D88" s="167"/>
      <c r="E88" s="167"/>
      <c r="F88" s="167"/>
      <c r="G88" s="167"/>
      <c r="H88" s="167"/>
      <c r="I88" s="167"/>
      <c r="J88" s="167"/>
      <c r="K88" s="167"/>
      <c r="L88" s="167"/>
      <c r="M88" s="167"/>
      <c r="N88" s="167"/>
      <c r="O88" s="197"/>
      <c r="P88" s="198"/>
      <c r="Q88" s="199"/>
      <c r="R88" s="198"/>
      <c r="S88" s="198"/>
      <c r="T88" s="198"/>
      <c r="U88" s="198"/>
      <c r="V88" s="198"/>
      <c r="W88" s="198"/>
      <c r="X88" s="196"/>
      <c r="Y88" s="196"/>
      <c r="Z88" s="196"/>
      <c r="AA88" s="196"/>
      <c r="AB88" s="196"/>
      <c r="AC88" s="196"/>
      <c r="AD88" s="196"/>
      <c r="AE88" s="196"/>
      <c r="AF88" s="196"/>
      <c r="AG88" s="564"/>
      <c r="AH88" s="564"/>
      <c r="AI88" s="564"/>
      <c r="AJ88" s="564"/>
      <c r="AK88" s="564"/>
      <c r="AL88" s="210"/>
      <c r="AM88" s="167"/>
      <c r="AN88" s="167"/>
      <c r="AO88" s="167"/>
      <c r="AP88" s="167"/>
      <c r="AQ88" s="843"/>
      <c r="AR88" s="843"/>
      <c r="AS88" s="843"/>
      <c r="AT88" s="843"/>
      <c r="AU88" s="843"/>
      <c r="AV88" s="843"/>
      <c r="AW88" s="843"/>
      <c r="AX88" s="843"/>
      <c r="AY88" s="843"/>
    </row>
    <row r="89" spans="1:51" ht="15">
      <c r="A89" s="158"/>
      <c r="B89" s="158"/>
      <c r="C89" s="158"/>
      <c r="D89" s="158"/>
      <c r="E89" s="158"/>
      <c r="F89" s="158"/>
      <c r="G89" s="158"/>
      <c r="H89" s="158"/>
      <c r="I89" s="158"/>
      <c r="J89" s="158"/>
      <c r="K89" s="158"/>
      <c r="L89" s="158"/>
      <c r="M89" s="158"/>
      <c r="N89" s="158"/>
      <c r="O89" s="158"/>
      <c r="P89" s="158"/>
      <c r="Q89" s="158"/>
      <c r="R89" s="282"/>
      <c r="S89" s="282"/>
      <c r="T89" s="282"/>
      <c r="U89" s="282"/>
      <c r="V89" s="282"/>
      <c r="W89" s="282"/>
      <c r="X89" s="278"/>
      <c r="Y89" s="278"/>
      <c r="Z89" s="278"/>
      <c r="AA89" s="278"/>
      <c r="AB89" s="278"/>
      <c r="AC89" s="278"/>
      <c r="AD89" s="278"/>
      <c r="AE89" s="278"/>
      <c r="AF89" s="278"/>
      <c r="AG89" s="278"/>
      <c r="AH89" s="278"/>
      <c r="AI89" s="278"/>
      <c r="AJ89" s="278"/>
      <c r="AK89" s="278"/>
      <c r="AL89" s="282"/>
      <c r="AM89" s="158"/>
      <c r="AN89" s="158"/>
      <c r="AO89" s="158"/>
      <c r="AP89" s="158"/>
      <c r="AQ89" s="843"/>
      <c r="AR89" s="843"/>
      <c r="AS89" s="843"/>
      <c r="AT89" s="843"/>
      <c r="AU89" s="843"/>
      <c r="AV89" s="843"/>
      <c r="AW89" s="843"/>
      <c r="AX89" s="843"/>
      <c r="AY89" s="843"/>
    </row>
    <row r="90" spans="1:51" ht="15.75">
      <c r="A90" s="158"/>
      <c r="B90" s="286" t="s">
        <v>1849</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78"/>
      <c r="AH90" s="278"/>
      <c r="AI90" s="278"/>
      <c r="AJ90" s="278"/>
      <c r="AK90" s="278"/>
      <c r="AL90" s="282"/>
      <c r="AM90" s="158"/>
      <c r="AN90" s="158"/>
      <c r="AO90" s="158"/>
      <c r="AP90" s="158"/>
      <c r="AQ90" s="843"/>
      <c r="AR90" s="843"/>
      <c r="AS90" s="843"/>
      <c r="AT90" s="843"/>
      <c r="AU90" s="843"/>
      <c r="AV90" s="843"/>
      <c r="AW90" s="843"/>
      <c r="AX90" s="843"/>
      <c r="AY90" s="843"/>
    </row>
    <row r="91" spans="1:51" ht="15">
      <c r="A91" s="158"/>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278"/>
      <c r="AH91" s="278"/>
      <c r="AI91" s="278"/>
      <c r="AJ91" s="278"/>
      <c r="AK91" s="278"/>
      <c r="AL91" s="282"/>
      <c r="AM91" s="158"/>
      <c r="AN91" s="158"/>
      <c r="AO91" s="158"/>
      <c r="AP91" s="158"/>
      <c r="AQ91" s="843"/>
      <c r="AR91" s="843"/>
      <c r="AS91" s="843"/>
      <c r="AT91" s="843"/>
      <c r="AU91" s="843"/>
      <c r="AV91" s="843"/>
      <c r="AW91" s="843"/>
      <c r="AX91" s="843"/>
      <c r="AY91" s="843"/>
    </row>
    <row r="92" spans="1:51">
      <c r="A92" s="158"/>
      <c r="B92" s="209"/>
      <c r="C92" s="209"/>
      <c r="D92" s="209"/>
      <c r="E92" s="209"/>
      <c r="F92" s="209"/>
      <c r="G92" s="209"/>
      <c r="H92" s="209"/>
      <c r="I92" s="209"/>
      <c r="J92" s="209"/>
      <c r="K92" s="209"/>
      <c r="L92" s="209"/>
      <c r="M92" s="209"/>
      <c r="N92" s="209"/>
      <c r="O92" s="210"/>
      <c r="P92" s="198"/>
      <c r="Q92" s="198"/>
      <c r="R92" s="559">
        <v>1995</v>
      </c>
      <c r="S92" s="559">
        <v>1996</v>
      </c>
      <c r="T92" s="559">
        <v>1997</v>
      </c>
      <c r="U92" s="559">
        <v>1998</v>
      </c>
      <c r="V92" s="559">
        <v>1999</v>
      </c>
      <c r="W92" s="559">
        <v>2000</v>
      </c>
      <c r="X92" s="1121">
        <v>2001</v>
      </c>
      <c r="Y92" s="1121">
        <v>2002</v>
      </c>
      <c r="Z92" s="1121">
        <v>2003</v>
      </c>
      <c r="AA92" s="1121">
        <v>2004</v>
      </c>
      <c r="AB92" s="1121">
        <v>2005</v>
      </c>
      <c r="AC92" s="1121">
        <v>2006</v>
      </c>
      <c r="AD92" s="1121">
        <v>2007</v>
      </c>
      <c r="AE92" s="1121">
        <v>2008</v>
      </c>
      <c r="AF92" s="1121">
        <v>2009</v>
      </c>
      <c r="AG92" s="1121">
        <v>2010</v>
      </c>
      <c r="AH92" s="1121">
        <v>2011</v>
      </c>
      <c r="AI92" s="1121">
        <v>2012</v>
      </c>
      <c r="AJ92" s="1121">
        <v>2013</v>
      </c>
      <c r="AK92" s="1121">
        <v>2014</v>
      </c>
      <c r="AL92" s="1121">
        <v>2015</v>
      </c>
      <c r="AM92" s="1121">
        <v>2016</v>
      </c>
      <c r="AN92" s="1121">
        <v>2017</v>
      </c>
      <c r="AO92" s="1121">
        <v>2018</v>
      </c>
      <c r="AP92" s="1121">
        <v>2019</v>
      </c>
      <c r="AQ92" s="1121">
        <v>2020</v>
      </c>
      <c r="AR92" s="1121">
        <v>2021</v>
      </c>
      <c r="AS92" s="158"/>
      <c r="AT92" s="158"/>
      <c r="AU92" s="158"/>
      <c r="AV92" s="158"/>
      <c r="AW92" s="158"/>
      <c r="AX92" s="158"/>
      <c r="AY92" s="158"/>
    </row>
    <row r="93" spans="1:51">
      <c r="A93" s="158"/>
      <c r="B93" s="158"/>
      <c r="C93" s="158"/>
      <c r="D93" s="158"/>
      <c r="E93" s="158"/>
      <c r="F93" s="158"/>
      <c r="G93" s="158"/>
      <c r="H93" s="158"/>
      <c r="I93" s="158"/>
      <c r="J93" s="158"/>
      <c r="K93" s="158"/>
      <c r="L93" s="158"/>
      <c r="M93" s="158"/>
      <c r="N93" s="158"/>
      <c r="O93" s="158"/>
      <c r="P93" s="158"/>
      <c r="Q93" s="158"/>
      <c r="R93" s="282"/>
      <c r="S93" s="282"/>
      <c r="T93" s="282"/>
      <c r="U93" s="282"/>
      <c r="V93" s="282"/>
      <c r="W93" s="282"/>
      <c r="X93" s="278"/>
      <c r="Y93" s="278"/>
      <c r="Z93" s="278"/>
      <c r="AA93" s="278"/>
      <c r="AB93" s="278"/>
      <c r="AC93" s="278"/>
      <c r="AD93" s="278"/>
      <c r="AE93" s="278"/>
      <c r="AF93" s="278"/>
      <c r="AG93" s="278"/>
      <c r="AH93" s="278"/>
      <c r="AI93" s="278"/>
      <c r="AJ93" s="278"/>
      <c r="AK93" s="278"/>
      <c r="AL93" s="282"/>
      <c r="AM93" s="158"/>
      <c r="AN93" s="158"/>
      <c r="AO93" s="158"/>
      <c r="AP93" s="158"/>
      <c r="AQ93" s="158"/>
      <c r="AR93" s="158"/>
      <c r="AS93" s="158"/>
      <c r="AT93" s="158"/>
      <c r="AU93" s="158"/>
      <c r="AV93" s="158"/>
      <c r="AW93" s="158"/>
      <c r="AX93" s="158"/>
      <c r="AY93" s="158"/>
    </row>
    <row r="94" spans="1:51">
      <c r="A94" s="158"/>
      <c r="B94" s="1174" t="s">
        <v>1560</v>
      </c>
      <c r="C94" s="276"/>
      <c r="D94" s="276"/>
      <c r="E94" s="276"/>
      <c r="F94" s="276"/>
      <c r="G94" s="276"/>
      <c r="H94" s="276"/>
      <c r="I94" s="276"/>
      <c r="J94" s="276"/>
      <c r="K94" s="276"/>
      <c r="L94" s="276"/>
      <c r="M94" s="276"/>
      <c r="N94" s="276"/>
      <c r="O94" s="276"/>
      <c r="P94" s="276"/>
      <c r="Q94" s="276"/>
      <c r="R94" s="302">
        <f t="shared" ref="R94:AR94" si="12">SUM(R96,R103)</f>
        <v>0</v>
      </c>
      <c r="S94" s="302">
        <f t="shared" si="12"/>
        <v>0</v>
      </c>
      <c r="T94" s="302">
        <f t="shared" si="12"/>
        <v>0</v>
      </c>
      <c r="U94" s="302">
        <f t="shared" si="12"/>
        <v>0</v>
      </c>
      <c r="V94" s="302">
        <f t="shared" si="12"/>
        <v>0</v>
      </c>
      <c r="W94" s="302">
        <f t="shared" si="12"/>
        <v>0</v>
      </c>
      <c r="X94" s="302">
        <f t="shared" si="12"/>
        <v>0</v>
      </c>
      <c r="Y94" s="302">
        <f t="shared" si="12"/>
        <v>0</v>
      </c>
      <c r="Z94" s="302">
        <f t="shared" si="12"/>
        <v>0</v>
      </c>
      <c r="AA94" s="302">
        <f t="shared" si="12"/>
        <v>0</v>
      </c>
      <c r="AB94" s="302">
        <f t="shared" si="12"/>
        <v>0</v>
      </c>
      <c r="AC94" s="302">
        <f t="shared" si="12"/>
        <v>0</v>
      </c>
      <c r="AD94" s="302">
        <f t="shared" si="12"/>
        <v>0</v>
      </c>
      <c r="AE94" s="302">
        <f t="shared" si="12"/>
        <v>0</v>
      </c>
      <c r="AF94" s="302">
        <f t="shared" si="12"/>
        <v>0</v>
      </c>
      <c r="AG94" s="302">
        <f t="shared" si="12"/>
        <v>0</v>
      </c>
      <c r="AH94" s="302">
        <f t="shared" si="12"/>
        <v>0</v>
      </c>
      <c r="AI94" s="302">
        <f t="shared" si="12"/>
        <v>0</v>
      </c>
      <c r="AJ94" s="302">
        <f t="shared" si="12"/>
        <v>0</v>
      </c>
      <c r="AK94" s="302">
        <f t="shared" si="12"/>
        <v>0</v>
      </c>
      <c r="AL94" s="302">
        <f t="shared" si="12"/>
        <v>0</v>
      </c>
      <c r="AM94" s="302">
        <f t="shared" si="12"/>
        <v>0</v>
      </c>
      <c r="AN94" s="302">
        <f t="shared" si="12"/>
        <v>0</v>
      </c>
      <c r="AO94" s="302">
        <f t="shared" si="12"/>
        <v>0</v>
      </c>
      <c r="AP94" s="302">
        <f t="shared" si="12"/>
        <v>0</v>
      </c>
      <c r="AQ94" s="302">
        <f t="shared" si="12"/>
        <v>0</v>
      </c>
      <c r="AR94" s="302">
        <f t="shared" si="12"/>
        <v>0</v>
      </c>
      <c r="AS94" s="158"/>
      <c r="AT94" s="158"/>
      <c r="AU94" s="158"/>
      <c r="AV94" s="158"/>
      <c r="AW94" s="158"/>
      <c r="AX94" s="158"/>
      <c r="AY94" s="158"/>
    </row>
    <row r="95" spans="1:51">
      <c r="A95" s="158"/>
      <c r="B95" s="1174"/>
      <c r="C95" s="276"/>
      <c r="D95" s="276"/>
      <c r="E95" s="276"/>
      <c r="F95" s="276"/>
      <c r="G95" s="276"/>
      <c r="H95" s="276"/>
      <c r="I95" s="276"/>
      <c r="J95" s="276"/>
      <c r="K95" s="276"/>
      <c r="L95" s="276"/>
      <c r="M95" s="276"/>
      <c r="N95" s="276"/>
      <c r="O95" s="276"/>
      <c r="P95" s="276"/>
      <c r="Q95" s="276"/>
      <c r="R95" s="278"/>
      <c r="S95" s="278"/>
      <c r="T95" s="278"/>
      <c r="U95" s="278"/>
      <c r="V95" s="278"/>
      <c r="W95" s="278"/>
      <c r="X95" s="278"/>
      <c r="Y95" s="278"/>
      <c r="Z95" s="278"/>
      <c r="AA95" s="278"/>
      <c r="AB95" s="278"/>
      <c r="AC95" s="278"/>
      <c r="AD95" s="278"/>
      <c r="AE95" s="278"/>
      <c r="AF95" s="285"/>
      <c r="AG95" s="285"/>
      <c r="AH95" s="285"/>
      <c r="AI95" s="285"/>
      <c r="AJ95" s="285"/>
      <c r="AK95" s="285"/>
      <c r="AL95" s="278"/>
      <c r="AM95" s="276"/>
      <c r="AN95" s="276"/>
      <c r="AO95" s="276"/>
      <c r="AP95" s="276"/>
      <c r="AQ95" s="276"/>
      <c r="AR95" s="276"/>
      <c r="AS95" s="158"/>
      <c r="AT95" s="158"/>
      <c r="AU95" s="158"/>
      <c r="AV95" s="158"/>
      <c r="AW95" s="158"/>
      <c r="AX95" s="158"/>
      <c r="AY95" s="158"/>
    </row>
    <row r="96" spans="1:51">
      <c r="A96" s="158"/>
      <c r="B96" s="1174"/>
      <c r="C96" s="276"/>
      <c r="D96" s="276"/>
      <c r="E96" s="276"/>
      <c r="F96" s="276"/>
      <c r="G96" s="276"/>
      <c r="H96" s="276"/>
      <c r="I96" s="276"/>
      <c r="J96" s="276"/>
      <c r="K96" s="276"/>
      <c r="L96" s="276"/>
      <c r="M96" s="276"/>
      <c r="N96" s="276"/>
      <c r="O96" s="276"/>
      <c r="P96" s="276"/>
      <c r="Q96" s="276"/>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158"/>
      <c r="AT96" s="158"/>
      <c r="AU96" s="158"/>
      <c r="AV96" s="158"/>
      <c r="AW96" s="158"/>
      <c r="AX96" s="158"/>
      <c r="AY96" s="158"/>
    </row>
    <row r="97" spans="1:51" outlineLevel="1">
      <c r="A97" s="158"/>
      <c r="B97" s="1175"/>
      <c r="C97" s="1176"/>
      <c r="D97" s="276"/>
      <c r="E97" s="276"/>
      <c r="F97" s="276"/>
      <c r="G97" s="276"/>
      <c r="H97" s="276"/>
      <c r="I97" s="276"/>
      <c r="J97" s="276"/>
      <c r="K97" s="276"/>
      <c r="L97" s="276"/>
      <c r="M97" s="276"/>
      <c r="N97" s="276"/>
      <c r="O97" s="276"/>
      <c r="P97" s="276"/>
      <c r="Q97" s="276"/>
      <c r="R97" s="278"/>
      <c r="S97" s="278"/>
      <c r="T97" s="278"/>
      <c r="U97" s="278"/>
      <c r="V97" s="278"/>
      <c r="W97" s="278"/>
      <c r="X97" s="278"/>
      <c r="Y97" s="278"/>
      <c r="Z97" s="278"/>
      <c r="AA97" s="278"/>
      <c r="AB97" s="278"/>
      <c r="AC97" s="278"/>
      <c r="AD97" s="278"/>
      <c r="AE97" s="278"/>
      <c r="AF97" s="278"/>
      <c r="AG97" s="278"/>
      <c r="AH97" s="278"/>
      <c r="AI97" s="278"/>
      <c r="AJ97" s="278"/>
      <c r="AK97" s="278"/>
      <c r="AL97" s="278"/>
      <c r="AM97" s="278"/>
      <c r="AN97" s="278"/>
      <c r="AO97" s="278"/>
      <c r="AP97" s="1177"/>
      <c r="AQ97" s="278"/>
      <c r="AR97" s="278"/>
      <c r="AS97" s="158"/>
      <c r="AT97" s="158"/>
      <c r="AU97" s="158"/>
      <c r="AV97" s="158"/>
      <c r="AW97" s="158"/>
      <c r="AX97" s="158"/>
      <c r="AY97" s="158"/>
    </row>
    <row r="98" spans="1:51" outlineLevel="1">
      <c r="A98" s="158"/>
      <c r="B98" s="1175"/>
      <c r="C98" s="1176"/>
      <c r="D98" s="276"/>
      <c r="E98" s="276"/>
      <c r="F98" s="276"/>
      <c r="G98" s="276"/>
      <c r="H98" s="276"/>
      <c r="I98" s="276"/>
      <c r="J98" s="276"/>
      <c r="K98" s="276"/>
      <c r="L98" s="276"/>
      <c r="M98" s="276"/>
      <c r="N98" s="276"/>
      <c r="O98" s="276"/>
      <c r="P98" s="276"/>
      <c r="Q98" s="276"/>
      <c r="R98" s="278"/>
      <c r="S98" s="278"/>
      <c r="T98" s="278"/>
      <c r="U98" s="278"/>
      <c r="V98" s="278"/>
      <c r="W98" s="278"/>
      <c r="X98" s="278"/>
      <c r="Y98" s="278"/>
      <c r="Z98" s="278"/>
      <c r="AA98" s="278"/>
      <c r="AB98" s="278"/>
      <c r="AC98" s="278"/>
      <c r="AD98" s="278"/>
      <c r="AE98" s="278"/>
      <c r="AF98" s="278"/>
      <c r="AG98" s="278"/>
      <c r="AH98" s="278"/>
      <c r="AI98" s="278"/>
      <c r="AJ98" s="278"/>
      <c r="AK98" s="278"/>
      <c r="AL98" s="278"/>
      <c r="AM98" s="278"/>
      <c r="AN98" s="278"/>
      <c r="AO98" s="278"/>
      <c r="AP98" s="1178"/>
      <c r="AQ98" s="278"/>
      <c r="AR98" s="278"/>
      <c r="AS98" s="158"/>
      <c r="AT98" s="158"/>
      <c r="AU98" s="158"/>
      <c r="AV98" s="158"/>
      <c r="AW98" s="158"/>
      <c r="AX98" s="158"/>
      <c r="AY98" s="158"/>
    </row>
    <row r="99" spans="1:51" outlineLevel="1">
      <c r="A99" s="158"/>
      <c r="B99" s="1175"/>
      <c r="C99" s="1176"/>
      <c r="D99" s="276"/>
      <c r="E99" s="276"/>
      <c r="F99" s="276"/>
      <c r="G99" s="276"/>
      <c r="H99" s="276"/>
      <c r="I99" s="276"/>
      <c r="J99" s="276"/>
      <c r="K99" s="276"/>
      <c r="L99" s="276"/>
      <c r="M99" s="276"/>
      <c r="N99" s="276"/>
      <c r="O99" s="276"/>
      <c r="P99" s="276"/>
      <c r="Q99" s="276"/>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1177"/>
      <c r="AQ99" s="278"/>
      <c r="AR99" s="278"/>
      <c r="AS99" s="158"/>
      <c r="AT99" s="158"/>
      <c r="AU99" s="158"/>
      <c r="AV99" s="158"/>
      <c r="AW99" s="158"/>
      <c r="AX99" s="158"/>
      <c r="AY99" s="158"/>
    </row>
    <row r="100" spans="1:51" outlineLevel="1">
      <c r="A100" s="158"/>
      <c r="B100" s="1175"/>
      <c r="C100" s="1176"/>
      <c r="D100" s="276"/>
      <c r="E100" s="276"/>
      <c r="F100" s="276"/>
      <c r="G100" s="276"/>
      <c r="H100" s="276"/>
      <c r="I100" s="276"/>
      <c r="J100" s="276"/>
      <c r="K100" s="276"/>
      <c r="L100" s="276"/>
      <c r="M100" s="276"/>
      <c r="N100" s="276"/>
      <c r="O100" s="276"/>
      <c r="P100" s="276"/>
      <c r="Q100" s="276"/>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1179"/>
      <c r="AQ100" s="278"/>
      <c r="AR100" s="278"/>
      <c r="AS100" s="158"/>
      <c r="AT100" s="158"/>
      <c r="AU100" s="158"/>
      <c r="AV100" s="158"/>
      <c r="AW100" s="158"/>
      <c r="AX100" s="158"/>
      <c r="AY100" s="158"/>
    </row>
    <row r="101" spans="1:51" outlineLevel="1">
      <c r="A101" s="158"/>
      <c r="X101" s="1164"/>
      <c r="Y101" s="1164"/>
      <c r="Z101" s="1164"/>
      <c r="AA101" s="1164"/>
      <c r="AB101" s="1164"/>
      <c r="AC101" s="1164"/>
      <c r="AD101" s="1164"/>
      <c r="AE101" s="1164"/>
      <c r="AF101" s="1164"/>
      <c r="AJ101" s="1164"/>
      <c r="AO101" s="1180"/>
      <c r="AP101" s="1180"/>
      <c r="AQ101" s="1180"/>
      <c r="AR101" s="1180"/>
      <c r="AS101" s="158"/>
      <c r="AT101" s="158"/>
      <c r="AU101" s="158"/>
      <c r="AV101" s="158"/>
      <c r="AW101" s="158"/>
      <c r="AX101" s="158"/>
      <c r="AY101" s="158"/>
    </row>
    <row r="102" spans="1:51" ht="15">
      <c r="A102" s="158"/>
      <c r="B102" s="1181"/>
      <c r="C102" s="1182"/>
      <c r="D102" s="276"/>
      <c r="E102" s="276"/>
      <c r="F102" s="276"/>
      <c r="G102" s="276"/>
      <c r="H102" s="276"/>
      <c r="I102" s="276"/>
      <c r="J102" s="276"/>
      <c r="K102" s="276"/>
      <c r="L102" s="276"/>
      <c r="M102" s="276"/>
      <c r="N102" s="276"/>
      <c r="O102" s="276"/>
      <c r="P102" s="276"/>
      <c r="Q102" s="276"/>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843"/>
      <c r="AT102" s="843"/>
      <c r="AU102" s="843"/>
      <c r="AV102" s="843"/>
      <c r="AW102" s="843"/>
      <c r="AX102" s="843"/>
      <c r="AY102" s="843"/>
    </row>
    <row r="103" spans="1:51" ht="15">
      <c r="A103" s="158"/>
      <c r="B103" s="1183"/>
      <c r="C103" s="1182"/>
      <c r="D103" s="276"/>
      <c r="E103" s="276"/>
      <c r="F103" s="276"/>
      <c r="G103" s="276"/>
      <c r="H103" s="276"/>
      <c r="I103" s="276"/>
      <c r="J103" s="276"/>
      <c r="K103" s="276"/>
      <c r="L103" s="276"/>
      <c r="M103" s="276"/>
      <c r="N103" s="276"/>
      <c r="O103" s="276"/>
      <c r="P103" s="276"/>
      <c r="Q103" s="276"/>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843"/>
      <c r="AT103" s="843"/>
      <c r="AU103" s="843"/>
      <c r="AV103" s="843"/>
      <c r="AW103" s="843"/>
      <c r="AX103" s="843"/>
      <c r="AY103" s="843"/>
    </row>
    <row r="104" spans="1:51" ht="15">
      <c r="A104" s="158"/>
      <c r="B104" s="1181"/>
      <c r="C104" s="1182"/>
      <c r="D104" s="276"/>
      <c r="E104" s="276"/>
      <c r="F104" s="276"/>
      <c r="G104" s="276"/>
      <c r="H104" s="276"/>
      <c r="I104" s="276"/>
      <c r="J104" s="276"/>
      <c r="K104" s="276"/>
      <c r="L104" s="276"/>
      <c r="M104" s="276"/>
      <c r="N104" s="276"/>
      <c r="O104" s="276"/>
      <c r="P104" s="276"/>
      <c r="Q104" s="276"/>
      <c r="R104" s="278"/>
      <c r="S104" s="278"/>
      <c r="T104" s="278"/>
      <c r="U104" s="278"/>
      <c r="V104" s="278"/>
      <c r="W104" s="278"/>
      <c r="X104" s="278"/>
      <c r="Y104" s="278"/>
      <c r="Z104" s="278"/>
      <c r="AA104" s="278"/>
      <c r="AB104" s="278"/>
      <c r="AC104" s="278"/>
      <c r="AD104" s="278"/>
      <c r="AE104" s="278"/>
      <c r="AF104" s="285"/>
      <c r="AG104" s="285"/>
      <c r="AH104" s="285"/>
      <c r="AI104" s="285"/>
      <c r="AJ104" s="285"/>
      <c r="AK104" s="285"/>
      <c r="AL104" s="278"/>
      <c r="AM104" s="276"/>
      <c r="AN104" s="276"/>
      <c r="AO104" s="276"/>
      <c r="AP104" s="276"/>
      <c r="AQ104" s="276"/>
      <c r="AR104" s="276"/>
      <c r="AS104" s="843"/>
      <c r="AT104" s="843"/>
      <c r="AU104" s="843"/>
      <c r="AV104" s="843"/>
      <c r="AW104" s="843"/>
      <c r="AX104" s="843"/>
      <c r="AY104" s="843"/>
    </row>
    <row r="105" spans="1:51" ht="15">
      <c r="A105" s="158"/>
      <c r="B105" s="1175"/>
      <c r="C105" s="1176"/>
      <c r="D105" s="276"/>
      <c r="E105" s="276"/>
      <c r="F105" s="276"/>
      <c r="G105" s="276"/>
      <c r="H105" s="276"/>
      <c r="I105" s="276"/>
      <c r="J105" s="276"/>
      <c r="K105" s="276"/>
      <c r="L105" s="276"/>
      <c r="M105" s="276"/>
      <c r="N105" s="276"/>
      <c r="O105" s="276"/>
      <c r="P105" s="276"/>
      <c r="Q105" s="276"/>
      <c r="R105" s="278"/>
      <c r="S105" s="278"/>
      <c r="T105" s="278"/>
      <c r="U105" s="278"/>
      <c r="V105" s="278"/>
      <c r="W105" s="278"/>
      <c r="X105" s="278"/>
      <c r="Y105" s="278"/>
      <c r="Z105" s="278"/>
      <c r="AA105" s="278"/>
      <c r="AB105" s="278"/>
      <c r="AC105" s="278"/>
      <c r="AD105" s="278"/>
      <c r="AE105" s="278"/>
      <c r="AF105" s="278"/>
      <c r="AG105" s="278"/>
      <c r="AH105" s="278"/>
      <c r="AI105" s="278"/>
      <c r="AJ105" s="278"/>
      <c r="AK105" s="278"/>
      <c r="AL105" s="278"/>
      <c r="AM105" s="278"/>
      <c r="AN105" s="278"/>
      <c r="AO105" s="278"/>
      <c r="AP105" s="1177"/>
      <c r="AQ105" s="278"/>
      <c r="AR105" s="278"/>
      <c r="AS105" s="843"/>
      <c r="AT105" s="843"/>
      <c r="AU105" s="843"/>
      <c r="AV105" s="843"/>
      <c r="AW105" s="843"/>
      <c r="AX105" s="843"/>
      <c r="AY105" s="843"/>
    </row>
    <row r="106" spans="1:51" ht="15">
      <c r="A106" s="158"/>
      <c r="B106" s="1175"/>
      <c r="C106" s="1176"/>
      <c r="D106" s="276"/>
      <c r="E106" s="276"/>
      <c r="F106" s="276"/>
      <c r="G106" s="276"/>
      <c r="H106" s="276"/>
      <c r="I106" s="276"/>
      <c r="J106" s="276"/>
      <c r="K106" s="276"/>
      <c r="L106" s="276"/>
      <c r="M106" s="276"/>
      <c r="N106" s="276"/>
      <c r="O106" s="276"/>
      <c r="P106" s="276"/>
      <c r="Q106" s="276"/>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8"/>
      <c r="AM106" s="278"/>
      <c r="AN106" s="278"/>
      <c r="AO106" s="278"/>
      <c r="AP106" s="1184"/>
      <c r="AQ106" s="278"/>
      <c r="AR106" s="278"/>
      <c r="AS106" s="843"/>
      <c r="AT106" s="843"/>
      <c r="AU106" s="843"/>
      <c r="AV106" s="843"/>
      <c r="AW106" s="843"/>
      <c r="AX106" s="843"/>
      <c r="AY106" s="843"/>
    </row>
    <row r="107" spans="1:51" ht="15">
      <c r="A107" s="158"/>
      <c r="B107" s="1181"/>
      <c r="C107" s="1182"/>
      <c r="D107" s="276"/>
      <c r="E107" s="276"/>
      <c r="F107" s="276"/>
      <c r="G107" s="276"/>
      <c r="H107" s="276"/>
      <c r="I107" s="276"/>
      <c r="J107" s="276"/>
      <c r="K107" s="276"/>
      <c r="L107" s="276"/>
      <c r="M107" s="276"/>
      <c r="N107" s="276"/>
      <c r="O107" s="276"/>
      <c r="P107" s="276"/>
      <c r="Q107" s="276"/>
      <c r="R107" s="278"/>
      <c r="S107" s="278"/>
      <c r="T107" s="278"/>
      <c r="U107" s="278"/>
      <c r="V107" s="278"/>
      <c r="W107" s="278"/>
      <c r="X107" s="278"/>
      <c r="Y107" s="278"/>
      <c r="Z107" s="278"/>
      <c r="AA107" s="278"/>
      <c r="AB107" s="278"/>
      <c r="AC107" s="278"/>
      <c r="AD107" s="278"/>
      <c r="AE107" s="278"/>
      <c r="AF107" s="278"/>
      <c r="AG107" s="278"/>
      <c r="AH107" s="278"/>
      <c r="AI107" s="278"/>
      <c r="AJ107" s="278"/>
      <c r="AK107" s="278"/>
      <c r="AL107" s="278"/>
      <c r="AM107" s="278"/>
      <c r="AN107" s="278"/>
      <c r="AO107" s="278"/>
      <c r="AP107" s="1185"/>
      <c r="AQ107" s="278"/>
      <c r="AR107" s="278"/>
      <c r="AS107" s="843"/>
      <c r="AT107" s="843"/>
      <c r="AU107" s="843"/>
      <c r="AV107" s="843"/>
      <c r="AW107" s="843"/>
      <c r="AX107" s="843"/>
      <c r="AY107" s="843"/>
    </row>
    <row r="108" spans="1:51" ht="15">
      <c r="A108" s="158"/>
      <c r="B108" s="1181"/>
      <c r="C108" s="1182"/>
      <c r="D108" s="276"/>
      <c r="E108" s="276"/>
      <c r="F108" s="276"/>
      <c r="G108" s="276"/>
      <c r="H108" s="276"/>
      <c r="I108" s="276"/>
      <c r="J108" s="276"/>
      <c r="K108" s="276"/>
      <c r="L108" s="276"/>
      <c r="M108" s="276"/>
      <c r="N108" s="276"/>
      <c r="O108" s="276"/>
      <c r="P108" s="276"/>
      <c r="Q108" s="276"/>
      <c r="R108" s="278"/>
      <c r="S108" s="278"/>
      <c r="T108" s="278"/>
      <c r="U108" s="278"/>
      <c r="V108" s="278"/>
      <c r="W108" s="278"/>
      <c r="X108" s="278"/>
      <c r="Y108" s="278"/>
      <c r="Z108" s="278"/>
      <c r="AA108" s="278"/>
      <c r="AB108" s="278"/>
      <c r="AC108" s="278"/>
      <c r="AD108" s="278"/>
      <c r="AE108" s="278"/>
      <c r="AF108" s="278"/>
      <c r="AG108" s="278"/>
      <c r="AH108" s="278"/>
      <c r="AI108" s="278"/>
      <c r="AJ108" s="278"/>
      <c r="AK108" s="278"/>
      <c r="AL108" s="278"/>
      <c r="AM108" s="278"/>
      <c r="AN108" s="278"/>
      <c r="AO108" s="278"/>
      <c r="AP108" s="1186"/>
      <c r="AQ108" s="278"/>
      <c r="AR108" s="278"/>
      <c r="AS108" s="843"/>
      <c r="AT108" s="843"/>
      <c r="AU108" s="843"/>
      <c r="AV108" s="843"/>
      <c r="AW108" s="843"/>
      <c r="AX108" s="843"/>
      <c r="AY108" s="843"/>
    </row>
    <row r="109" spans="1:51" ht="15">
      <c r="A109" s="158"/>
      <c r="B109" s="1187"/>
      <c r="C109" s="276"/>
      <c r="D109" s="276"/>
      <c r="E109" s="276"/>
      <c r="F109" s="276"/>
      <c r="G109" s="276"/>
      <c r="H109" s="276"/>
      <c r="I109" s="276"/>
      <c r="J109" s="276"/>
      <c r="K109" s="276"/>
      <c r="L109" s="276"/>
      <c r="M109" s="276"/>
      <c r="N109" s="276"/>
      <c r="O109" s="276"/>
      <c r="P109" s="276"/>
      <c r="Q109" s="276"/>
      <c r="R109" s="278"/>
      <c r="S109" s="278"/>
      <c r="T109" s="278"/>
      <c r="U109" s="278"/>
      <c r="V109" s="278"/>
      <c r="W109" s="278"/>
      <c r="X109" s="278"/>
      <c r="Y109" s="278"/>
      <c r="Z109" s="278"/>
      <c r="AA109" s="278"/>
      <c r="AB109" s="278"/>
      <c r="AC109" s="278"/>
      <c r="AD109" s="278"/>
      <c r="AE109" s="278"/>
      <c r="AF109" s="285"/>
      <c r="AG109" s="285"/>
      <c r="AH109" s="285"/>
      <c r="AI109" s="285"/>
      <c r="AJ109" s="285"/>
      <c r="AK109" s="285"/>
      <c r="AL109" s="278"/>
      <c r="AM109" s="276"/>
      <c r="AN109" s="276"/>
      <c r="AO109" s="278"/>
      <c r="AP109" s="278"/>
      <c r="AQ109" s="278"/>
      <c r="AR109" s="276"/>
      <c r="AS109" s="843"/>
      <c r="AT109" s="843"/>
      <c r="AU109" s="843"/>
      <c r="AV109" s="843"/>
      <c r="AW109" s="843"/>
      <c r="AX109" s="843"/>
      <c r="AY109" s="843"/>
    </row>
    <row r="110" spans="1:51" ht="15">
      <c r="A110" s="158"/>
      <c r="B110" s="1187" t="s">
        <v>78</v>
      </c>
      <c r="C110" s="285"/>
      <c r="D110" s="276"/>
      <c r="E110" s="276"/>
      <c r="F110" s="276"/>
      <c r="G110" s="276"/>
      <c r="H110" s="276"/>
      <c r="I110" s="276"/>
      <c r="J110" s="276"/>
      <c r="K110" s="276"/>
      <c r="L110" s="276"/>
      <c r="M110" s="276"/>
      <c r="N110" s="276"/>
      <c r="O110" s="276"/>
      <c r="P110" s="276"/>
      <c r="Q110" s="276"/>
      <c r="R110" s="302">
        <f t="shared" ref="R110:AR110" si="13">SUM(R111:R111)</f>
        <v>0</v>
      </c>
      <c r="S110" s="302">
        <f t="shared" si="13"/>
        <v>0</v>
      </c>
      <c r="T110" s="302">
        <f t="shared" si="13"/>
        <v>0</v>
      </c>
      <c r="U110" s="302">
        <f t="shared" si="13"/>
        <v>0</v>
      </c>
      <c r="V110" s="302">
        <f t="shared" si="13"/>
        <v>0</v>
      </c>
      <c r="W110" s="302">
        <f t="shared" si="13"/>
        <v>0</v>
      </c>
      <c r="X110" s="302">
        <f t="shared" si="13"/>
        <v>0</v>
      </c>
      <c r="Y110" s="302">
        <f t="shared" si="13"/>
        <v>0</v>
      </c>
      <c r="Z110" s="302">
        <f t="shared" si="13"/>
        <v>0</v>
      </c>
      <c r="AA110" s="302">
        <f t="shared" si="13"/>
        <v>0</v>
      </c>
      <c r="AB110" s="302">
        <f t="shared" si="13"/>
        <v>0</v>
      </c>
      <c r="AC110" s="302">
        <f t="shared" si="13"/>
        <v>0</v>
      </c>
      <c r="AD110" s="302">
        <f t="shared" si="13"/>
        <v>0</v>
      </c>
      <c r="AE110" s="302">
        <f t="shared" si="13"/>
        <v>0</v>
      </c>
      <c r="AF110" s="302">
        <f t="shared" si="13"/>
        <v>0</v>
      </c>
      <c r="AG110" s="302">
        <f t="shared" si="13"/>
        <v>0</v>
      </c>
      <c r="AH110" s="302">
        <f t="shared" si="13"/>
        <v>0</v>
      </c>
      <c r="AI110" s="302">
        <f t="shared" si="13"/>
        <v>0</v>
      </c>
      <c r="AJ110" s="302">
        <f t="shared" si="13"/>
        <v>0</v>
      </c>
      <c r="AK110" s="302">
        <f t="shared" si="13"/>
        <v>0</v>
      </c>
      <c r="AL110" s="302">
        <f t="shared" si="13"/>
        <v>0</v>
      </c>
      <c r="AM110" s="302">
        <f t="shared" si="13"/>
        <v>0</v>
      </c>
      <c r="AN110" s="302">
        <f t="shared" si="13"/>
        <v>0</v>
      </c>
      <c r="AO110" s="302">
        <f t="shared" si="13"/>
        <v>0</v>
      </c>
      <c r="AP110" s="302">
        <f t="shared" si="13"/>
        <v>0</v>
      </c>
      <c r="AQ110" s="302">
        <f t="shared" si="13"/>
        <v>0</v>
      </c>
      <c r="AR110" s="302">
        <f t="shared" si="13"/>
        <v>0</v>
      </c>
      <c r="AS110" s="843"/>
      <c r="AT110" s="843"/>
      <c r="AU110" s="843"/>
      <c r="AV110" s="843"/>
      <c r="AW110" s="843"/>
      <c r="AX110" s="843"/>
      <c r="AY110" s="843"/>
    </row>
    <row r="111" spans="1:51" ht="15">
      <c r="A111" s="158"/>
      <c r="B111" s="1174"/>
      <c r="C111" s="285"/>
      <c r="D111" s="276"/>
      <c r="E111" s="276"/>
      <c r="F111" s="276"/>
      <c r="G111" s="276"/>
      <c r="H111" s="276"/>
      <c r="I111" s="276"/>
      <c r="J111" s="276"/>
      <c r="K111" s="276"/>
      <c r="L111" s="276"/>
      <c r="M111" s="276"/>
      <c r="N111" s="276"/>
      <c r="O111" s="276"/>
      <c r="P111" s="276"/>
      <c r="Q111" s="276"/>
      <c r="R111" s="278"/>
      <c r="S111" s="278"/>
      <c r="T111" s="278"/>
      <c r="U111" s="278"/>
      <c r="V111" s="278"/>
      <c r="W111" s="278"/>
      <c r="X111" s="278"/>
      <c r="Y111" s="278"/>
      <c r="Z111" s="278"/>
      <c r="AA111" s="278"/>
      <c r="AB111" s="278"/>
      <c r="AC111" s="278"/>
      <c r="AD111" s="278"/>
      <c r="AE111" s="278"/>
      <c r="AF111" s="1188"/>
      <c r="AG111" s="1188"/>
      <c r="AH111" s="1188"/>
      <c r="AI111" s="1188"/>
      <c r="AJ111" s="1188"/>
      <c r="AK111" s="1188"/>
      <c r="AL111" s="1188"/>
      <c r="AM111" s="1188"/>
      <c r="AN111" s="1188"/>
      <c r="AO111" s="1189"/>
      <c r="AP111" s="1189"/>
      <c r="AQ111" s="1189"/>
      <c r="AR111" s="1188"/>
      <c r="AS111" s="843"/>
      <c r="AT111" s="843"/>
      <c r="AU111" s="843"/>
      <c r="AV111" s="843"/>
      <c r="AW111" s="843"/>
      <c r="AX111" s="843"/>
      <c r="AY111" s="843"/>
    </row>
    <row r="112" spans="1:51" s="1191" customFormat="1" ht="15.75">
      <c r="A112" s="311"/>
      <c r="B112" s="1190" t="s">
        <v>90</v>
      </c>
      <c r="C112" s="848"/>
      <c r="D112" s="276"/>
      <c r="E112" s="276"/>
      <c r="F112" s="276"/>
      <c r="G112" s="276"/>
      <c r="H112" s="276"/>
      <c r="I112" s="276"/>
      <c r="J112" s="276"/>
      <c r="K112" s="276"/>
      <c r="L112" s="276"/>
      <c r="M112" s="276"/>
      <c r="N112" s="276"/>
      <c r="O112" s="276"/>
      <c r="P112" s="276"/>
      <c r="Q112" s="276"/>
      <c r="R112" s="276"/>
      <c r="S112" s="276"/>
      <c r="T112" s="276"/>
      <c r="U112" s="276"/>
      <c r="V112" s="278"/>
      <c r="W112" s="278"/>
      <c r="X112" s="278"/>
      <c r="Y112" s="278"/>
      <c r="Z112" s="278"/>
      <c r="AA112" s="278"/>
      <c r="AB112" s="278"/>
      <c r="AC112" s="278"/>
      <c r="AD112" s="278"/>
      <c r="AE112" s="278"/>
      <c r="AF112" s="285"/>
      <c r="AG112" s="285"/>
      <c r="AH112" s="285"/>
      <c r="AI112" s="285"/>
      <c r="AJ112" s="285"/>
      <c r="AK112" s="285"/>
      <c r="AL112" s="278"/>
      <c r="AM112" s="276"/>
      <c r="AN112" s="276"/>
      <c r="AO112" s="278"/>
      <c r="AP112" s="278"/>
      <c r="AQ112" s="278"/>
      <c r="AR112" s="276"/>
      <c r="AS112" s="843"/>
      <c r="AT112" s="1164"/>
      <c r="AU112" s="1164"/>
    </row>
    <row r="113" spans="1:47" s="1191" customFormat="1" ht="15">
      <c r="A113" s="158"/>
      <c r="B113" s="1174" t="s">
        <v>91</v>
      </c>
      <c r="C113" s="1174"/>
      <c r="D113" s="1192"/>
      <c r="E113" s="1192"/>
      <c r="F113" s="1192"/>
      <c r="G113" s="1192"/>
      <c r="H113" s="1192"/>
      <c r="I113" s="1192"/>
      <c r="J113" s="1192"/>
      <c r="K113" s="1192"/>
      <c r="L113" s="1192"/>
      <c r="M113" s="1192"/>
      <c r="N113" s="1192"/>
      <c r="O113" s="1192"/>
      <c r="P113" s="1192"/>
      <c r="Q113" s="1192"/>
      <c r="R113" s="302" t="e">
        <f>SUM(#REF!,R116)</f>
        <v>#REF!</v>
      </c>
      <c r="S113" s="302" t="e">
        <f>SUM(#REF!,S116)</f>
        <v>#REF!</v>
      </c>
      <c r="T113" s="302" t="e">
        <f>SUM(#REF!,T116)</f>
        <v>#REF!</v>
      </c>
      <c r="U113" s="302" t="e">
        <f>SUM(#REF!,U116)</f>
        <v>#REF!</v>
      </c>
      <c r="V113" s="302" t="e">
        <f>SUM(#REF!,V116)</f>
        <v>#REF!</v>
      </c>
      <c r="W113" s="302" t="e">
        <f>SUM(#REF!,W116)</f>
        <v>#REF!</v>
      </c>
      <c r="X113" s="302" t="e">
        <f>SUM(#REF!,X116)</f>
        <v>#REF!</v>
      </c>
      <c r="Y113" s="302" t="e">
        <f>SUM(#REF!,Y116)</f>
        <v>#REF!</v>
      </c>
      <c r="Z113" s="302" t="e">
        <f>SUM(#REF!,Z116)</f>
        <v>#REF!</v>
      </c>
      <c r="AA113" s="302" t="e">
        <f>SUM(#REF!,AA116)</f>
        <v>#REF!</v>
      </c>
      <c r="AB113" s="302" t="e">
        <f>SUM(#REF!,AB116)</f>
        <v>#REF!</v>
      </c>
      <c r="AC113" s="302" t="e">
        <f>SUM(#REF!,AC116)</f>
        <v>#REF!</v>
      </c>
      <c r="AD113" s="302" t="e">
        <f>SUM(#REF!,AD116)</f>
        <v>#REF!</v>
      </c>
      <c r="AE113" s="302" t="e">
        <f>SUM(#REF!,AE116)</f>
        <v>#REF!</v>
      </c>
      <c r="AF113" s="302" t="e">
        <f>SUM(#REF!,AF116)</f>
        <v>#REF!</v>
      </c>
      <c r="AG113" s="302"/>
      <c r="AH113" s="302"/>
      <c r="AI113" s="302"/>
      <c r="AJ113" s="302"/>
      <c r="AK113" s="302"/>
      <c r="AL113" s="302"/>
      <c r="AM113" s="302"/>
      <c r="AN113" s="302"/>
      <c r="AO113" s="302">
        <f>AO115</f>
        <v>0</v>
      </c>
      <c r="AP113" s="302">
        <f t="shared" ref="AP113:AR113" si="14">AP115</f>
        <v>0</v>
      </c>
      <c r="AQ113" s="302">
        <f t="shared" si="14"/>
        <v>0</v>
      </c>
      <c r="AR113" s="302">
        <f t="shared" si="14"/>
        <v>0</v>
      </c>
      <c r="AS113" s="843"/>
      <c r="AT113" s="1164"/>
      <c r="AU113" s="1164"/>
    </row>
    <row r="114" spans="1:47" s="1191" customFormat="1" ht="15">
      <c r="A114" s="158"/>
      <c r="B114" s="1174"/>
      <c r="C114" s="1174"/>
      <c r="D114" s="1192"/>
      <c r="E114" s="1192"/>
      <c r="F114" s="1192"/>
      <c r="G114" s="1192"/>
      <c r="H114" s="1192"/>
      <c r="I114" s="1192"/>
      <c r="J114" s="1192"/>
      <c r="K114" s="1192"/>
      <c r="L114" s="1192"/>
      <c r="M114" s="1192"/>
      <c r="N114" s="1192"/>
      <c r="O114" s="1192"/>
      <c r="P114" s="1192"/>
      <c r="Q114" s="1192"/>
      <c r="R114" s="278"/>
      <c r="S114" s="278"/>
      <c r="T114" s="278"/>
      <c r="U114" s="278"/>
      <c r="V114" s="278"/>
      <c r="W114" s="278"/>
      <c r="X114" s="278"/>
      <c r="Y114" s="278"/>
      <c r="Z114" s="278"/>
      <c r="AA114" s="278"/>
      <c r="AB114" s="278"/>
      <c r="AC114" s="278"/>
      <c r="AD114" s="278"/>
      <c r="AE114" s="278"/>
      <c r="AF114" s="278"/>
      <c r="AG114" s="278"/>
      <c r="AH114" s="278"/>
      <c r="AI114" s="278"/>
      <c r="AJ114" s="278"/>
      <c r="AK114" s="278"/>
      <c r="AL114" s="278"/>
      <c r="AM114" s="278"/>
      <c r="AN114" s="278"/>
      <c r="AO114" s="278"/>
      <c r="AP114" s="278"/>
      <c r="AQ114" s="278"/>
      <c r="AR114" s="278"/>
      <c r="AS114" s="843"/>
      <c r="AT114" s="1164"/>
      <c r="AU114" s="1164"/>
    </row>
    <row r="115" spans="1:47" s="1191" customFormat="1" ht="15">
      <c r="A115" s="158"/>
      <c r="B115" s="1175"/>
      <c r="C115" s="1176"/>
      <c r="D115" s="276"/>
      <c r="E115" s="276"/>
      <c r="F115" s="276"/>
      <c r="G115" s="276"/>
      <c r="H115" s="276"/>
      <c r="I115" s="276"/>
      <c r="J115" s="276"/>
      <c r="K115" s="276"/>
      <c r="L115" s="276"/>
      <c r="M115" s="276"/>
      <c r="N115" s="276"/>
      <c r="O115" s="276"/>
      <c r="P115" s="276"/>
      <c r="Q115" s="276"/>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1184"/>
      <c r="AQ115" s="278"/>
      <c r="AR115" s="278"/>
      <c r="AS115" s="843"/>
      <c r="AT115" s="1164"/>
      <c r="AU115" s="1164"/>
    </row>
    <row r="116" spans="1:47" s="1191" customFormat="1" ht="15">
      <c r="A116" s="158"/>
      <c r="B116" s="1181"/>
      <c r="C116" s="1181"/>
      <c r="D116" s="1192"/>
      <c r="E116" s="1192"/>
      <c r="F116" s="1192"/>
      <c r="G116" s="1192"/>
      <c r="H116" s="1192"/>
      <c r="I116" s="1192"/>
      <c r="J116" s="1192"/>
      <c r="K116" s="1192"/>
      <c r="L116" s="1192"/>
      <c r="M116" s="1192"/>
      <c r="N116" s="1192"/>
      <c r="O116" s="1192"/>
      <c r="P116" s="1192"/>
      <c r="Q116" s="1192"/>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843"/>
      <c r="AT116" s="1164"/>
      <c r="AU116" s="1164"/>
    </row>
    <row r="117" spans="1:47" s="1191" customFormat="1" ht="15">
      <c r="A117" s="158"/>
      <c r="B117" s="1187"/>
      <c r="C117" s="1187"/>
      <c r="D117" s="1192"/>
      <c r="E117" s="1192"/>
      <c r="F117" s="1192"/>
      <c r="G117" s="1192"/>
      <c r="H117" s="1192"/>
      <c r="I117" s="1192"/>
      <c r="J117" s="1192"/>
      <c r="K117" s="1192"/>
      <c r="L117" s="1192"/>
      <c r="M117" s="1192"/>
      <c r="N117" s="1192"/>
      <c r="O117" s="1192"/>
      <c r="P117" s="1192"/>
      <c r="Q117" s="1192"/>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8"/>
      <c r="AP117" s="278"/>
      <c r="AQ117" s="278"/>
      <c r="AR117" s="278"/>
      <c r="AS117" s="843"/>
      <c r="AT117" s="1164"/>
      <c r="AU117" s="1164"/>
    </row>
    <row r="118" spans="1:47" s="1191" customFormat="1" ht="15">
      <c r="A118" s="158"/>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c r="AA118" s="563"/>
      <c r="AB118" s="563"/>
      <c r="AC118" s="563"/>
      <c r="AD118" s="563"/>
      <c r="AE118" s="563"/>
      <c r="AF118" s="563"/>
      <c r="AG118" s="563"/>
      <c r="AH118" s="563"/>
      <c r="AI118" s="563"/>
      <c r="AJ118" s="563"/>
      <c r="AK118" s="563"/>
      <c r="AL118" s="563"/>
      <c r="AM118" s="563"/>
      <c r="AN118" s="563"/>
      <c r="AO118" s="563"/>
      <c r="AP118" s="563"/>
      <c r="AQ118" s="563"/>
      <c r="AR118" s="563"/>
      <c r="AS118" s="843"/>
      <c r="AT118" s="1164"/>
      <c r="AU118" s="1164"/>
    </row>
    <row r="119" spans="1:47" s="1191" customFormat="1" ht="15">
      <c r="A119" s="158"/>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843"/>
      <c r="AR119" s="843"/>
      <c r="AS119" s="843"/>
      <c r="AT119" s="1164"/>
      <c r="AU119" s="1164"/>
    </row>
    <row r="120" spans="1:47" s="1191" customFormat="1" ht="15">
      <c r="A120" s="1193"/>
      <c r="B120" s="309" t="s">
        <v>18</v>
      </c>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309"/>
      <c r="AI120" s="309"/>
      <c r="AJ120" s="309"/>
      <c r="AK120" s="309"/>
      <c r="AL120" s="276"/>
      <c r="AM120" s="276"/>
      <c r="AN120" s="276"/>
      <c r="AO120" s="276"/>
      <c r="AP120" s="276"/>
      <c r="AQ120" s="843"/>
      <c r="AR120" s="843"/>
      <c r="AS120" s="843"/>
      <c r="AT120" s="1164"/>
      <c r="AU120" s="1164"/>
    </row>
    <row r="121" spans="1:47" s="1191" customFormat="1" ht="15">
      <c r="A121" s="158"/>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276"/>
      <c r="AM121" s="276"/>
      <c r="AN121" s="276"/>
      <c r="AO121" s="276"/>
      <c r="AP121" s="276"/>
      <c r="AQ121" s="843"/>
      <c r="AR121" s="843"/>
      <c r="AS121" s="843"/>
      <c r="AT121" s="1164"/>
      <c r="AU121" s="1164"/>
    </row>
    <row r="122" spans="1:47" s="1191" customFormat="1" ht="15">
      <c r="A122" s="158"/>
      <c r="B122" s="1194"/>
      <c r="C122" s="1195"/>
      <c r="D122" s="1196"/>
      <c r="E122" s="1197"/>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309"/>
      <c r="AI122" s="309"/>
      <c r="AJ122" s="309"/>
      <c r="AK122" s="309"/>
      <c r="AL122" s="276"/>
      <c r="AM122" s="276"/>
      <c r="AN122" s="276"/>
      <c r="AO122" s="276"/>
      <c r="AP122" s="276"/>
      <c r="AQ122" s="843"/>
      <c r="AR122" s="843"/>
      <c r="AS122" s="843"/>
      <c r="AT122" s="1164"/>
      <c r="AU122" s="1164"/>
    </row>
    <row r="123" spans="1:47" s="1191" customFormat="1" ht="15">
      <c r="A123" s="158"/>
      <c r="B123" s="1198"/>
      <c r="C123" s="1198"/>
      <c r="D123" s="1198"/>
      <c r="E123" s="119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276"/>
      <c r="AM123" s="276"/>
      <c r="AN123" s="276"/>
      <c r="AO123" s="276"/>
      <c r="AP123" s="276"/>
      <c r="AQ123" s="843"/>
      <c r="AR123" s="843"/>
      <c r="AS123" s="843"/>
      <c r="AT123" s="1164"/>
      <c r="AU123" s="1164"/>
    </row>
    <row r="124" spans="1:47" s="1191" customFormat="1" ht="33.75" customHeight="1">
      <c r="A124" s="158"/>
      <c r="B124" s="1940"/>
      <c r="C124" s="1941"/>
      <c r="D124" s="1941"/>
      <c r="E124" s="1941"/>
      <c r="F124" s="1941"/>
      <c r="G124" s="1941"/>
      <c r="H124" s="1941"/>
      <c r="I124" s="1941"/>
      <c r="J124" s="1941"/>
      <c r="K124" s="1941"/>
      <c r="L124" s="1941"/>
      <c r="M124" s="1941"/>
      <c r="N124" s="1941"/>
      <c r="O124" s="1941"/>
      <c r="P124" s="1941"/>
      <c r="Q124" s="1941"/>
      <c r="R124" s="1941"/>
      <c r="S124" s="1941"/>
      <c r="T124" s="1941"/>
      <c r="U124" s="1941"/>
      <c r="V124" s="1941"/>
      <c r="W124" s="1941"/>
      <c r="X124" s="1941"/>
      <c r="Y124" s="1941"/>
      <c r="Z124" s="1941"/>
      <c r="AA124" s="1941"/>
      <c r="AB124" s="1941"/>
      <c r="AC124" s="1941"/>
      <c r="AD124" s="1941"/>
      <c r="AE124" s="1941"/>
      <c r="AF124" s="1941"/>
      <c r="AG124" s="1941"/>
      <c r="AH124" s="1941"/>
      <c r="AI124" s="1941"/>
      <c r="AJ124" s="1941"/>
      <c r="AK124" s="1941"/>
      <c r="AL124" s="1941"/>
      <c r="AM124" s="1941"/>
      <c r="AN124" s="1941"/>
      <c r="AO124" s="1941"/>
      <c r="AP124" s="1941"/>
      <c r="AQ124" s="1941"/>
      <c r="AR124" s="1941"/>
      <c r="AS124" s="843"/>
      <c r="AT124" s="1164"/>
      <c r="AU124" s="1164"/>
    </row>
    <row r="125" spans="1:47" s="1191" customFormat="1" ht="15">
      <c r="A125" s="158"/>
      <c r="B125" s="1200"/>
      <c r="C125" s="1200"/>
      <c r="D125" s="1200"/>
      <c r="E125" s="158"/>
      <c r="F125" s="158"/>
      <c r="G125" s="158"/>
      <c r="H125" s="158"/>
      <c r="I125" s="158"/>
      <c r="J125" s="158"/>
      <c r="K125" s="158"/>
      <c r="L125" s="158"/>
      <c r="M125" s="158"/>
      <c r="N125" s="158"/>
      <c r="O125" s="158"/>
      <c r="P125" s="158"/>
      <c r="Q125" s="158"/>
      <c r="R125" s="158"/>
      <c r="S125" s="158"/>
      <c r="T125" s="158"/>
      <c r="U125" s="158"/>
      <c r="V125" s="158"/>
      <c r="W125" s="158"/>
      <c r="X125" s="276"/>
      <c r="Y125" s="276"/>
      <c r="Z125" s="276"/>
      <c r="AA125" s="276"/>
      <c r="AB125" s="276"/>
      <c r="AC125" s="276"/>
      <c r="AD125" s="276"/>
      <c r="AE125" s="276"/>
      <c r="AF125" s="276"/>
      <c r="AG125" s="276"/>
      <c r="AH125" s="276"/>
      <c r="AI125" s="276"/>
      <c r="AJ125" s="276"/>
      <c r="AK125" s="276"/>
      <c r="AL125" s="158"/>
      <c r="AM125" s="158"/>
      <c r="AN125" s="158"/>
      <c r="AO125" s="158"/>
      <c r="AP125" s="158"/>
      <c r="AQ125" s="843"/>
      <c r="AR125" s="843"/>
      <c r="AS125" s="843"/>
      <c r="AT125" s="1164"/>
      <c r="AU125" s="1164"/>
    </row>
    <row r="126" spans="1:47" s="1191" customFormat="1" ht="15">
      <c r="A126" s="158"/>
      <c r="B126" s="1200"/>
      <c r="C126" s="1200"/>
      <c r="D126" s="1200"/>
      <c r="E126" s="158"/>
      <c r="F126" s="158"/>
      <c r="G126" s="158"/>
      <c r="H126" s="158"/>
      <c r="I126" s="158"/>
      <c r="J126" s="158"/>
      <c r="K126" s="158"/>
      <c r="L126" s="158"/>
      <c r="M126" s="158"/>
      <c r="N126" s="158"/>
      <c r="O126" s="158"/>
      <c r="P126" s="158"/>
      <c r="Q126" s="158"/>
      <c r="R126" s="158"/>
      <c r="S126" s="158"/>
      <c r="T126" s="158"/>
      <c r="U126" s="158"/>
      <c r="V126" s="158"/>
      <c r="W126" s="158"/>
      <c r="X126" s="276"/>
      <c r="Y126" s="276"/>
      <c r="Z126" s="276"/>
      <c r="AA126" s="276"/>
      <c r="AB126" s="276"/>
      <c r="AC126" s="276"/>
      <c r="AD126" s="276"/>
      <c r="AE126" s="276"/>
      <c r="AF126" s="276"/>
      <c r="AG126" s="276"/>
      <c r="AH126" s="276"/>
      <c r="AI126" s="276"/>
      <c r="AJ126" s="276"/>
      <c r="AK126" s="276"/>
      <c r="AL126" s="158"/>
      <c r="AM126" s="158"/>
      <c r="AN126" s="158"/>
      <c r="AO126" s="158"/>
      <c r="AP126" s="158"/>
      <c r="AQ126" s="843"/>
      <c r="AR126" s="843"/>
      <c r="AS126" s="843"/>
      <c r="AT126" s="1164"/>
      <c r="AU126" s="1164"/>
    </row>
    <row r="127" spans="1:47" s="1191" customFormat="1" ht="15">
      <c r="A127" s="158"/>
      <c r="B127" s="1200"/>
      <c r="C127" s="1200"/>
      <c r="D127" s="1200"/>
      <c r="E127" s="158"/>
      <c r="F127" s="158"/>
      <c r="G127" s="158"/>
      <c r="H127" s="158"/>
      <c r="I127" s="158"/>
      <c r="J127" s="158"/>
      <c r="K127" s="158"/>
      <c r="L127" s="158"/>
      <c r="M127" s="158"/>
      <c r="N127" s="158"/>
      <c r="O127" s="158"/>
      <c r="P127" s="158"/>
      <c r="Q127" s="158"/>
      <c r="R127" s="158"/>
      <c r="S127" s="158"/>
      <c r="T127" s="158"/>
      <c r="U127" s="158"/>
      <c r="V127" s="158"/>
      <c r="W127" s="158"/>
      <c r="X127" s="276"/>
      <c r="Y127" s="276"/>
      <c r="Z127" s="276"/>
      <c r="AA127" s="276"/>
      <c r="AB127" s="276"/>
      <c r="AC127" s="276"/>
      <c r="AD127" s="276"/>
      <c r="AE127" s="276"/>
      <c r="AF127" s="276"/>
      <c r="AG127" s="276"/>
      <c r="AH127" s="276"/>
      <c r="AI127" s="276"/>
      <c r="AJ127" s="276"/>
      <c r="AK127" s="276"/>
      <c r="AL127" s="158"/>
      <c r="AM127" s="158"/>
      <c r="AN127" s="158"/>
      <c r="AO127" s="158"/>
      <c r="AP127" s="158"/>
      <c r="AQ127" s="843"/>
      <c r="AR127" s="843"/>
      <c r="AS127" s="843"/>
      <c r="AT127" s="1164"/>
      <c r="AU127" s="1164"/>
    </row>
    <row r="128" spans="1:47" s="1191" customFormat="1" ht="15">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276"/>
      <c r="Y128" s="276"/>
      <c r="Z128" s="276"/>
      <c r="AA128" s="276"/>
      <c r="AB128" s="276"/>
      <c r="AC128" s="276"/>
      <c r="AD128" s="276"/>
      <c r="AE128" s="276"/>
      <c r="AF128" s="276"/>
      <c r="AG128" s="276"/>
      <c r="AH128" s="276"/>
      <c r="AI128" s="276"/>
      <c r="AJ128" s="276"/>
      <c r="AK128" s="276"/>
      <c r="AL128" s="158"/>
      <c r="AM128" s="158"/>
      <c r="AN128" s="158"/>
      <c r="AO128" s="158"/>
      <c r="AP128" s="158"/>
      <c r="AQ128" s="843"/>
      <c r="AR128" s="843"/>
      <c r="AS128" s="843"/>
      <c r="AT128" s="1164"/>
      <c r="AU128" s="1164"/>
    </row>
    <row r="129" spans="2:45" ht="15">
      <c r="B129" s="843"/>
      <c r="C129" s="843"/>
      <c r="D129" s="843"/>
      <c r="E129" s="843"/>
      <c r="F129" s="843"/>
      <c r="G129" s="843"/>
      <c r="H129" s="843"/>
      <c r="I129" s="843"/>
      <c r="J129" s="843"/>
      <c r="K129" s="843"/>
      <c r="L129" s="843"/>
      <c r="M129" s="843"/>
      <c r="N129" s="843"/>
      <c r="O129" s="843"/>
      <c r="P129" s="843"/>
      <c r="Q129" s="843"/>
      <c r="R129" s="843"/>
      <c r="S129" s="843"/>
      <c r="T129" s="843"/>
      <c r="U129" s="843"/>
      <c r="V129" s="843"/>
      <c r="W129" s="843"/>
      <c r="X129" s="843"/>
      <c r="Y129" s="843"/>
      <c r="Z129" s="843"/>
      <c r="AA129" s="843"/>
      <c r="AB129" s="843"/>
      <c r="AC129" s="843"/>
      <c r="AD129" s="843"/>
      <c r="AE129" s="843"/>
      <c r="AF129" s="843"/>
      <c r="AG129" s="843"/>
      <c r="AH129" s="843"/>
      <c r="AI129" s="843"/>
      <c r="AJ129" s="843"/>
      <c r="AK129" s="843"/>
      <c r="AL129" s="843"/>
      <c r="AM129" s="843"/>
      <c r="AN129" s="843"/>
      <c r="AO129" s="843"/>
      <c r="AP129" s="843"/>
      <c r="AQ129" s="843"/>
      <c r="AR129" s="843"/>
      <c r="AS129" s="843"/>
    </row>
    <row r="130" spans="2:45" ht="15">
      <c r="B130" s="843"/>
      <c r="C130" s="843"/>
      <c r="D130" s="843"/>
      <c r="E130" s="843"/>
      <c r="F130" s="843"/>
      <c r="G130" s="843"/>
      <c r="H130" s="843"/>
      <c r="I130" s="843"/>
      <c r="J130" s="843"/>
      <c r="K130" s="843"/>
      <c r="L130" s="843"/>
      <c r="M130" s="843"/>
      <c r="N130" s="843"/>
      <c r="O130" s="843"/>
      <c r="P130" s="843"/>
      <c r="Q130" s="843"/>
      <c r="R130" s="843"/>
      <c r="S130" s="843"/>
      <c r="T130" s="843"/>
      <c r="U130" s="843"/>
      <c r="V130" s="843"/>
      <c r="W130" s="843"/>
      <c r="X130" s="843"/>
      <c r="Y130" s="843"/>
      <c r="Z130" s="843"/>
      <c r="AA130" s="843"/>
      <c r="AB130" s="843"/>
      <c r="AC130" s="843"/>
      <c r="AD130" s="843"/>
      <c r="AE130" s="843"/>
      <c r="AF130" s="843"/>
      <c r="AG130" s="843"/>
      <c r="AH130" s="843"/>
      <c r="AI130" s="843"/>
      <c r="AJ130" s="843"/>
      <c r="AK130" s="843"/>
      <c r="AL130" s="843"/>
      <c r="AM130" s="843"/>
      <c r="AN130" s="843"/>
      <c r="AO130" s="843"/>
      <c r="AP130" s="843"/>
      <c r="AQ130" s="843"/>
      <c r="AR130" s="843"/>
      <c r="AS130" s="843"/>
    </row>
    <row r="131" spans="2:45" ht="15">
      <c r="B131" s="843"/>
      <c r="C131" s="843"/>
      <c r="D131" s="843"/>
      <c r="E131" s="843"/>
      <c r="F131" s="843"/>
      <c r="G131" s="843"/>
      <c r="H131" s="843"/>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843"/>
      <c r="AS131" s="843"/>
    </row>
    <row r="132" spans="2:45" ht="15">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c r="Z132" s="843"/>
      <c r="AA132" s="843"/>
      <c r="AB132" s="843"/>
      <c r="AC132" s="843"/>
      <c r="AD132" s="843"/>
      <c r="AE132" s="843"/>
      <c r="AF132" s="843"/>
      <c r="AG132" s="843"/>
      <c r="AH132" s="843"/>
      <c r="AI132" s="843"/>
      <c r="AJ132" s="843"/>
      <c r="AK132" s="843"/>
      <c r="AL132" s="843"/>
      <c r="AM132" s="843"/>
      <c r="AN132" s="843"/>
      <c r="AO132" s="843"/>
      <c r="AP132" s="843"/>
      <c r="AQ132" s="843"/>
      <c r="AR132" s="843"/>
      <c r="AS132" s="843"/>
    </row>
    <row r="133" spans="2:45" ht="15">
      <c r="B133" s="843"/>
      <c r="C133" s="843"/>
      <c r="D133" s="843"/>
      <c r="E133" s="843"/>
      <c r="F133" s="843"/>
      <c r="G133" s="843"/>
      <c r="H133" s="843"/>
      <c r="I133" s="843"/>
      <c r="J133" s="843"/>
      <c r="K133" s="843"/>
      <c r="L133" s="843"/>
      <c r="M133" s="843"/>
      <c r="N133" s="843"/>
      <c r="O133" s="843"/>
      <c r="P133" s="843"/>
      <c r="Q133" s="843"/>
      <c r="R133" s="843"/>
      <c r="S133" s="843"/>
      <c r="T133" s="843"/>
      <c r="U133" s="843"/>
      <c r="V133" s="843"/>
      <c r="W133" s="843"/>
      <c r="X133" s="843"/>
      <c r="Y133" s="843"/>
      <c r="Z133" s="843"/>
      <c r="AA133" s="843"/>
      <c r="AB133" s="843"/>
      <c r="AC133" s="843"/>
      <c r="AD133" s="843"/>
      <c r="AE133" s="843"/>
      <c r="AF133" s="843"/>
      <c r="AG133" s="843"/>
      <c r="AH133" s="843"/>
      <c r="AI133" s="843"/>
      <c r="AJ133" s="843"/>
      <c r="AK133" s="843"/>
      <c r="AL133" s="843"/>
      <c r="AM133" s="843"/>
      <c r="AN133" s="843"/>
      <c r="AO133" s="843"/>
      <c r="AP133" s="843"/>
      <c r="AQ133" s="843"/>
      <c r="AR133" s="843"/>
      <c r="AS133" s="843"/>
    </row>
    <row r="134" spans="2:45" ht="15">
      <c r="B134" s="843"/>
      <c r="C134" s="843"/>
      <c r="D134" s="843"/>
      <c r="E134" s="843"/>
      <c r="F134" s="843"/>
      <c r="G134" s="843"/>
      <c r="H134" s="843"/>
      <c r="I134" s="843"/>
      <c r="J134" s="843"/>
      <c r="K134" s="843"/>
      <c r="L134" s="843"/>
      <c r="M134" s="843"/>
      <c r="N134" s="843"/>
      <c r="O134" s="843"/>
      <c r="P134" s="843"/>
      <c r="Q134" s="843"/>
      <c r="R134" s="843"/>
      <c r="S134" s="843"/>
      <c r="T134" s="843"/>
      <c r="U134" s="843"/>
      <c r="V134" s="843"/>
      <c r="W134" s="843"/>
      <c r="X134" s="843"/>
      <c r="Y134" s="843"/>
      <c r="Z134" s="843"/>
      <c r="AA134" s="843"/>
      <c r="AB134" s="843"/>
      <c r="AC134" s="843"/>
      <c r="AD134" s="843"/>
      <c r="AE134" s="843"/>
      <c r="AF134" s="843"/>
      <c r="AG134" s="843"/>
      <c r="AH134" s="843"/>
      <c r="AI134" s="843"/>
      <c r="AJ134" s="843"/>
      <c r="AK134" s="843"/>
      <c r="AL134" s="843"/>
      <c r="AM134" s="843"/>
      <c r="AN134" s="843"/>
      <c r="AO134" s="843"/>
      <c r="AP134" s="843"/>
      <c r="AQ134" s="843"/>
      <c r="AR134" s="843"/>
      <c r="AS134" s="843"/>
    </row>
    <row r="135" spans="2:45" ht="15">
      <c r="B135" s="843"/>
      <c r="C135" s="843"/>
      <c r="D135" s="843"/>
      <c r="E135" s="843"/>
      <c r="F135" s="843"/>
      <c r="G135" s="843"/>
      <c r="H135" s="843"/>
      <c r="I135" s="843"/>
      <c r="J135" s="843"/>
      <c r="K135" s="843"/>
      <c r="L135" s="843"/>
      <c r="M135" s="843"/>
      <c r="N135" s="843"/>
      <c r="O135" s="843"/>
      <c r="P135" s="843"/>
      <c r="Q135" s="843"/>
      <c r="R135" s="843"/>
      <c r="S135" s="843"/>
      <c r="T135" s="843"/>
      <c r="U135" s="843"/>
      <c r="V135" s="843"/>
      <c r="W135" s="843"/>
      <c r="X135" s="843"/>
      <c r="Y135" s="843"/>
      <c r="Z135" s="843"/>
      <c r="AA135" s="843"/>
      <c r="AB135" s="843"/>
      <c r="AC135" s="843"/>
      <c r="AD135" s="843"/>
      <c r="AE135" s="843"/>
      <c r="AF135" s="843"/>
      <c r="AG135" s="843"/>
      <c r="AH135" s="843"/>
      <c r="AI135" s="843"/>
      <c r="AJ135" s="843"/>
      <c r="AK135" s="843"/>
      <c r="AL135" s="843"/>
      <c r="AM135" s="843"/>
      <c r="AN135" s="843"/>
      <c r="AO135" s="843"/>
      <c r="AP135" s="843"/>
      <c r="AQ135" s="843"/>
      <c r="AR135" s="843"/>
      <c r="AS135" s="843"/>
    </row>
    <row r="136" spans="2:45" ht="15">
      <c r="B136" s="843"/>
      <c r="C136" s="843"/>
      <c r="D136" s="843"/>
      <c r="E136" s="843"/>
      <c r="F136" s="843"/>
      <c r="G136" s="843"/>
      <c r="H136" s="843"/>
      <c r="I136" s="843"/>
      <c r="J136" s="843"/>
      <c r="K136" s="843"/>
      <c r="L136" s="843"/>
      <c r="M136" s="843"/>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3"/>
      <c r="AQ136" s="843"/>
      <c r="AR136" s="843"/>
      <c r="AS136" s="843"/>
    </row>
    <row r="137" spans="2:45" ht="15">
      <c r="B137" s="843"/>
      <c r="C137" s="843"/>
      <c r="D137" s="843"/>
      <c r="E137" s="843"/>
      <c r="F137" s="843"/>
      <c r="G137" s="843"/>
      <c r="H137" s="843"/>
      <c r="I137" s="843"/>
      <c r="J137" s="843"/>
      <c r="K137" s="843"/>
      <c r="L137" s="843"/>
      <c r="M137" s="843"/>
      <c r="N137" s="843"/>
      <c r="O137" s="843"/>
      <c r="P137" s="843"/>
      <c r="Q137" s="843"/>
      <c r="R137" s="843"/>
      <c r="S137" s="843"/>
      <c r="T137" s="843"/>
      <c r="U137" s="843"/>
      <c r="V137" s="843"/>
      <c r="W137" s="843"/>
      <c r="X137" s="843"/>
      <c r="Y137" s="843"/>
      <c r="Z137" s="843"/>
      <c r="AA137" s="843"/>
      <c r="AB137" s="843"/>
      <c r="AC137" s="843"/>
      <c r="AD137" s="843"/>
      <c r="AE137" s="843"/>
      <c r="AF137" s="843"/>
      <c r="AG137" s="843"/>
      <c r="AH137" s="843"/>
      <c r="AI137" s="843"/>
      <c r="AJ137" s="843"/>
      <c r="AK137" s="843"/>
      <c r="AL137" s="843"/>
      <c r="AM137" s="843"/>
      <c r="AN137" s="843"/>
      <c r="AO137" s="843"/>
      <c r="AP137" s="843"/>
      <c r="AQ137" s="843"/>
      <c r="AR137" s="843"/>
      <c r="AS137" s="843"/>
    </row>
    <row r="138" spans="2:45" ht="15">
      <c r="B138" s="843"/>
      <c r="C138" s="843"/>
      <c r="D138" s="843"/>
      <c r="E138" s="843"/>
      <c r="F138" s="843"/>
      <c r="G138" s="843"/>
      <c r="H138" s="843"/>
      <c r="I138" s="843"/>
      <c r="J138" s="843"/>
      <c r="K138" s="843"/>
      <c r="L138" s="843"/>
      <c r="M138" s="843"/>
      <c r="N138" s="843"/>
      <c r="O138" s="843"/>
      <c r="P138" s="843"/>
      <c r="Q138" s="843"/>
      <c r="R138" s="843"/>
      <c r="S138" s="843"/>
      <c r="T138" s="843"/>
      <c r="U138" s="843"/>
      <c r="V138" s="843"/>
      <c r="W138" s="843"/>
      <c r="X138" s="843"/>
      <c r="Y138" s="843"/>
      <c r="Z138" s="843"/>
      <c r="AA138" s="843"/>
      <c r="AB138" s="843"/>
      <c r="AC138" s="843"/>
      <c r="AD138" s="843"/>
      <c r="AE138" s="843"/>
      <c r="AF138" s="843"/>
      <c r="AG138" s="843"/>
      <c r="AH138" s="843"/>
      <c r="AI138" s="843"/>
      <c r="AJ138" s="843"/>
      <c r="AK138" s="843"/>
      <c r="AL138" s="843"/>
      <c r="AM138" s="843"/>
      <c r="AN138" s="843"/>
      <c r="AO138" s="843"/>
      <c r="AP138" s="843"/>
      <c r="AQ138" s="843"/>
      <c r="AR138" s="843"/>
      <c r="AS138" s="843"/>
    </row>
    <row r="139" spans="2:45" ht="15">
      <c r="B139" s="843"/>
      <c r="C139" s="843"/>
      <c r="D139" s="843"/>
      <c r="E139" s="843"/>
      <c r="F139" s="843"/>
      <c r="G139" s="843"/>
      <c r="H139" s="843"/>
      <c r="I139" s="843"/>
      <c r="J139" s="843"/>
      <c r="K139" s="843"/>
      <c r="L139" s="843"/>
      <c r="M139" s="843"/>
      <c r="N139" s="843"/>
      <c r="O139" s="843"/>
      <c r="P139" s="843"/>
      <c r="Q139" s="843"/>
      <c r="R139" s="843"/>
      <c r="S139" s="843"/>
      <c r="T139" s="843"/>
      <c r="U139" s="843"/>
      <c r="V139" s="843"/>
      <c r="W139" s="843"/>
      <c r="X139" s="843"/>
      <c r="Y139" s="843"/>
      <c r="Z139" s="843"/>
      <c r="AA139" s="843"/>
      <c r="AB139" s="843"/>
      <c r="AC139" s="843"/>
      <c r="AD139" s="843"/>
      <c r="AE139" s="843"/>
      <c r="AF139" s="843"/>
      <c r="AG139" s="843"/>
      <c r="AH139" s="843"/>
      <c r="AI139" s="843"/>
      <c r="AJ139" s="843"/>
      <c r="AK139" s="843"/>
      <c r="AL139" s="843"/>
      <c r="AM139" s="843"/>
      <c r="AN139" s="843"/>
      <c r="AO139" s="843"/>
      <c r="AP139" s="843"/>
      <c r="AQ139" s="843"/>
      <c r="AR139" s="843"/>
      <c r="AS139" s="843"/>
    </row>
    <row r="140" spans="2:45" ht="15">
      <c r="B140" s="843"/>
      <c r="C140" s="843"/>
      <c r="D140" s="843"/>
      <c r="E140" s="843"/>
      <c r="F140" s="843"/>
      <c r="G140" s="843"/>
      <c r="H140" s="843"/>
      <c r="I140" s="843"/>
      <c r="J140" s="843"/>
      <c r="K140" s="843"/>
      <c r="L140" s="843"/>
      <c r="M140" s="843"/>
      <c r="N140" s="843"/>
      <c r="O140" s="843"/>
      <c r="P140" s="843"/>
      <c r="Q140" s="843"/>
      <c r="R140" s="843"/>
      <c r="S140" s="843"/>
      <c r="T140" s="843"/>
      <c r="U140" s="843"/>
      <c r="V140" s="843"/>
      <c r="W140" s="843"/>
      <c r="X140" s="843"/>
      <c r="Y140" s="843"/>
      <c r="Z140" s="843"/>
      <c r="AA140" s="843"/>
      <c r="AB140" s="843"/>
      <c r="AC140" s="843"/>
      <c r="AD140" s="843"/>
      <c r="AE140" s="843"/>
      <c r="AF140" s="843"/>
      <c r="AG140" s="843"/>
      <c r="AH140" s="843"/>
      <c r="AI140" s="843"/>
      <c r="AJ140" s="843"/>
      <c r="AK140" s="843"/>
      <c r="AL140" s="843"/>
      <c r="AM140" s="843"/>
      <c r="AN140" s="843"/>
      <c r="AO140" s="843"/>
      <c r="AP140" s="843"/>
      <c r="AQ140" s="843"/>
      <c r="AR140" s="843"/>
      <c r="AS140" s="843"/>
    </row>
    <row r="141" spans="2:45" ht="15">
      <c r="B141" s="843"/>
      <c r="C141" s="843"/>
      <c r="D141" s="843"/>
      <c r="E141" s="843"/>
      <c r="F141" s="843"/>
      <c r="G141" s="843"/>
      <c r="H141" s="843"/>
      <c r="I141" s="843"/>
      <c r="J141" s="843"/>
      <c r="K141" s="843"/>
      <c r="L141" s="843"/>
      <c r="M141" s="843"/>
      <c r="N141" s="843"/>
      <c r="O141" s="843"/>
      <c r="P141" s="843"/>
      <c r="Q141" s="843"/>
      <c r="R141" s="843"/>
      <c r="S141" s="843"/>
      <c r="T141" s="843"/>
      <c r="U141" s="843"/>
      <c r="V141" s="843"/>
      <c r="W141" s="843"/>
      <c r="X141" s="843"/>
      <c r="Y141" s="843"/>
      <c r="Z141" s="843"/>
      <c r="AA141" s="843"/>
      <c r="AB141" s="843"/>
      <c r="AC141" s="843"/>
      <c r="AD141" s="843"/>
      <c r="AE141" s="843"/>
      <c r="AF141" s="843"/>
      <c r="AG141" s="843"/>
      <c r="AH141" s="843"/>
      <c r="AI141" s="843"/>
      <c r="AJ141" s="843"/>
      <c r="AK141" s="843"/>
      <c r="AL141" s="843"/>
      <c r="AM141" s="843"/>
      <c r="AN141" s="843"/>
      <c r="AO141" s="843"/>
      <c r="AP141" s="843"/>
      <c r="AQ141" s="843"/>
      <c r="AR141" s="843"/>
      <c r="AS141" s="843"/>
    </row>
    <row r="142" spans="2:45" ht="15">
      <c r="B142" s="843"/>
      <c r="C142" s="843"/>
      <c r="D142" s="843"/>
      <c r="E142" s="843"/>
      <c r="F142" s="843"/>
      <c r="G142" s="843"/>
      <c r="H142" s="843"/>
      <c r="I142" s="843"/>
      <c r="J142" s="843"/>
      <c r="K142" s="843"/>
      <c r="L142" s="843"/>
      <c r="M142" s="843"/>
      <c r="N142" s="843"/>
      <c r="O142" s="843"/>
      <c r="P142" s="843"/>
      <c r="Q142" s="843"/>
      <c r="R142" s="843"/>
      <c r="S142" s="843"/>
      <c r="T142" s="843"/>
      <c r="U142" s="843"/>
      <c r="V142" s="843"/>
      <c r="W142" s="843"/>
      <c r="X142" s="843"/>
      <c r="Y142" s="843"/>
      <c r="Z142" s="843"/>
      <c r="AA142" s="843"/>
      <c r="AB142" s="843"/>
      <c r="AC142" s="843"/>
      <c r="AD142" s="843"/>
      <c r="AE142" s="843"/>
      <c r="AF142" s="843"/>
      <c r="AG142" s="843"/>
      <c r="AH142" s="843"/>
      <c r="AI142" s="843"/>
      <c r="AJ142" s="843"/>
      <c r="AK142" s="843"/>
      <c r="AL142" s="843"/>
      <c r="AM142" s="843"/>
      <c r="AN142" s="843"/>
      <c r="AO142" s="843"/>
      <c r="AP142" s="843"/>
      <c r="AQ142" s="843"/>
      <c r="AR142" s="843"/>
      <c r="AS142" s="843"/>
    </row>
    <row r="143" spans="2:45" ht="15">
      <c r="B143" s="843"/>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3"/>
      <c r="AL143" s="843"/>
      <c r="AM143" s="843"/>
      <c r="AN143" s="843"/>
      <c r="AO143" s="843"/>
      <c r="AP143" s="843"/>
      <c r="AQ143" s="843"/>
      <c r="AR143" s="843"/>
      <c r="AS143" s="843"/>
    </row>
    <row r="144" spans="2:45" ht="15">
      <c r="B144" s="843"/>
      <c r="C144" s="843"/>
      <c r="D144" s="843"/>
      <c r="E144" s="843"/>
      <c r="F144" s="843"/>
      <c r="G144" s="843"/>
      <c r="H144" s="843"/>
      <c r="I144" s="843"/>
      <c r="J144" s="843"/>
      <c r="K144" s="843"/>
      <c r="L144" s="843"/>
      <c r="M144" s="843"/>
      <c r="N144" s="843"/>
      <c r="O144" s="843"/>
      <c r="P144" s="843"/>
      <c r="Q144" s="843"/>
      <c r="R144" s="843"/>
      <c r="S144" s="843"/>
      <c r="T144" s="843"/>
      <c r="U144" s="843"/>
      <c r="V144" s="843"/>
      <c r="W144" s="843"/>
      <c r="X144" s="843"/>
      <c r="Y144" s="843"/>
      <c r="Z144" s="843"/>
      <c r="AA144" s="843"/>
      <c r="AB144" s="843"/>
      <c r="AC144" s="843"/>
      <c r="AD144" s="843"/>
      <c r="AE144" s="843"/>
      <c r="AF144" s="843"/>
      <c r="AG144" s="843"/>
      <c r="AH144" s="843"/>
      <c r="AI144" s="843"/>
      <c r="AJ144" s="843"/>
      <c r="AK144" s="843"/>
      <c r="AL144" s="843"/>
      <c r="AM144" s="843"/>
      <c r="AN144" s="843"/>
      <c r="AO144" s="843"/>
      <c r="AP144" s="843"/>
      <c r="AQ144" s="843"/>
      <c r="AR144" s="843"/>
      <c r="AS144" s="843"/>
    </row>
    <row r="145" spans="2:45" ht="15">
      <c r="B145" s="843"/>
      <c r="C145" s="843"/>
      <c r="D145" s="843"/>
      <c r="E145" s="843"/>
      <c r="F145" s="843"/>
      <c r="G145" s="843"/>
      <c r="H145" s="843"/>
      <c r="I145" s="843"/>
      <c r="J145" s="843"/>
      <c r="K145" s="843"/>
      <c r="L145" s="843"/>
      <c r="M145" s="843"/>
      <c r="N145" s="843"/>
      <c r="O145" s="843"/>
      <c r="P145" s="843"/>
      <c r="Q145" s="843"/>
      <c r="R145" s="843"/>
      <c r="S145" s="843"/>
      <c r="T145" s="843"/>
      <c r="U145" s="843"/>
      <c r="V145" s="843"/>
      <c r="W145" s="843"/>
      <c r="X145" s="843"/>
      <c r="Y145" s="843"/>
      <c r="Z145" s="843"/>
      <c r="AA145" s="843"/>
      <c r="AB145" s="843"/>
      <c r="AC145" s="843"/>
      <c r="AD145" s="843"/>
      <c r="AE145" s="843"/>
      <c r="AF145" s="843"/>
      <c r="AG145" s="843"/>
      <c r="AH145" s="843"/>
      <c r="AI145" s="843"/>
      <c r="AJ145" s="843"/>
      <c r="AK145" s="843"/>
      <c r="AL145" s="843"/>
      <c r="AM145" s="843"/>
      <c r="AN145" s="843"/>
      <c r="AO145" s="843"/>
      <c r="AP145" s="843"/>
      <c r="AQ145" s="843"/>
      <c r="AR145" s="843"/>
      <c r="AS145" s="843"/>
    </row>
    <row r="146" spans="2:45" ht="15">
      <c r="B146" s="843"/>
      <c r="C146" s="843"/>
      <c r="D146" s="843"/>
      <c r="E146" s="843"/>
      <c r="F146" s="843"/>
      <c r="G146" s="843"/>
      <c r="H146" s="843"/>
      <c r="I146" s="843"/>
      <c r="J146" s="843"/>
      <c r="K146" s="843"/>
      <c r="L146" s="843"/>
      <c r="M146" s="843"/>
      <c r="N146" s="843"/>
      <c r="O146" s="843"/>
      <c r="P146" s="843"/>
      <c r="Q146" s="843"/>
      <c r="R146" s="843"/>
      <c r="S146" s="843"/>
      <c r="T146" s="843"/>
      <c r="U146" s="843"/>
      <c r="V146" s="843"/>
      <c r="W146" s="843"/>
      <c r="X146" s="843"/>
      <c r="Y146" s="843"/>
      <c r="Z146" s="843"/>
      <c r="AA146" s="843"/>
      <c r="AB146" s="843"/>
      <c r="AC146" s="843"/>
      <c r="AD146" s="843"/>
      <c r="AE146" s="843"/>
      <c r="AF146" s="843"/>
      <c r="AG146" s="843"/>
      <c r="AH146" s="843"/>
      <c r="AI146" s="843"/>
      <c r="AJ146" s="843"/>
      <c r="AK146" s="843"/>
      <c r="AL146" s="843"/>
      <c r="AM146" s="843"/>
      <c r="AN146" s="843"/>
      <c r="AO146" s="843"/>
      <c r="AP146" s="843"/>
      <c r="AQ146" s="843"/>
      <c r="AR146" s="843"/>
      <c r="AS146" s="843"/>
    </row>
    <row r="147" spans="2:45" ht="15">
      <c r="B147" s="843"/>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843"/>
      <c r="AL147" s="843"/>
      <c r="AM147" s="843"/>
      <c r="AN147" s="843"/>
      <c r="AO147" s="843"/>
      <c r="AP147" s="843"/>
      <c r="AQ147" s="843"/>
      <c r="AR147" s="843"/>
      <c r="AS147" s="843"/>
    </row>
    <row r="148" spans="2:45" ht="15">
      <c r="B148" s="843"/>
      <c r="C148" s="843"/>
      <c r="D148" s="843"/>
      <c r="E148" s="843"/>
      <c r="F148" s="843"/>
      <c r="G148" s="843"/>
      <c r="H148" s="843"/>
      <c r="I148" s="843"/>
      <c r="J148" s="843"/>
      <c r="K148" s="843"/>
      <c r="L148" s="843"/>
      <c r="M148" s="843"/>
      <c r="N148" s="843"/>
      <c r="O148" s="843"/>
      <c r="P148" s="843"/>
      <c r="Q148" s="843"/>
      <c r="R148" s="843"/>
      <c r="S148" s="843"/>
      <c r="T148" s="843"/>
      <c r="U148" s="843"/>
      <c r="V148" s="843"/>
      <c r="W148" s="843"/>
      <c r="X148" s="843"/>
      <c r="Y148" s="843"/>
      <c r="Z148" s="843"/>
      <c r="AA148" s="843"/>
      <c r="AB148" s="843"/>
      <c r="AC148" s="843"/>
      <c r="AD148" s="843"/>
      <c r="AE148" s="843"/>
      <c r="AF148" s="843"/>
      <c r="AG148" s="843"/>
      <c r="AH148" s="843"/>
      <c r="AI148" s="843"/>
      <c r="AJ148" s="843"/>
      <c r="AK148" s="843"/>
      <c r="AL148" s="843"/>
      <c r="AM148" s="843"/>
      <c r="AN148" s="843"/>
      <c r="AO148" s="843"/>
      <c r="AP148" s="843"/>
      <c r="AQ148" s="843"/>
      <c r="AR148" s="843"/>
      <c r="AS148" s="843"/>
    </row>
    <row r="149" spans="2:45" ht="15">
      <c r="B149" s="843"/>
      <c r="C149" s="843"/>
      <c r="D149" s="843"/>
      <c r="E149" s="843"/>
      <c r="F149" s="843"/>
      <c r="G149" s="843"/>
      <c r="H149" s="843"/>
      <c r="I149" s="843"/>
      <c r="J149" s="843"/>
      <c r="K149" s="843"/>
      <c r="L149" s="843"/>
      <c r="M149" s="843"/>
      <c r="N149" s="843"/>
      <c r="O149" s="843"/>
      <c r="P149" s="843"/>
      <c r="Q149" s="843"/>
      <c r="R149" s="843"/>
      <c r="S149" s="843"/>
      <c r="T149" s="843"/>
      <c r="U149" s="843"/>
      <c r="V149" s="843"/>
      <c r="W149" s="843"/>
      <c r="X149" s="843"/>
      <c r="Y149" s="843"/>
      <c r="Z149" s="843"/>
      <c r="AA149" s="843"/>
      <c r="AB149" s="843"/>
      <c r="AC149" s="843"/>
      <c r="AD149" s="843"/>
      <c r="AE149" s="843"/>
      <c r="AF149" s="843"/>
      <c r="AG149" s="843"/>
      <c r="AH149" s="843"/>
      <c r="AI149" s="843"/>
      <c r="AJ149" s="843"/>
      <c r="AK149" s="843"/>
      <c r="AL149" s="843"/>
      <c r="AM149" s="843"/>
      <c r="AN149" s="843"/>
      <c r="AO149" s="843"/>
      <c r="AP149" s="843"/>
      <c r="AQ149" s="843"/>
      <c r="AR149" s="843"/>
      <c r="AS149" s="843"/>
    </row>
    <row r="150" spans="2:45" ht="15">
      <c r="B150" s="843"/>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843"/>
      <c r="Z150" s="843"/>
      <c r="AA150" s="843"/>
      <c r="AB150" s="843"/>
      <c r="AC150" s="843"/>
      <c r="AD150" s="843"/>
      <c r="AE150" s="843"/>
      <c r="AF150" s="843"/>
      <c r="AG150" s="843"/>
      <c r="AH150" s="843"/>
      <c r="AI150" s="843"/>
      <c r="AJ150" s="843"/>
      <c r="AK150" s="843"/>
      <c r="AL150" s="843"/>
      <c r="AM150" s="843"/>
      <c r="AN150" s="843"/>
      <c r="AO150" s="843"/>
      <c r="AP150" s="843"/>
      <c r="AQ150" s="843"/>
      <c r="AR150" s="843"/>
      <c r="AS150" s="843"/>
    </row>
    <row r="151" spans="2:45" ht="15">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c r="Z151" s="843"/>
      <c r="AA151" s="843"/>
      <c r="AB151" s="843"/>
      <c r="AC151" s="843"/>
      <c r="AD151" s="843"/>
      <c r="AE151" s="843"/>
      <c r="AF151" s="843"/>
      <c r="AG151" s="843"/>
      <c r="AH151" s="843"/>
      <c r="AI151" s="843"/>
      <c r="AJ151" s="843"/>
      <c r="AK151" s="843"/>
      <c r="AL151" s="843"/>
      <c r="AM151" s="843"/>
      <c r="AN151" s="843"/>
      <c r="AO151" s="843"/>
      <c r="AP151" s="843"/>
      <c r="AQ151" s="843"/>
      <c r="AR151" s="843"/>
      <c r="AS151" s="843"/>
    </row>
    <row r="152" spans="2:45" ht="15">
      <c r="B152" s="843"/>
      <c r="C152" s="843"/>
      <c r="D152" s="843"/>
      <c r="E152" s="843"/>
      <c r="F152" s="843"/>
      <c r="G152" s="843"/>
      <c r="H152" s="843"/>
      <c r="I152" s="843"/>
      <c r="J152" s="843"/>
      <c r="K152" s="843"/>
      <c r="L152" s="843"/>
      <c r="M152" s="843"/>
      <c r="N152" s="843"/>
      <c r="O152" s="843"/>
      <c r="P152" s="843"/>
      <c r="Q152" s="843"/>
      <c r="R152" s="843"/>
      <c r="S152" s="843"/>
      <c r="T152" s="843"/>
      <c r="U152" s="843"/>
      <c r="V152" s="843"/>
      <c r="W152" s="843"/>
      <c r="X152" s="843"/>
      <c r="Y152" s="843"/>
      <c r="Z152" s="843"/>
      <c r="AA152" s="843"/>
      <c r="AB152" s="843"/>
      <c r="AC152" s="843"/>
      <c r="AD152" s="843"/>
      <c r="AE152" s="843"/>
      <c r="AF152" s="843"/>
      <c r="AG152" s="843"/>
      <c r="AH152" s="843"/>
      <c r="AI152" s="843"/>
      <c r="AJ152" s="843"/>
      <c r="AK152" s="843"/>
      <c r="AL152" s="843"/>
      <c r="AM152" s="843"/>
      <c r="AN152" s="843"/>
      <c r="AO152" s="843"/>
      <c r="AP152" s="843"/>
      <c r="AQ152" s="843"/>
      <c r="AR152" s="843"/>
      <c r="AS152" s="843"/>
    </row>
    <row r="153" spans="2:45" ht="15">
      <c r="B153" s="843"/>
      <c r="C153" s="843"/>
      <c r="D153" s="843"/>
      <c r="E153" s="843"/>
      <c r="F153" s="843"/>
      <c r="G153" s="843"/>
      <c r="H153" s="843"/>
      <c r="I153" s="843"/>
      <c r="J153" s="843"/>
      <c r="K153" s="843"/>
      <c r="L153" s="843"/>
      <c r="M153" s="843"/>
      <c r="N153" s="843"/>
      <c r="O153" s="843"/>
      <c r="P153" s="843"/>
      <c r="Q153" s="843"/>
      <c r="R153" s="843"/>
      <c r="S153" s="843"/>
      <c r="T153" s="843"/>
      <c r="U153" s="843"/>
      <c r="V153" s="843"/>
      <c r="W153" s="843"/>
      <c r="X153" s="843"/>
      <c r="Y153" s="843"/>
      <c r="Z153" s="843"/>
      <c r="AA153" s="843"/>
      <c r="AB153" s="843"/>
      <c r="AC153" s="843"/>
      <c r="AD153" s="843"/>
      <c r="AE153" s="843"/>
      <c r="AF153" s="843"/>
      <c r="AG153" s="843"/>
      <c r="AH153" s="843"/>
      <c r="AI153" s="843"/>
      <c r="AJ153" s="843"/>
      <c r="AK153" s="843"/>
      <c r="AL153" s="843"/>
      <c r="AM153" s="843"/>
      <c r="AN153" s="843"/>
      <c r="AO153" s="843"/>
      <c r="AP153" s="843"/>
      <c r="AQ153" s="843"/>
      <c r="AR153" s="843"/>
      <c r="AS153" s="843"/>
    </row>
    <row r="154" spans="2:45" ht="15">
      <c r="B154" s="843"/>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843"/>
      <c r="Z154" s="843"/>
      <c r="AA154" s="843"/>
      <c r="AB154" s="843"/>
      <c r="AC154" s="843"/>
      <c r="AD154" s="843"/>
      <c r="AE154" s="843"/>
      <c r="AF154" s="843"/>
      <c r="AG154" s="843"/>
      <c r="AH154" s="843"/>
      <c r="AI154" s="843"/>
      <c r="AJ154" s="843"/>
      <c r="AK154" s="843"/>
      <c r="AL154" s="843"/>
      <c r="AM154" s="843"/>
      <c r="AN154" s="843"/>
      <c r="AO154" s="843"/>
      <c r="AP154" s="843"/>
      <c r="AQ154" s="843"/>
      <c r="AR154" s="843"/>
      <c r="AS154" s="843"/>
    </row>
    <row r="155" spans="2:45" ht="15">
      <c r="B155" s="843"/>
      <c r="C155" s="843"/>
      <c r="D155" s="843"/>
      <c r="E155" s="843"/>
      <c r="F155" s="843"/>
      <c r="G155" s="843"/>
      <c r="H155" s="843"/>
      <c r="I155" s="843"/>
      <c r="J155" s="843"/>
      <c r="K155" s="843"/>
      <c r="L155" s="843"/>
      <c r="M155" s="843"/>
      <c r="N155" s="843"/>
      <c r="O155" s="843"/>
      <c r="P155" s="843"/>
      <c r="Q155" s="843"/>
      <c r="R155" s="843"/>
      <c r="S155" s="843"/>
      <c r="T155" s="843"/>
      <c r="U155" s="843"/>
      <c r="V155" s="843"/>
      <c r="W155" s="843"/>
      <c r="X155" s="843"/>
      <c r="Y155" s="843"/>
      <c r="Z155" s="843"/>
      <c r="AA155" s="843"/>
      <c r="AB155" s="843"/>
      <c r="AC155" s="843"/>
      <c r="AD155" s="843"/>
      <c r="AE155" s="843"/>
      <c r="AF155" s="843"/>
      <c r="AG155" s="843"/>
      <c r="AH155" s="843"/>
      <c r="AI155" s="843"/>
      <c r="AJ155" s="843"/>
      <c r="AK155" s="843"/>
      <c r="AL155" s="843"/>
      <c r="AM155" s="843"/>
      <c r="AN155" s="843"/>
      <c r="AO155" s="843"/>
      <c r="AP155" s="843"/>
      <c r="AQ155" s="843"/>
      <c r="AR155" s="843"/>
      <c r="AS155" s="843"/>
    </row>
    <row r="156" spans="2:45" ht="15">
      <c r="B156" s="843"/>
      <c r="C156" s="843"/>
      <c r="D156" s="843"/>
      <c r="E156" s="843"/>
      <c r="F156" s="843"/>
      <c r="G156" s="843"/>
      <c r="H156" s="843"/>
      <c r="I156" s="843"/>
      <c r="J156" s="843"/>
      <c r="K156" s="843"/>
      <c r="L156" s="843"/>
      <c r="M156" s="843"/>
      <c r="N156" s="843"/>
      <c r="O156" s="843"/>
      <c r="P156" s="843"/>
      <c r="Q156" s="843"/>
      <c r="R156" s="843"/>
      <c r="S156" s="843"/>
      <c r="T156" s="843"/>
      <c r="U156" s="843"/>
      <c r="V156" s="843"/>
      <c r="W156" s="843"/>
      <c r="X156" s="843"/>
      <c r="Y156" s="843"/>
      <c r="Z156" s="843"/>
      <c r="AA156" s="843"/>
      <c r="AB156" s="843"/>
      <c r="AC156" s="843"/>
      <c r="AD156" s="843"/>
      <c r="AE156" s="843"/>
      <c r="AF156" s="843"/>
      <c r="AG156" s="843"/>
      <c r="AH156" s="843"/>
      <c r="AI156" s="843"/>
      <c r="AJ156" s="843"/>
      <c r="AK156" s="843"/>
      <c r="AL156" s="843"/>
      <c r="AM156" s="843"/>
      <c r="AN156" s="843"/>
      <c r="AO156" s="843"/>
      <c r="AP156" s="843"/>
      <c r="AQ156" s="843"/>
      <c r="AR156" s="843"/>
      <c r="AS156" s="843"/>
    </row>
    <row r="157" spans="2:45" ht="15">
      <c r="B157" s="843"/>
      <c r="C157" s="843"/>
      <c r="D157" s="843"/>
      <c r="E157" s="843"/>
      <c r="F157" s="843"/>
      <c r="G157" s="843"/>
      <c r="H157" s="843"/>
      <c r="I157" s="843"/>
      <c r="J157" s="843"/>
      <c r="K157" s="843"/>
      <c r="L157" s="843"/>
      <c r="M157" s="843"/>
      <c r="N157" s="843"/>
      <c r="O157" s="843"/>
      <c r="P157" s="843"/>
      <c r="Q157" s="843"/>
      <c r="R157" s="843"/>
      <c r="S157" s="843"/>
      <c r="T157" s="843"/>
      <c r="U157" s="843"/>
      <c r="V157" s="843"/>
      <c r="W157" s="843"/>
      <c r="X157" s="843"/>
      <c r="Y157" s="843"/>
      <c r="Z157" s="843"/>
      <c r="AA157" s="843"/>
      <c r="AB157" s="843"/>
      <c r="AC157" s="843"/>
      <c r="AD157" s="843"/>
      <c r="AE157" s="843"/>
      <c r="AF157" s="843"/>
      <c r="AG157" s="843"/>
      <c r="AH157" s="843"/>
      <c r="AI157" s="843"/>
      <c r="AJ157" s="843"/>
      <c r="AK157" s="843"/>
      <c r="AL157" s="843"/>
      <c r="AM157" s="843"/>
      <c r="AN157" s="843"/>
      <c r="AO157" s="843"/>
      <c r="AP157" s="843"/>
      <c r="AQ157" s="843"/>
      <c r="AR157" s="843"/>
      <c r="AS157" s="843"/>
    </row>
    <row r="158" spans="2:45" ht="15">
      <c r="B158" s="843"/>
      <c r="C158" s="843"/>
      <c r="D158" s="843"/>
      <c r="E158" s="843"/>
      <c r="F158" s="843"/>
      <c r="G158" s="843"/>
      <c r="H158" s="843"/>
      <c r="I158" s="843"/>
      <c r="J158" s="843"/>
      <c r="K158" s="843"/>
      <c r="L158" s="843"/>
      <c r="M158" s="843"/>
      <c r="N158" s="843"/>
      <c r="O158" s="843"/>
      <c r="P158" s="843"/>
      <c r="Q158" s="843"/>
      <c r="R158" s="843"/>
      <c r="S158" s="843"/>
      <c r="T158" s="843"/>
      <c r="U158" s="843"/>
      <c r="V158" s="843"/>
      <c r="W158" s="843"/>
      <c r="X158" s="843"/>
      <c r="Y158" s="843"/>
      <c r="Z158" s="843"/>
      <c r="AA158" s="843"/>
      <c r="AB158" s="843"/>
      <c r="AC158" s="843"/>
      <c r="AD158" s="843"/>
      <c r="AE158" s="843"/>
      <c r="AF158" s="843"/>
      <c r="AG158" s="843"/>
      <c r="AH158" s="843"/>
      <c r="AI158" s="843"/>
      <c r="AJ158" s="843"/>
      <c r="AK158" s="843"/>
      <c r="AL158" s="843"/>
      <c r="AM158" s="843"/>
      <c r="AN158" s="843"/>
      <c r="AO158" s="843"/>
      <c r="AP158" s="843"/>
      <c r="AQ158" s="843"/>
      <c r="AR158" s="843"/>
      <c r="AS158" s="843"/>
    </row>
    <row r="159" spans="2:45" ht="15">
      <c r="B159" s="843"/>
      <c r="C159" s="843"/>
      <c r="D159" s="843"/>
      <c r="E159" s="843"/>
      <c r="F159" s="843"/>
      <c r="G159" s="843"/>
      <c r="H159" s="843"/>
      <c r="I159" s="843"/>
      <c r="J159" s="843"/>
      <c r="K159" s="843"/>
      <c r="L159" s="843"/>
      <c r="M159" s="843"/>
      <c r="N159" s="843"/>
      <c r="O159" s="843"/>
      <c r="P159" s="843"/>
      <c r="Q159" s="843"/>
      <c r="R159" s="843"/>
      <c r="S159" s="843"/>
      <c r="T159" s="843"/>
      <c r="U159" s="843"/>
      <c r="V159" s="843"/>
      <c r="W159" s="843"/>
      <c r="X159" s="843"/>
      <c r="Y159" s="843"/>
      <c r="Z159" s="843"/>
      <c r="AA159" s="843"/>
      <c r="AB159" s="843"/>
      <c r="AC159" s="843"/>
      <c r="AD159" s="843"/>
      <c r="AE159" s="843"/>
      <c r="AF159" s="843"/>
      <c r="AG159" s="843"/>
      <c r="AH159" s="843"/>
      <c r="AI159" s="843"/>
      <c r="AJ159" s="843"/>
      <c r="AK159" s="843"/>
      <c r="AL159" s="843"/>
      <c r="AM159" s="843"/>
      <c r="AN159" s="843"/>
      <c r="AO159" s="843"/>
      <c r="AP159" s="843"/>
      <c r="AQ159" s="843"/>
      <c r="AR159" s="843"/>
      <c r="AS159" s="843"/>
    </row>
    <row r="160" spans="2:45" ht="15">
      <c r="B160" s="843"/>
      <c r="C160" s="843"/>
      <c r="D160" s="843"/>
      <c r="E160" s="843"/>
      <c r="F160" s="843"/>
      <c r="G160" s="843"/>
      <c r="H160" s="843"/>
      <c r="I160" s="843"/>
      <c r="J160" s="843"/>
      <c r="K160" s="843"/>
      <c r="L160" s="843"/>
      <c r="M160" s="843"/>
      <c r="N160" s="843"/>
      <c r="O160" s="843"/>
      <c r="P160" s="843"/>
      <c r="Q160" s="843"/>
      <c r="R160" s="843"/>
      <c r="S160" s="843"/>
      <c r="T160" s="843"/>
      <c r="U160" s="843"/>
      <c r="V160" s="843"/>
      <c r="W160" s="843"/>
      <c r="X160" s="843"/>
      <c r="Y160" s="843"/>
      <c r="Z160" s="843"/>
      <c r="AA160" s="843"/>
      <c r="AB160" s="843"/>
      <c r="AC160" s="843"/>
      <c r="AD160" s="843"/>
      <c r="AE160" s="843"/>
      <c r="AF160" s="843"/>
      <c r="AG160" s="843"/>
      <c r="AH160" s="843"/>
      <c r="AI160" s="843"/>
      <c r="AJ160" s="843"/>
      <c r="AK160" s="843"/>
      <c r="AL160" s="843"/>
      <c r="AM160" s="843"/>
      <c r="AN160" s="843"/>
      <c r="AO160" s="843"/>
      <c r="AP160" s="843"/>
      <c r="AQ160" s="843"/>
      <c r="AR160" s="843"/>
      <c r="AS160" s="843"/>
    </row>
    <row r="161" spans="2:45" ht="15">
      <c r="B161" s="843"/>
      <c r="C161" s="843"/>
      <c r="D161" s="843"/>
      <c r="E161" s="843"/>
      <c r="F161" s="843"/>
      <c r="G161" s="843"/>
      <c r="H161" s="843"/>
      <c r="I161" s="843"/>
      <c r="J161" s="843"/>
      <c r="K161" s="843"/>
      <c r="L161" s="843"/>
      <c r="M161" s="843"/>
      <c r="N161" s="843"/>
      <c r="O161" s="843"/>
      <c r="P161" s="843"/>
      <c r="Q161" s="843"/>
      <c r="R161" s="843"/>
      <c r="S161" s="843"/>
      <c r="T161" s="843"/>
      <c r="U161" s="843"/>
      <c r="V161" s="843"/>
      <c r="W161" s="843"/>
      <c r="X161" s="843"/>
      <c r="Y161" s="843"/>
      <c r="Z161" s="843"/>
      <c r="AA161" s="843"/>
      <c r="AB161" s="843"/>
      <c r="AC161" s="843"/>
      <c r="AD161" s="843"/>
      <c r="AE161" s="843"/>
      <c r="AF161" s="843"/>
      <c r="AG161" s="843"/>
      <c r="AH161" s="843"/>
      <c r="AI161" s="843"/>
      <c r="AJ161" s="843"/>
      <c r="AK161" s="843"/>
      <c r="AL161" s="843"/>
      <c r="AM161" s="843"/>
      <c r="AN161" s="843"/>
      <c r="AO161" s="843"/>
      <c r="AP161" s="843"/>
      <c r="AQ161" s="843"/>
      <c r="AR161" s="843"/>
      <c r="AS161" s="843"/>
    </row>
    <row r="162" spans="2:45" ht="15">
      <c r="B162" s="843"/>
      <c r="C162" s="843"/>
      <c r="D162" s="843"/>
      <c r="E162" s="843"/>
      <c r="F162" s="843"/>
      <c r="G162" s="843"/>
      <c r="H162" s="843"/>
      <c r="I162" s="843"/>
      <c r="J162" s="843"/>
      <c r="K162" s="843"/>
      <c r="L162" s="843"/>
      <c r="M162" s="843"/>
      <c r="N162" s="843"/>
      <c r="O162" s="843"/>
      <c r="P162" s="843"/>
      <c r="Q162" s="843"/>
      <c r="R162" s="843"/>
      <c r="S162" s="843"/>
      <c r="T162" s="843"/>
      <c r="U162" s="843"/>
      <c r="V162" s="843"/>
      <c r="W162" s="843"/>
      <c r="X162" s="843"/>
      <c r="Y162" s="843"/>
      <c r="Z162" s="843"/>
      <c r="AA162" s="843"/>
      <c r="AB162" s="843"/>
      <c r="AC162" s="843"/>
      <c r="AD162" s="843"/>
      <c r="AE162" s="843"/>
      <c r="AF162" s="843"/>
      <c r="AG162" s="843"/>
      <c r="AH162" s="843"/>
      <c r="AI162" s="843"/>
      <c r="AJ162" s="843"/>
      <c r="AK162" s="843"/>
      <c r="AL162" s="843"/>
      <c r="AM162" s="843"/>
      <c r="AN162" s="843"/>
      <c r="AO162" s="843"/>
      <c r="AP162" s="843"/>
      <c r="AQ162" s="843"/>
      <c r="AR162" s="843"/>
      <c r="AS162" s="843"/>
    </row>
    <row r="163" spans="2:45" ht="15">
      <c r="B163" s="843"/>
      <c r="C163" s="843"/>
      <c r="D163" s="843"/>
      <c r="E163" s="843"/>
      <c r="F163" s="843"/>
      <c r="G163" s="843"/>
      <c r="H163" s="843"/>
      <c r="I163" s="843"/>
      <c r="J163" s="843"/>
      <c r="K163" s="843"/>
      <c r="L163" s="843"/>
      <c r="M163" s="843"/>
      <c r="N163" s="843"/>
      <c r="O163" s="843"/>
      <c r="P163" s="843"/>
      <c r="Q163" s="843"/>
      <c r="R163" s="843"/>
      <c r="S163" s="843"/>
      <c r="T163" s="843"/>
      <c r="U163" s="843"/>
      <c r="V163" s="843"/>
      <c r="W163" s="843"/>
      <c r="X163" s="843"/>
      <c r="Y163" s="843"/>
      <c r="Z163" s="843"/>
      <c r="AA163" s="843"/>
      <c r="AB163" s="843"/>
      <c r="AC163" s="843"/>
      <c r="AD163" s="843"/>
      <c r="AE163" s="843"/>
      <c r="AF163" s="843"/>
      <c r="AG163" s="843"/>
      <c r="AH163" s="843"/>
      <c r="AI163" s="843"/>
      <c r="AJ163" s="843"/>
      <c r="AK163" s="843"/>
      <c r="AL163" s="843"/>
      <c r="AM163" s="843"/>
      <c r="AN163" s="843"/>
      <c r="AO163" s="843"/>
      <c r="AP163" s="843"/>
      <c r="AQ163" s="843"/>
      <c r="AR163" s="843"/>
      <c r="AS163" s="843"/>
    </row>
    <row r="164" spans="2:45" ht="15">
      <c r="B164" s="843"/>
      <c r="C164" s="843"/>
      <c r="D164" s="843"/>
      <c r="E164" s="843"/>
      <c r="F164" s="843"/>
      <c r="G164" s="843"/>
      <c r="H164" s="843"/>
      <c r="I164" s="843"/>
      <c r="J164" s="843"/>
      <c r="K164" s="843"/>
      <c r="L164" s="843"/>
      <c r="M164" s="843"/>
      <c r="N164" s="843"/>
      <c r="O164" s="843"/>
      <c r="P164" s="843"/>
      <c r="Q164" s="843"/>
      <c r="R164" s="843"/>
      <c r="S164" s="843"/>
      <c r="T164" s="843"/>
      <c r="U164" s="843"/>
      <c r="V164" s="843"/>
      <c r="W164" s="843"/>
      <c r="X164" s="843"/>
      <c r="Y164" s="843"/>
      <c r="Z164" s="843"/>
      <c r="AA164" s="843"/>
      <c r="AB164" s="843"/>
      <c r="AC164" s="843"/>
      <c r="AD164" s="843"/>
      <c r="AE164" s="843"/>
      <c r="AF164" s="843"/>
      <c r="AG164" s="843"/>
      <c r="AH164" s="843"/>
      <c r="AI164" s="843"/>
      <c r="AJ164" s="843"/>
      <c r="AK164" s="843"/>
      <c r="AL164" s="843"/>
      <c r="AM164" s="843"/>
      <c r="AN164" s="843"/>
      <c r="AO164" s="843"/>
      <c r="AP164" s="843"/>
      <c r="AQ164" s="843"/>
      <c r="AR164" s="843"/>
      <c r="AS164" s="843"/>
    </row>
    <row r="165" spans="2:45" ht="15">
      <c r="B165" s="843"/>
      <c r="C165" s="843"/>
      <c r="D165" s="843"/>
      <c r="E165" s="843"/>
      <c r="F165" s="843"/>
      <c r="G165" s="843"/>
      <c r="H165" s="843"/>
      <c r="I165" s="843"/>
      <c r="J165" s="843"/>
      <c r="K165" s="843"/>
      <c r="L165" s="843"/>
      <c r="M165" s="843"/>
      <c r="N165" s="843"/>
      <c r="O165" s="843"/>
      <c r="P165" s="843"/>
      <c r="Q165" s="843"/>
      <c r="R165" s="843"/>
      <c r="S165" s="843"/>
      <c r="T165" s="843"/>
      <c r="U165" s="843"/>
      <c r="V165" s="843"/>
      <c r="W165" s="843"/>
      <c r="X165" s="843"/>
      <c r="Y165" s="843"/>
      <c r="Z165" s="843"/>
      <c r="AA165" s="843"/>
      <c r="AB165" s="843"/>
      <c r="AC165" s="843"/>
      <c r="AD165" s="843"/>
      <c r="AE165" s="843"/>
      <c r="AF165" s="843"/>
      <c r="AG165" s="843"/>
      <c r="AH165" s="843"/>
      <c r="AI165" s="843"/>
      <c r="AJ165" s="843"/>
      <c r="AK165" s="843"/>
      <c r="AL165" s="843"/>
      <c r="AM165" s="843"/>
      <c r="AN165" s="843"/>
      <c r="AO165" s="843"/>
      <c r="AP165" s="843"/>
      <c r="AQ165" s="843"/>
      <c r="AR165" s="843"/>
      <c r="AS165" s="843"/>
    </row>
    <row r="166" spans="2:45" ht="15">
      <c r="B166" s="843"/>
      <c r="C166" s="843"/>
      <c r="D166" s="843"/>
      <c r="E166" s="843"/>
      <c r="F166" s="843"/>
      <c r="G166" s="843"/>
      <c r="H166" s="843"/>
      <c r="I166" s="843"/>
      <c r="J166" s="843"/>
      <c r="K166" s="843"/>
      <c r="L166" s="843"/>
      <c r="M166" s="843"/>
      <c r="N166" s="843"/>
      <c r="O166" s="843"/>
      <c r="P166" s="843"/>
      <c r="Q166" s="843"/>
      <c r="R166" s="843"/>
      <c r="S166" s="843"/>
      <c r="T166" s="843"/>
      <c r="U166" s="843"/>
      <c r="V166" s="843"/>
      <c r="W166" s="843"/>
      <c r="X166" s="843"/>
      <c r="Y166" s="843"/>
      <c r="Z166" s="843"/>
      <c r="AA166" s="843"/>
      <c r="AB166" s="843"/>
      <c r="AC166" s="843"/>
      <c r="AD166" s="843"/>
      <c r="AE166" s="843"/>
      <c r="AF166" s="843"/>
      <c r="AG166" s="843"/>
      <c r="AH166" s="843"/>
      <c r="AI166" s="843"/>
      <c r="AJ166" s="843"/>
      <c r="AK166" s="843"/>
      <c r="AL166" s="843"/>
      <c r="AM166" s="843"/>
      <c r="AN166" s="843"/>
      <c r="AO166" s="843"/>
      <c r="AP166" s="843"/>
      <c r="AQ166" s="843"/>
      <c r="AR166" s="843"/>
      <c r="AS166" s="843"/>
    </row>
    <row r="167" spans="2:45" ht="15">
      <c r="B167" s="843"/>
      <c r="C167" s="843"/>
      <c r="D167" s="843"/>
      <c r="E167" s="843"/>
      <c r="F167" s="843"/>
      <c r="G167" s="843"/>
      <c r="H167" s="843"/>
      <c r="I167" s="843"/>
      <c r="J167" s="843"/>
      <c r="K167" s="843"/>
      <c r="L167" s="843"/>
      <c r="M167" s="843"/>
      <c r="N167" s="843"/>
      <c r="O167" s="843"/>
      <c r="P167" s="843"/>
      <c r="Q167" s="843"/>
      <c r="R167" s="843"/>
      <c r="S167" s="843"/>
      <c r="T167" s="843"/>
      <c r="U167" s="843"/>
      <c r="V167" s="843"/>
      <c r="W167" s="843"/>
      <c r="X167" s="843"/>
      <c r="Y167" s="843"/>
      <c r="Z167" s="843"/>
      <c r="AA167" s="843"/>
      <c r="AB167" s="843"/>
      <c r="AC167" s="843"/>
      <c r="AD167" s="843"/>
      <c r="AE167" s="843"/>
      <c r="AF167" s="843"/>
      <c r="AG167" s="843"/>
      <c r="AH167" s="843"/>
      <c r="AI167" s="843"/>
      <c r="AJ167" s="843"/>
      <c r="AK167" s="843"/>
      <c r="AL167" s="843"/>
      <c r="AM167" s="843"/>
      <c r="AN167" s="843"/>
      <c r="AO167" s="843"/>
      <c r="AP167" s="843"/>
      <c r="AQ167" s="843"/>
      <c r="AR167" s="843"/>
      <c r="AS167" s="843"/>
    </row>
    <row r="168" spans="2:45" ht="15">
      <c r="B168" s="843"/>
      <c r="C168" s="843"/>
      <c r="D168" s="843"/>
      <c r="E168" s="843"/>
      <c r="F168" s="843"/>
      <c r="G168" s="843"/>
      <c r="H168" s="843"/>
      <c r="I168" s="843"/>
      <c r="J168" s="843"/>
      <c r="K168" s="843"/>
      <c r="L168" s="843"/>
      <c r="M168" s="843"/>
      <c r="N168" s="843"/>
      <c r="O168" s="843"/>
      <c r="P168" s="843"/>
      <c r="Q168" s="843"/>
      <c r="R168" s="843"/>
      <c r="S168" s="843"/>
      <c r="T168" s="843"/>
      <c r="U168" s="843"/>
      <c r="V168" s="843"/>
      <c r="W168" s="843"/>
      <c r="X168" s="843"/>
      <c r="Y168" s="843"/>
      <c r="Z168" s="843"/>
      <c r="AA168" s="843"/>
      <c r="AB168" s="843"/>
      <c r="AC168" s="843"/>
      <c r="AD168" s="843"/>
      <c r="AE168" s="843"/>
      <c r="AF168" s="843"/>
      <c r="AG168" s="843"/>
      <c r="AH168" s="843"/>
      <c r="AI168" s="843"/>
      <c r="AJ168" s="843"/>
      <c r="AK168" s="843"/>
      <c r="AL168" s="843"/>
      <c r="AM168" s="843"/>
      <c r="AN168" s="843"/>
      <c r="AO168" s="843"/>
      <c r="AP168" s="843"/>
      <c r="AQ168" s="843"/>
      <c r="AR168" s="843"/>
      <c r="AS168" s="843"/>
    </row>
    <row r="169" spans="2:45" ht="15">
      <c r="B169" s="843"/>
      <c r="C169" s="843"/>
      <c r="D169" s="843"/>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843"/>
      <c r="AL169" s="843"/>
      <c r="AM169" s="843"/>
      <c r="AN169" s="843"/>
      <c r="AO169" s="843"/>
      <c r="AP169" s="843"/>
      <c r="AQ169" s="843"/>
      <c r="AR169" s="843"/>
      <c r="AS169" s="843"/>
    </row>
    <row r="170" spans="2:45" ht="15">
      <c r="B170" s="843"/>
      <c r="C170" s="843"/>
      <c r="D170" s="843"/>
      <c r="E170" s="843"/>
      <c r="F170" s="843"/>
      <c r="G170" s="843"/>
      <c r="H170" s="843"/>
      <c r="I170" s="843"/>
      <c r="J170" s="843"/>
      <c r="K170" s="843"/>
      <c r="L170" s="843"/>
      <c r="M170" s="843"/>
      <c r="N170" s="843"/>
      <c r="O170" s="843"/>
      <c r="P170" s="843"/>
      <c r="Q170" s="843"/>
      <c r="R170" s="843"/>
      <c r="S170" s="843"/>
      <c r="T170" s="843"/>
      <c r="U170" s="843"/>
      <c r="V170" s="843"/>
      <c r="W170" s="843"/>
      <c r="X170" s="843"/>
      <c r="Y170" s="843"/>
      <c r="Z170" s="843"/>
      <c r="AA170" s="843"/>
      <c r="AB170" s="843"/>
      <c r="AC170" s="843"/>
      <c r="AD170" s="843"/>
      <c r="AE170" s="843"/>
      <c r="AF170" s="843"/>
      <c r="AG170" s="843"/>
      <c r="AH170" s="843"/>
      <c r="AI170" s="843"/>
      <c r="AJ170" s="843"/>
      <c r="AK170" s="843"/>
      <c r="AL170" s="843"/>
      <c r="AM170" s="843"/>
      <c r="AN170" s="843"/>
      <c r="AO170" s="843"/>
      <c r="AP170" s="843"/>
      <c r="AQ170" s="843"/>
      <c r="AR170" s="843"/>
      <c r="AS170" s="843"/>
    </row>
    <row r="171" spans="2:45" ht="15">
      <c r="B171" s="843"/>
      <c r="C171" s="843"/>
      <c r="D171" s="843"/>
      <c r="E171" s="843"/>
      <c r="F171" s="843"/>
      <c r="G171" s="843"/>
      <c r="H171" s="843"/>
      <c r="I171" s="843"/>
      <c r="J171" s="843"/>
      <c r="K171" s="843"/>
      <c r="L171" s="843"/>
      <c r="M171" s="843"/>
      <c r="N171" s="843"/>
      <c r="O171" s="843"/>
      <c r="P171" s="843"/>
      <c r="Q171" s="843"/>
      <c r="R171" s="843"/>
      <c r="S171" s="843"/>
      <c r="T171" s="843"/>
      <c r="U171" s="843"/>
      <c r="V171" s="843"/>
      <c r="W171" s="843"/>
      <c r="X171" s="843"/>
      <c r="Y171" s="843"/>
      <c r="Z171" s="843"/>
      <c r="AA171" s="843"/>
      <c r="AB171" s="843"/>
      <c r="AC171" s="843"/>
      <c r="AD171" s="843"/>
      <c r="AE171" s="843"/>
      <c r="AF171" s="843"/>
      <c r="AG171" s="843"/>
      <c r="AH171" s="843"/>
      <c r="AI171" s="843"/>
      <c r="AJ171" s="843"/>
      <c r="AK171" s="843"/>
      <c r="AL171" s="843"/>
      <c r="AM171" s="843"/>
      <c r="AN171" s="843"/>
      <c r="AO171" s="843"/>
      <c r="AP171" s="843"/>
      <c r="AQ171" s="843"/>
      <c r="AR171" s="843"/>
      <c r="AS171" s="843"/>
    </row>
    <row r="172" spans="2:45" ht="15">
      <c r="B172" s="843"/>
      <c r="C172" s="843"/>
      <c r="D172" s="843"/>
      <c r="E172" s="843"/>
      <c r="F172" s="843"/>
      <c r="G172" s="843"/>
      <c r="H172" s="843"/>
      <c r="I172" s="843"/>
      <c r="J172" s="843"/>
      <c r="K172" s="843"/>
      <c r="L172" s="843"/>
      <c r="M172" s="843"/>
      <c r="N172" s="843"/>
      <c r="O172" s="843"/>
      <c r="P172" s="843"/>
      <c r="Q172" s="843"/>
      <c r="R172" s="843"/>
      <c r="S172" s="843"/>
      <c r="T172" s="843"/>
      <c r="U172" s="843"/>
      <c r="V172" s="843"/>
      <c r="W172" s="843"/>
      <c r="X172" s="843"/>
      <c r="Y172" s="843"/>
      <c r="Z172" s="843"/>
      <c r="AA172" s="843"/>
      <c r="AB172" s="843"/>
      <c r="AC172" s="843"/>
      <c r="AD172" s="843"/>
      <c r="AE172" s="843"/>
      <c r="AF172" s="843"/>
      <c r="AG172" s="843"/>
      <c r="AH172" s="843"/>
      <c r="AI172" s="843"/>
      <c r="AJ172" s="843"/>
      <c r="AK172" s="843"/>
      <c r="AL172" s="843"/>
      <c r="AM172" s="843"/>
      <c r="AN172" s="843"/>
      <c r="AO172" s="843"/>
      <c r="AP172" s="843"/>
      <c r="AQ172" s="843"/>
      <c r="AR172" s="843"/>
      <c r="AS172" s="843"/>
    </row>
    <row r="173" spans="2:45" ht="15">
      <c r="B173" s="843"/>
      <c r="C173" s="843"/>
      <c r="D173" s="843"/>
      <c r="E173" s="843"/>
      <c r="F173" s="843"/>
      <c r="G173" s="843"/>
      <c r="H173" s="843"/>
      <c r="I173" s="843"/>
      <c r="J173" s="843"/>
      <c r="K173" s="843"/>
      <c r="L173" s="843"/>
      <c r="M173" s="843"/>
      <c r="N173" s="843"/>
      <c r="O173" s="843"/>
      <c r="P173" s="843"/>
      <c r="Q173" s="843"/>
      <c r="R173" s="843"/>
      <c r="S173" s="843"/>
      <c r="T173" s="843"/>
      <c r="U173" s="843"/>
      <c r="V173" s="843"/>
      <c r="W173" s="843"/>
      <c r="X173" s="843"/>
      <c r="Y173" s="843"/>
      <c r="Z173" s="843"/>
      <c r="AA173" s="843"/>
      <c r="AB173" s="843"/>
      <c r="AC173" s="843"/>
      <c r="AD173" s="843"/>
      <c r="AE173" s="843"/>
      <c r="AF173" s="843"/>
      <c r="AG173" s="843"/>
      <c r="AH173" s="843"/>
      <c r="AI173" s="843"/>
      <c r="AJ173" s="843"/>
      <c r="AK173" s="843"/>
      <c r="AL173" s="843"/>
      <c r="AM173" s="843"/>
      <c r="AN173" s="843"/>
      <c r="AO173" s="843"/>
      <c r="AP173" s="843"/>
      <c r="AQ173" s="843"/>
      <c r="AR173" s="843"/>
      <c r="AS173" s="843"/>
    </row>
    <row r="174" spans="2:45" ht="15">
      <c r="B174" s="843"/>
      <c r="C174" s="843"/>
      <c r="D174" s="843"/>
      <c r="E174" s="843"/>
      <c r="F174" s="843"/>
      <c r="G174" s="843"/>
      <c r="H174" s="843"/>
      <c r="I174" s="843"/>
      <c r="J174" s="843"/>
      <c r="K174" s="843"/>
      <c r="L174" s="843"/>
      <c r="M174" s="843"/>
      <c r="N174" s="843"/>
      <c r="O174" s="843"/>
      <c r="P174" s="843"/>
      <c r="Q174" s="843"/>
      <c r="R174" s="843"/>
      <c r="S174" s="843"/>
      <c r="T174" s="843"/>
      <c r="U174" s="843"/>
      <c r="V174" s="843"/>
      <c r="W174" s="843"/>
      <c r="X174" s="843"/>
      <c r="Y174" s="843"/>
      <c r="Z174" s="843"/>
      <c r="AA174" s="843"/>
      <c r="AB174" s="843"/>
      <c r="AC174" s="843"/>
      <c r="AD174" s="843"/>
      <c r="AE174" s="843"/>
      <c r="AF174" s="843"/>
      <c r="AG174" s="843"/>
      <c r="AH174" s="843"/>
      <c r="AI174" s="843"/>
      <c r="AJ174" s="843"/>
      <c r="AK174" s="843"/>
      <c r="AL174" s="843"/>
      <c r="AM174" s="843"/>
      <c r="AN174" s="843"/>
      <c r="AO174" s="843"/>
      <c r="AP174" s="843"/>
      <c r="AQ174" s="843"/>
      <c r="AR174" s="843"/>
    </row>
    <row r="175" spans="2:45" ht="15">
      <c r="B175" s="843"/>
      <c r="C175" s="843"/>
      <c r="D175" s="843"/>
      <c r="E175" s="843"/>
      <c r="F175" s="843"/>
      <c r="G175" s="843"/>
      <c r="H175" s="843"/>
      <c r="I175" s="843"/>
      <c r="J175" s="843"/>
      <c r="K175" s="843"/>
      <c r="L175" s="843"/>
      <c r="M175" s="843"/>
      <c r="N175" s="843"/>
      <c r="O175" s="843"/>
      <c r="P175" s="843"/>
      <c r="Q175" s="843"/>
      <c r="R175" s="843"/>
      <c r="S175" s="843"/>
      <c r="T175" s="843"/>
      <c r="U175" s="843"/>
      <c r="V175" s="843"/>
      <c r="W175" s="843"/>
      <c r="X175" s="843"/>
      <c r="Y175" s="843"/>
      <c r="Z175" s="843"/>
      <c r="AA175" s="843"/>
      <c r="AB175" s="843"/>
      <c r="AC175" s="843"/>
      <c r="AD175" s="843"/>
      <c r="AE175" s="843"/>
      <c r="AF175" s="843"/>
      <c r="AG175" s="843"/>
      <c r="AH175" s="843"/>
      <c r="AI175" s="843"/>
      <c r="AJ175" s="843"/>
      <c r="AK175" s="843"/>
      <c r="AL175" s="843"/>
      <c r="AM175" s="843"/>
      <c r="AN175" s="843"/>
      <c r="AO175" s="843"/>
      <c r="AP175" s="843"/>
      <c r="AQ175" s="843"/>
      <c r="AR175" s="843"/>
    </row>
    <row r="176" spans="2:45" ht="15">
      <c r="B176" s="843"/>
      <c r="C176" s="843"/>
      <c r="D176" s="843"/>
      <c r="E176" s="843"/>
      <c r="F176" s="843"/>
      <c r="G176" s="843"/>
      <c r="H176" s="843"/>
      <c r="I176" s="843"/>
      <c r="J176" s="843"/>
      <c r="K176" s="843"/>
      <c r="L176" s="843"/>
      <c r="M176" s="843"/>
      <c r="N176" s="843"/>
      <c r="O176" s="843"/>
      <c r="P176" s="843"/>
      <c r="Q176" s="843"/>
      <c r="R176" s="843"/>
      <c r="S176" s="843"/>
      <c r="T176" s="843"/>
      <c r="U176" s="843"/>
      <c r="V176" s="843"/>
      <c r="W176" s="843"/>
      <c r="X176" s="843"/>
      <c r="Y176" s="843"/>
      <c r="Z176" s="843"/>
      <c r="AA176" s="843"/>
      <c r="AB176" s="843"/>
      <c r="AC176" s="843"/>
      <c r="AD176" s="843"/>
      <c r="AE176" s="843"/>
      <c r="AF176" s="843"/>
      <c r="AG176" s="843"/>
      <c r="AH176" s="843"/>
      <c r="AI176" s="843"/>
      <c r="AJ176" s="843"/>
      <c r="AK176" s="843"/>
      <c r="AL176" s="843"/>
      <c r="AM176" s="843"/>
      <c r="AN176" s="843"/>
      <c r="AO176" s="843"/>
      <c r="AP176" s="843"/>
      <c r="AQ176" s="843"/>
      <c r="AR176" s="843"/>
    </row>
    <row r="177" spans="1:45" ht="15">
      <c r="B177" s="843"/>
      <c r="C177" s="843"/>
      <c r="D177" s="843"/>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3"/>
      <c r="AQ177" s="843"/>
      <c r="AR177" s="843"/>
    </row>
    <row r="178" spans="1:45" ht="15">
      <c r="B178" s="843"/>
      <c r="C178" s="843"/>
      <c r="D178" s="843"/>
      <c r="E178" s="843"/>
      <c r="F178" s="843"/>
      <c r="G178" s="843"/>
      <c r="H178" s="843"/>
      <c r="I178" s="843"/>
      <c r="J178" s="843"/>
      <c r="K178" s="843"/>
      <c r="L178" s="843"/>
      <c r="M178" s="843"/>
      <c r="N178" s="843"/>
      <c r="O178" s="843"/>
      <c r="P178" s="843"/>
      <c r="Q178" s="843"/>
      <c r="R178" s="843"/>
      <c r="S178" s="843"/>
      <c r="T178" s="843"/>
      <c r="U178" s="843"/>
      <c r="V178" s="843"/>
      <c r="W178" s="843"/>
      <c r="X178" s="843"/>
      <c r="Y178" s="843"/>
      <c r="Z178" s="843"/>
      <c r="AA178" s="843"/>
      <c r="AB178" s="843"/>
      <c r="AC178" s="843"/>
      <c r="AD178" s="843"/>
      <c r="AE178" s="843"/>
      <c r="AF178" s="843"/>
      <c r="AG178" s="843"/>
      <c r="AH178" s="843"/>
      <c r="AI178" s="843"/>
      <c r="AJ178" s="843"/>
      <c r="AK178" s="843"/>
      <c r="AL178" s="843"/>
      <c r="AM178" s="843"/>
      <c r="AN178" s="843"/>
      <c r="AO178" s="843"/>
      <c r="AP178" s="843"/>
      <c r="AQ178" s="843"/>
      <c r="AR178" s="843"/>
    </row>
    <row r="179" spans="1:45" ht="15">
      <c r="B179" s="843"/>
      <c r="C179" s="843"/>
      <c r="D179" s="843"/>
      <c r="E179" s="843"/>
      <c r="F179" s="843"/>
      <c r="G179" s="843"/>
      <c r="H179" s="843"/>
      <c r="I179" s="843"/>
      <c r="J179" s="843"/>
      <c r="K179" s="843"/>
      <c r="L179" s="843"/>
      <c r="M179" s="843"/>
      <c r="N179" s="843"/>
      <c r="O179" s="843"/>
      <c r="P179" s="843"/>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3"/>
      <c r="AQ179" s="843"/>
      <c r="AR179" s="843"/>
    </row>
    <row r="180" spans="1:45" ht="15">
      <c r="B180" s="843"/>
      <c r="C180" s="843"/>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c r="AB180" s="843"/>
      <c r="AC180" s="843"/>
      <c r="AD180" s="843"/>
      <c r="AE180" s="843"/>
      <c r="AF180" s="843"/>
      <c r="AG180" s="843"/>
      <c r="AH180" s="843"/>
      <c r="AI180" s="843"/>
      <c r="AJ180" s="843"/>
      <c r="AK180" s="843"/>
      <c r="AL180" s="843"/>
      <c r="AM180" s="843"/>
      <c r="AN180" s="843"/>
      <c r="AO180" s="843"/>
      <c r="AP180" s="843"/>
      <c r="AQ180" s="843"/>
      <c r="AR180" s="843"/>
    </row>
    <row r="181" spans="1:45" ht="15">
      <c r="B181" s="843"/>
      <c r="C181" s="843"/>
      <c r="D181" s="843"/>
      <c r="E181" s="843"/>
      <c r="F181" s="843"/>
      <c r="G181" s="843"/>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843"/>
      <c r="AL181" s="843"/>
      <c r="AM181" s="843"/>
      <c r="AN181" s="843"/>
      <c r="AO181" s="843"/>
      <c r="AP181" s="843"/>
      <c r="AQ181" s="843"/>
      <c r="AR181" s="843"/>
    </row>
    <row r="182" spans="1:45" ht="15">
      <c r="B182" s="843"/>
      <c r="C182" s="843"/>
      <c r="D182" s="843"/>
      <c r="E182" s="843"/>
      <c r="F182" s="843"/>
      <c r="G182" s="843"/>
      <c r="H182" s="843"/>
      <c r="I182" s="843"/>
      <c r="J182" s="843"/>
      <c r="K182" s="843"/>
      <c r="L182" s="843"/>
      <c r="M182" s="843"/>
      <c r="N182" s="843"/>
      <c r="O182" s="843"/>
      <c r="P182" s="843"/>
      <c r="Q182" s="843"/>
      <c r="R182" s="843"/>
      <c r="S182" s="843"/>
      <c r="T182" s="843"/>
      <c r="U182" s="843"/>
      <c r="V182" s="843"/>
      <c r="W182" s="843"/>
      <c r="X182" s="843"/>
      <c r="Y182" s="843"/>
      <c r="Z182" s="843"/>
      <c r="AA182" s="843"/>
      <c r="AB182" s="843"/>
      <c r="AC182" s="843"/>
      <c r="AD182" s="843"/>
      <c r="AE182" s="843"/>
      <c r="AF182" s="843"/>
      <c r="AG182" s="843"/>
      <c r="AH182" s="843"/>
      <c r="AI182" s="843"/>
      <c r="AJ182" s="843"/>
      <c r="AK182" s="843"/>
      <c r="AL182" s="843"/>
      <c r="AM182" s="843"/>
      <c r="AN182" s="843"/>
      <c r="AO182" s="843"/>
      <c r="AP182" s="843"/>
      <c r="AQ182" s="843"/>
      <c r="AR182" s="843"/>
    </row>
    <row r="183" spans="1:45" ht="15">
      <c r="B183" s="843"/>
      <c r="C183" s="843"/>
      <c r="D183" s="843"/>
      <c r="E183" s="843"/>
      <c r="F183" s="843"/>
      <c r="G183" s="843"/>
      <c r="H183" s="843"/>
      <c r="I183" s="843"/>
      <c r="J183" s="843"/>
      <c r="K183" s="843"/>
      <c r="L183" s="843"/>
      <c r="M183" s="843"/>
      <c r="N183" s="843"/>
      <c r="O183" s="843"/>
      <c r="P183" s="843"/>
      <c r="Q183" s="843"/>
      <c r="R183" s="843"/>
      <c r="S183" s="843"/>
      <c r="T183" s="843"/>
      <c r="U183" s="843"/>
      <c r="V183" s="843"/>
      <c r="W183" s="843"/>
      <c r="X183" s="843"/>
      <c r="Y183" s="843"/>
      <c r="Z183" s="843"/>
      <c r="AA183" s="843"/>
      <c r="AB183" s="843"/>
      <c r="AC183" s="843"/>
      <c r="AD183" s="843"/>
      <c r="AE183" s="843"/>
      <c r="AF183" s="843"/>
      <c r="AG183" s="843"/>
      <c r="AH183" s="843"/>
      <c r="AI183" s="843"/>
      <c r="AJ183" s="843"/>
      <c r="AK183" s="843"/>
      <c r="AL183" s="843"/>
      <c r="AM183" s="843"/>
      <c r="AN183" s="843"/>
      <c r="AO183" s="843"/>
      <c r="AP183" s="843"/>
      <c r="AQ183" s="843"/>
      <c r="AR183" s="843"/>
    </row>
    <row r="184" spans="1:45" ht="15">
      <c r="B184" s="843"/>
      <c r="C184" s="843"/>
      <c r="D184" s="843"/>
      <c r="E184" s="843"/>
      <c r="F184" s="843"/>
      <c r="G184" s="843"/>
      <c r="H184" s="843"/>
      <c r="I184" s="843"/>
      <c r="J184" s="843"/>
      <c r="K184" s="843"/>
      <c r="L184" s="843"/>
      <c r="M184" s="843"/>
      <c r="N184" s="843"/>
      <c r="O184" s="843"/>
      <c r="P184" s="843"/>
      <c r="Q184" s="843"/>
      <c r="R184" s="843"/>
      <c r="S184" s="843"/>
      <c r="T184" s="843"/>
      <c r="U184" s="843"/>
      <c r="V184" s="843"/>
      <c r="W184" s="843"/>
      <c r="X184" s="843"/>
      <c r="Y184" s="843"/>
      <c r="Z184" s="843"/>
      <c r="AA184" s="843"/>
      <c r="AB184" s="843"/>
      <c r="AC184" s="843"/>
      <c r="AD184" s="843"/>
      <c r="AE184" s="843"/>
      <c r="AF184" s="843"/>
      <c r="AG184" s="843"/>
      <c r="AH184" s="843"/>
      <c r="AI184" s="843"/>
      <c r="AJ184" s="843"/>
      <c r="AK184" s="843"/>
      <c r="AL184" s="843"/>
      <c r="AM184" s="843"/>
      <c r="AN184" s="843"/>
      <c r="AO184" s="843"/>
      <c r="AP184" s="843"/>
      <c r="AQ184" s="843"/>
      <c r="AR184" s="843"/>
    </row>
    <row r="185" spans="1:45" ht="15">
      <c r="B185" s="843"/>
      <c r="C185" s="843"/>
      <c r="D185" s="843"/>
      <c r="E185" s="843"/>
      <c r="F185" s="843"/>
      <c r="G185" s="843"/>
      <c r="H185" s="843"/>
      <c r="I185" s="843"/>
      <c r="J185" s="843"/>
      <c r="K185" s="843"/>
      <c r="L185" s="843"/>
      <c r="M185" s="843"/>
      <c r="N185" s="843"/>
      <c r="O185" s="843"/>
      <c r="P185" s="843"/>
      <c r="Q185" s="843"/>
      <c r="R185" s="843"/>
      <c r="S185" s="843"/>
      <c r="T185" s="843"/>
      <c r="U185" s="843"/>
      <c r="V185" s="843"/>
      <c r="W185" s="843"/>
      <c r="X185" s="843"/>
      <c r="Y185" s="843"/>
      <c r="Z185" s="843"/>
      <c r="AA185" s="843"/>
      <c r="AB185" s="843"/>
      <c r="AC185" s="843"/>
      <c r="AD185" s="843"/>
      <c r="AE185" s="843"/>
      <c r="AF185" s="843"/>
      <c r="AG185" s="843"/>
      <c r="AH185" s="843"/>
      <c r="AI185" s="843"/>
      <c r="AJ185" s="843"/>
      <c r="AK185" s="843"/>
      <c r="AL185" s="843"/>
      <c r="AM185" s="843"/>
      <c r="AN185" s="843"/>
      <c r="AO185" s="843"/>
      <c r="AP185" s="843"/>
      <c r="AQ185" s="843"/>
      <c r="AR185" s="843"/>
    </row>
    <row r="186" spans="1:45" ht="15">
      <c r="B186" s="843"/>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3"/>
      <c r="AE186" s="843"/>
      <c r="AF186" s="843"/>
      <c r="AG186" s="843"/>
      <c r="AH186" s="843"/>
      <c r="AI186" s="843"/>
      <c r="AJ186" s="843"/>
      <c r="AK186" s="843"/>
      <c r="AL186" s="843"/>
      <c r="AM186" s="843"/>
      <c r="AN186" s="843"/>
      <c r="AO186" s="843"/>
      <c r="AP186" s="843"/>
      <c r="AQ186" s="843"/>
      <c r="AR186" s="843"/>
    </row>
    <row r="187" spans="1:45" ht="15">
      <c r="B187" s="843"/>
      <c r="C187" s="843"/>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3"/>
      <c r="AE187" s="843"/>
      <c r="AF187" s="843"/>
      <c r="AG187" s="843"/>
      <c r="AH187" s="843"/>
      <c r="AI187" s="843"/>
      <c r="AJ187" s="843"/>
      <c r="AK187" s="843"/>
      <c r="AL187" s="843"/>
      <c r="AM187" s="843"/>
      <c r="AN187" s="843"/>
      <c r="AO187" s="843"/>
      <c r="AP187" s="843"/>
      <c r="AQ187" s="843"/>
      <c r="AR187" s="843"/>
    </row>
    <row r="188" spans="1:45" s="1191" customFormat="1" ht="15">
      <c r="A188" s="1164"/>
      <c r="B188" s="843"/>
      <c r="C188" s="843"/>
      <c r="D188" s="843"/>
      <c r="E188" s="843"/>
      <c r="F188" s="843"/>
      <c r="G188" s="843"/>
      <c r="H188" s="843"/>
      <c r="I188" s="843"/>
      <c r="J188" s="843"/>
      <c r="K188" s="843"/>
      <c r="L188" s="843"/>
      <c r="M188" s="843"/>
      <c r="N188" s="843"/>
      <c r="O188" s="843"/>
      <c r="P188" s="843"/>
      <c r="Q188" s="843"/>
      <c r="R188" s="843"/>
      <c r="S188" s="843"/>
      <c r="T188" s="843"/>
      <c r="U188" s="843"/>
      <c r="V188" s="843"/>
      <c r="W188" s="843"/>
      <c r="X188" s="843"/>
      <c r="Y188" s="843"/>
      <c r="Z188" s="843"/>
      <c r="AA188" s="843"/>
      <c r="AB188" s="843"/>
      <c r="AC188" s="843"/>
      <c r="AD188" s="843"/>
      <c r="AE188" s="843"/>
      <c r="AF188" s="843"/>
      <c r="AG188" s="843"/>
      <c r="AH188" s="843"/>
      <c r="AI188" s="843"/>
      <c r="AJ188" s="843"/>
      <c r="AK188" s="843"/>
      <c r="AL188" s="843"/>
      <c r="AM188" s="843"/>
      <c r="AN188" s="843"/>
      <c r="AO188" s="843"/>
      <c r="AP188" s="843"/>
      <c r="AQ188" s="843"/>
      <c r="AR188" s="843"/>
      <c r="AS188" s="1164"/>
    </row>
    <row r="189" spans="1:45" s="1191" customFormat="1" ht="15">
      <c r="A189" s="1164"/>
      <c r="B189" s="843"/>
      <c r="C189" s="843"/>
      <c r="D189" s="843"/>
      <c r="E189" s="843"/>
      <c r="F189" s="843"/>
      <c r="G189" s="843"/>
      <c r="H189" s="843"/>
      <c r="I189" s="843"/>
      <c r="J189" s="843"/>
      <c r="K189" s="843"/>
      <c r="L189" s="843"/>
      <c r="M189" s="843"/>
      <c r="N189" s="843"/>
      <c r="O189" s="843"/>
      <c r="P189" s="843"/>
      <c r="Q189" s="843"/>
      <c r="R189" s="843"/>
      <c r="S189" s="843"/>
      <c r="T189" s="843"/>
      <c r="U189" s="843"/>
      <c r="V189" s="843"/>
      <c r="W189" s="843"/>
      <c r="X189" s="843"/>
      <c r="Y189" s="843"/>
      <c r="Z189" s="843"/>
      <c r="AA189" s="843"/>
      <c r="AB189" s="843"/>
      <c r="AC189" s="843"/>
      <c r="AD189" s="843"/>
      <c r="AE189" s="843"/>
      <c r="AF189" s="843"/>
      <c r="AG189" s="843"/>
      <c r="AH189" s="843"/>
      <c r="AI189" s="843"/>
      <c r="AJ189" s="843"/>
      <c r="AK189" s="843"/>
      <c r="AL189" s="843"/>
      <c r="AM189" s="843"/>
      <c r="AN189" s="843"/>
      <c r="AO189" s="843"/>
      <c r="AP189" s="843"/>
      <c r="AQ189" s="843"/>
      <c r="AR189" s="843"/>
      <c r="AS189" s="1164"/>
    </row>
    <row r="190" spans="1:45" s="1191" customFormat="1" ht="15">
      <c r="A190" s="1164"/>
      <c r="B190" s="843"/>
      <c r="C190" s="843"/>
      <c r="D190" s="843"/>
      <c r="E190" s="843"/>
      <c r="F190" s="843"/>
      <c r="G190" s="843"/>
      <c r="H190" s="843"/>
      <c r="I190" s="843"/>
      <c r="J190" s="843"/>
      <c r="K190" s="843"/>
      <c r="L190" s="843"/>
      <c r="M190" s="843"/>
      <c r="N190" s="843"/>
      <c r="O190" s="843"/>
      <c r="P190" s="843"/>
      <c r="Q190" s="843"/>
      <c r="R190" s="843"/>
      <c r="S190" s="843"/>
      <c r="T190" s="843"/>
      <c r="U190" s="843"/>
      <c r="V190" s="843"/>
      <c r="W190" s="843"/>
      <c r="X190" s="843"/>
      <c r="Y190" s="843"/>
      <c r="Z190" s="843"/>
      <c r="AA190" s="843"/>
      <c r="AB190" s="843"/>
      <c r="AC190" s="843"/>
      <c r="AD190" s="843"/>
      <c r="AE190" s="843"/>
      <c r="AF190" s="843"/>
      <c r="AG190" s="843"/>
      <c r="AH190" s="843"/>
      <c r="AI190" s="843"/>
      <c r="AJ190" s="843"/>
      <c r="AK190" s="843"/>
      <c r="AL190" s="843"/>
      <c r="AM190" s="843"/>
      <c r="AN190" s="843"/>
      <c r="AO190" s="843"/>
      <c r="AP190" s="843"/>
      <c r="AQ190" s="843"/>
      <c r="AR190" s="843"/>
      <c r="AS190" s="1164"/>
    </row>
    <row r="191" spans="1:45" s="1191" customFormat="1" ht="15">
      <c r="A191" s="1164"/>
      <c r="B191" s="843"/>
      <c r="C191" s="843"/>
      <c r="D191" s="843"/>
      <c r="E191" s="843"/>
      <c r="F191" s="843"/>
      <c r="G191" s="843"/>
      <c r="H191" s="843"/>
      <c r="I191" s="843"/>
      <c r="J191" s="843"/>
      <c r="K191" s="843"/>
      <c r="L191" s="843"/>
      <c r="M191" s="843"/>
      <c r="N191" s="843"/>
      <c r="O191" s="843"/>
      <c r="P191" s="843"/>
      <c r="Q191" s="843"/>
      <c r="R191" s="843"/>
      <c r="S191" s="843"/>
      <c r="T191" s="843"/>
      <c r="U191" s="843"/>
      <c r="V191" s="843"/>
      <c r="W191" s="843"/>
      <c r="X191" s="843"/>
      <c r="Y191" s="843"/>
      <c r="Z191" s="843"/>
      <c r="AA191" s="843"/>
      <c r="AB191" s="843"/>
      <c r="AC191" s="843"/>
      <c r="AD191" s="843"/>
      <c r="AE191" s="843"/>
      <c r="AF191" s="843"/>
      <c r="AG191" s="843"/>
      <c r="AH191" s="843"/>
      <c r="AI191" s="843"/>
      <c r="AJ191" s="843"/>
      <c r="AK191" s="843"/>
      <c r="AL191" s="843"/>
      <c r="AM191" s="843"/>
      <c r="AN191" s="843"/>
      <c r="AO191" s="843"/>
      <c r="AP191" s="843"/>
      <c r="AQ191" s="843"/>
      <c r="AR191" s="843"/>
      <c r="AS191" s="1164"/>
    </row>
    <row r="192" spans="1:45" s="1191" customFormat="1" ht="15">
      <c r="A192" s="1164"/>
      <c r="B192" s="843"/>
      <c r="C192" s="843"/>
      <c r="D192" s="843"/>
      <c r="E192" s="843"/>
      <c r="F192" s="843"/>
      <c r="G192" s="843"/>
      <c r="H192" s="843"/>
      <c r="I192" s="843"/>
      <c r="J192" s="843"/>
      <c r="K192" s="843"/>
      <c r="L192" s="843"/>
      <c r="M192" s="843"/>
      <c r="N192" s="843"/>
      <c r="O192" s="843"/>
      <c r="P192" s="843"/>
      <c r="Q192" s="843"/>
      <c r="R192" s="843"/>
      <c r="S192" s="843"/>
      <c r="T192" s="843"/>
      <c r="U192" s="843"/>
      <c r="V192" s="843"/>
      <c r="W192" s="843"/>
      <c r="X192" s="843"/>
      <c r="Y192" s="843"/>
      <c r="Z192" s="843"/>
      <c r="AA192" s="843"/>
      <c r="AB192" s="843"/>
      <c r="AC192" s="843"/>
      <c r="AD192" s="843"/>
      <c r="AE192" s="843"/>
      <c r="AF192" s="843"/>
      <c r="AG192" s="843"/>
      <c r="AH192" s="843"/>
      <c r="AI192" s="843"/>
      <c r="AJ192" s="843"/>
      <c r="AK192" s="843"/>
      <c r="AL192" s="843"/>
      <c r="AM192" s="843"/>
      <c r="AN192" s="843"/>
      <c r="AO192" s="843"/>
      <c r="AP192" s="843"/>
      <c r="AQ192" s="843"/>
      <c r="AR192" s="843"/>
      <c r="AS192" s="1164"/>
    </row>
    <row r="193" spans="1:45" s="1191" customFormat="1" ht="15">
      <c r="A193" s="1164"/>
      <c r="B193" s="843"/>
      <c r="C193" s="843"/>
      <c r="D193" s="843"/>
      <c r="E193" s="843"/>
      <c r="F193" s="843"/>
      <c r="G193" s="843"/>
      <c r="H193" s="843"/>
      <c r="I193" s="843"/>
      <c r="J193" s="843"/>
      <c r="K193" s="843"/>
      <c r="L193" s="843"/>
      <c r="M193" s="843"/>
      <c r="N193" s="843"/>
      <c r="O193" s="843"/>
      <c r="P193" s="843"/>
      <c r="Q193" s="843"/>
      <c r="R193" s="843"/>
      <c r="S193" s="843"/>
      <c r="T193" s="843"/>
      <c r="U193" s="843"/>
      <c r="V193" s="843"/>
      <c r="W193" s="843"/>
      <c r="X193" s="843"/>
      <c r="Y193" s="843"/>
      <c r="Z193" s="843"/>
      <c r="AA193" s="843"/>
      <c r="AB193" s="843"/>
      <c r="AC193" s="843"/>
      <c r="AD193" s="843"/>
      <c r="AE193" s="843"/>
      <c r="AF193" s="843"/>
      <c r="AG193" s="843"/>
      <c r="AH193" s="843"/>
      <c r="AI193" s="843"/>
      <c r="AJ193" s="843"/>
      <c r="AK193" s="843"/>
      <c r="AL193" s="843"/>
      <c r="AM193" s="843"/>
      <c r="AN193" s="843"/>
      <c r="AO193" s="843"/>
      <c r="AP193" s="843"/>
      <c r="AQ193" s="843"/>
      <c r="AR193" s="843"/>
      <c r="AS193" s="1164"/>
    </row>
    <row r="194" spans="1:45" s="1191" customFormat="1" ht="15">
      <c r="A194" s="1164"/>
      <c r="B194" s="843"/>
      <c r="C194" s="843"/>
      <c r="D194" s="843"/>
      <c r="E194" s="843"/>
      <c r="F194" s="843"/>
      <c r="G194" s="843"/>
      <c r="H194" s="843"/>
      <c r="I194" s="843"/>
      <c r="J194" s="843"/>
      <c r="K194" s="843"/>
      <c r="L194" s="843"/>
      <c r="M194" s="843"/>
      <c r="N194" s="843"/>
      <c r="O194" s="843"/>
      <c r="P194" s="843"/>
      <c r="Q194" s="843"/>
      <c r="R194" s="843"/>
      <c r="S194" s="843"/>
      <c r="T194" s="843"/>
      <c r="U194" s="843"/>
      <c r="V194" s="843"/>
      <c r="W194" s="843"/>
      <c r="X194" s="843"/>
      <c r="Y194" s="843"/>
      <c r="Z194" s="843"/>
      <c r="AA194" s="843"/>
      <c r="AB194" s="843"/>
      <c r="AC194" s="843"/>
      <c r="AD194" s="843"/>
      <c r="AE194" s="843"/>
      <c r="AF194" s="843"/>
      <c r="AG194" s="843"/>
      <c r="AH194" s="843"/>
      <c r="AI194" s="843"/>
      <c r="AJ194" s="843"/>
      <c r="AK194" s="843"/>
      <c r="AL194" s="843"/>
      <c r="AM194" s="843"/>
      <c r="AN194" s="843"/>
      <c r="AO194" s="843"/>
      <c r="AP194" s="843"/>
      <c r="AQ194" s="843"/>
      <c r="AR194" s="843"/>
      <c r="AS194" s="1164"/>
    </row>
    <row r="195" spans="1:45" s="1191" customFormat="1" ht="15">
      <c r="A195" s="1164"/>
      <c r="B195" s="843"/>
      <c r="C195" s="843"/>
      <c r="D195" s="843"/>
      <c r="E195" s="843"/>
      <c r="F195" s="843"/>
      <c r="G195" s="843"/>
      <c r="H195" s="843"/>
      <c r="I195" s="843"/>
      <c r="J195" s="843"/>
      <c r="K195" s="843"/>
      <c r="L195" s="843"/>
      <c r="M195" s="843"/>
      <c r="N195" s="843"/>
      <c r="O195" s="843"/>
      <c r="P195" s="843"/>
      <c r="Q195" s="843"/>
      <c r="R195" s="843"/>
      <c r="S195" s="843"/>
      <c r="T195" s="843"/>
      <c r="U195" s="843"/>
      <c r="V195" s="843"/>
      <c r="W195" s="843"/>
      <c r="X195" s="843"/>
      <c r="Y195" s="843"/>
      <c r="Z195" s="843"/>
      <c r="AA195" s="843"/>
      <c r="AB195" s="843"/>
      <c r="AC195" s="843"/>
      <c r="AD195" s="843"/>
      <c r="AE195" s="843"/>
      <c r="AF195" s="843"/>
      <c r="AG195" s="843"/>
      <c r="AH195" s="843"/>
      <c r="AI195" s="843"/>
      <c r="AJ195" s="843"/>
      <c r="AK195" s="843"/>
      <c r="AL195" s="843"/>
      <c r="AM195" s="843"/>
      <c r="AN195" s="843"/>
      <c r="AO195" s="843"/>
      <c r="AP195" s="843"/>
      <c r="AQ195" s="843"/>
      <c r="AR195" s="843"/>
      <c r="AS195" s="1164"/>
    </row>
    <row r="196" spans="1:45" s="1191" customFormat="1" ht="15">
      <c r="A196" s="1164"/>
      <c r="B196" s="843"/>
      <c r="C196" s="843"/>
      <c r="D196" s="843"/>
      <c r="E196" s="843"/>
      <c r="F196" s="843"/>
      <c r="G196" s="843"/>
      <c r="H196" s="843"/>
      <c r="I196" s="843"/>
      <c r="J196" s="843"/>
      <c r="K196" s="843"/>
      <c r="L196" s="843"/>
      <c r="M196" s="843"/>
      <c r="N196" s="843"/>
      <c r="O196" s="843"/>
      <c r="P196" s="843"/>
      <c r="Q196" s="843"/>
      <c r="R196" s="843"/>
      <c r="S196" s="843"/>
      <c r="T196" s="843"/>
      <c r="U196" s="843"/>
      <c r="V196" s="843"/>
      <c r="W196" s="843"/>
      <c r="X196" s="843"/>
      <c r="Y196" s="843"/>
      <c r="Z196" s="843"/>
      <c r="AA196" s="843"/>
      <c r="AB196" s="843"/>
      <c r="AC196" s="843"/>
      <c r="AD196" s="843"/>
      <c r="AE196" s="843"/>
      <c r="AF196" s="843"/>
      <c r="AG196" s="843"/>
      <c r="AH196" s="843"/>
      <c r="AI196" s="843"/>
      <c r="AJ196" s="843"/>
      <c r="AK196" s="843"/>
      <c r="AL196" s="843"/>
      <c r="AM196" s="843"/>
      <c r="AN196" s="843"/>
      <c r="AO196" s="843"/>
      <c r="AP196" s="843"/>
      <c r="AQ196" s="843"/>
      <c r="AR196" s="843"/>
      <c r="AS196" s="1164"/>
    </row>
    <row r="197" spans="1:45" s="1191" customFormat="1" ht="15">
      <c r="A197" s="1164"/>
      <c r="B197" s="843"/>
      <c r="C197" s="843"/>
      <c r="D197" s="843"/>
      <c r="E197" s="843"/>
      <c r="F197" s="843"/>
      <c r="G197" s="843"/>
      <c r="H197" s="843"/>
      <c r="I197" s="843"/>
      <c r="J197" s="843"/>
      <c r="K197" s="843"/>
      <c r="L197" s="843"/>
      <c r="M197" s="843"/>
      <c r="N197" s="843"/>
      <c r="O197" s="843"/>
      <c r="P197" s="843"/>
      <c r="Q197" s="843"/>
      <c r="R197" s="843"/>
      <c r="S197" s="843"/>
      <c r="T197" s="843"/>
      <c r="U197" s="843"/>
      <c r="V197" s="843"/>
      <c r="W197" s="843"/>
      <c r="X197" s="843"/>
      <c r="Y197" s="843"/>
      <c r="Z197" s="843"/>
      <c r="AA197" s="843"/>
      <c r="AB197" s="843"/>
      <c r="AC197" s="843"/>
      <c r="AD197" s="843"/>
      <c r="AE197" s="843"/>
      <c r="AF197" s="843"/>
      <c r="AG197" s="843"/>
      <c r="AH197" s="843"/>
      <c r="AI197" s="843"/>
      <c r="AJ197" s="843"/>
      <c r="AK197" s="843"/>
      <c r="AL197" s="843"/>
      <c r="AM197" s="843"/>
      <c r="AN197" s="843"/>
      <c r="AO197" s="843"/>
      <c r="AP197" s="843"/>
      <c r="AQ197" s="843"/>
      <c r="AR197" s="843"/>
      <c r="AS197" s="1164"/>
    </row>
    <row r="198" spans="1:45" s="1191" customFormat="1" ht="15">
      <c r="A198" s="1164"/>
      <c r="B198" s="843"/>
      <c r="C198" s="843"/>
      <c r="D198" s="843"/>
      <c r="E198" s="843"/>
      <c r="F198" s="843"/>
      <c r="G198" s="843"/>
      <c r="H198" s="843"/>
      <c r="I198" s="843"/>
      <c r="J198" s="843"/>
      <c r="K198" s="843"/>
      <c r="L198" s="843"/>
      <c r="M198" s="843"/>
      <c r="N198" s="843"/>
      <c r="O198" s="843"/>
      <c r="P198" s="843"/>
      <c r="Q198" s="843"/>
      <c r="R198" s="843"/>
      <c r="S198" s="843"/>
      <c r="T198" s="843"/>
      <c r="U198" s="843"/>
      <c r="V198" s="843"/>
      <c r="W198" s="843"/>
      <c r="X198" s="843"/>
      <c r="Y198" s="843"/>
      <c r="Z198" s="843"/>
      <c r="AA198" s="843"/>
      <c r="AB198" s="843"/>
      <c r="AC198" s="843"/>
      <c r="AD198" s="843"/>
      <c r="AE198" s="843"/>
      <c r="AF198" s="843"/>
      <c r="AG198" s="843"/>
      <c r="AH198" s="843"/>
      <c r="AI198" s="843"/>
      <c r="AJ198" s="843"/>
      <c r="AK198" s="843"/>
      <c r="AL198" s="843"/>
      <c r="AM198" s="843"/>
      <c r="AN198" s="843"/>
      <c r="AO198" s="843"/>
      <c r="AP198" s="843"/>
      <c r="AQ198" s="843"/>
      <c r="AR198" s="843"/>
      <c r="AS198" s="1164"/>
    </row>
    <row r="199" spans="1:45" s="1191" customFormat="1" ht="15">
      <c r="A199" s="1164"/>
      <c r="B199" s="843"/>
      <c r="C199" s="843"/>
      <c r="D199" s="843"/>
      <c r="E199" s="843"/>
      <c r="F199" s="843"/>
      <c r="G199" s="843"/>
      <c r="H199" s="843"/>
      <c r="I199" s="843"/>
      <c r="J199" s="843"/>
      <c r="K199" s="843"/>
      <c r="L199" s="843"/>
      <c r="M199" s="843"/>
      <c r="N199" s="843"/>
      <c r="O199" s="843"/>
      <c r="P199" s="843"/>
      <c r="Q199" s="843"/>
      <c r="R199" s="843"/>
      <c r="S199" s="843"/>
      <c r="T199" s="843"/>
      <c r="U199" s="843"/>
      <c r="V199" s="843"/>
      <c r="W199" s="843"/>
      <c r="X199" s="843"/>
      <c r="Y199" s="843"/>
      <c r="Z199" s="843"/>
      <c r="AA199" s="843"/>
      <c r="AB199" s="843"/>
      <c r="AC199" s="843"/>
      <c r="AD199" s="843"/>
      <c r="AE199" s="843"/>
      <c r="AF199" s="843"/>
      <c r="AG199" s="843"/>
      <c r="AH199" s="843"/>
      <c r="AI199" s="843"/>
      <c r="AJ199" s="843"/>
      <c r="AK199" s="843"/>
      <c r="AL199" s="843"/>
      <c r="AM199" s="843"/>
      <c r="AN199" s="843"/>
      <c r="AO199" s="843"/>
      <c r="AP199" s="843"/>
      <c r="AQ199" s="843"/>
      <c r="AR199" s="843"/>
      <c r="AS199" s="1164"/>
    </row>
    <row r="200" spans="1:45" s="1191" customFormat="1">
      <c r="A200" s="1164"/>
      <c r="B200" s="1164"/>
      <c r="C200" s="1164"/>
      <c r="D200" s="1164"/>
      <c r="E200" s="1164"/>
      <c r="F200" s="1164"/>
      <c r="G200" s="1164"/>
      <c r="H200" s="1164"/>
      <c r="I200" s="1164"/>
      <c r="J200" s="1164"/>
      <c r="K200" s="1164"/>
      <c r="L200" s="1164"/>
      <c r="M200" s="1164"/>
      <c r="N200" s="1164"/>
      <c r="O200" s="1164"/>
      <c r="P200" s="1164"/>
      <c r="Q200" s="1164"/>
      <c r="R200" s="1164"/>
      <c r="S200" s="1164"/>
      <c r="T200" s="1164"/>
      <c r="U200" s="1164"/>
      <c r="V200" s="1164"/>
      <c r="W200" s="1164"/>
      <c r="X200" s="1180"/>
      <c r="Y200" s="1180"/>
      <c r="Z200" s="1180"/>
      <c r="AA200" s="1180"/>
      <c r="AB200" s="1180"/>
      <c r="AC200" s="1180"/>
      <c r="AD200" s="1180"/>
      <c r="AE200" s="1180"/>
      <c r="AF200" s="1180"/>
      <c r="AG200" s="1164"/>
      <c r="AH200" s="1164"/>
      <c r="AI200" s="1164"/>
      <c r="AK200" s="1164"/>
      <c r="AL200" s="1164"/>
      <c r="AM200" s="1164"/>
      <c r="AN200" s="1164"/>
      <c r="AO200" s="1164"/>
      <c r="AP200" s="1164"/>
      <c r="AQ200" s="1164"/>
      <c r="AR200" s="1164"/>
      <c r="AS200" s="1164"/>
    </row>
    <row r="201" spans="1:45" s="1191" customFormat="1">
      <c r="A201" s="1164"/>
      <c r="B201" s="1164"/>
      <c r="C201" s="1164"/>
      <c r="D201" s="1164"/>
      <c r="E201" s="1164"/>
      <c r="F201" s="1164"/>
      <c r="G201" s="1164"/>
      <c r="H201" s="1164"/>
      <c r="I201" s="1164"/>
      <c r="J201" s="1164"/>
      <c r="K201" s="1164"/>
      <c r="L201" s="1164"/>
      <c r="M201" s="1164"/>
      <c r="N201" s="1164"/>
      <c r="O201" s="1164"/>
      <c r="P201" s="1164"/>
      <c r="Q201" s="1164"/>
      <c r="R201" s="1164"/>
      <c r="S201" s="1164"/>
      <c r="T201" s="1164"/>
      <c r="U201" s="1164"/>
      <c r="V201" s="1164"/>
      <c r="W201" s="1164"/>
      <c r="X201" s="1180"/>
      <c r="Y201" s="1180"/>
      <c r="Z201" s="1180"/>
      <c r="AA201" s="1180"/>
      <c r="AB201" s="1180"/>
      <c r="AC201" s="1180"/>
      <c r="AD201" s="1180"/>
      <c r="AE201" s="1180"/>
      <c r="AF201" s="1180"/>
      <c r="AG201" s="1164"/>
      <c r="AH201" s="1164"/>
      <c r="AI201" s="1164"/>
      <c r="AK201" s="1164"/>
      <c r="AL201" s="1164"/>
      <c r="AM201" s="1164"/>
      <c r="AN201" s="1164"/>
      <c r="AO201" s="1164"/>
      <c r="AP201" s="1164"/>
      <c r="AQ201" s="1164"/>
      <c r="AR201" s="1164"/>
      <c r="AS201" s="1164"/>
    </row>
    <row r="202" spans="1:45" s="1191" customFormat="1">
      <c r="A202" s="1164"/>
      <c r="B202" s="1164"/>
      <c r="C202" s="1164"/>
      <c r="D202" s="1164"/>
      <c r="E202" s="1164"/>
      <c r="F202" s="1164"/>
      <c r="G202" s="1164"/>
      <c r="H202" s="1164"/>
      <c r="I202" s="1164"/>
      <c r="J202" s="1164"/>
      <c r="K202" s="1164"/>
      <c r="L202" s="1164"/>
      <c r="M202" s="1164"/>
      <c r="N202" s="1164"/>
      <c r="O202" s="1164"/>
      <c r="P202" s="1164"/>
      <c r="Q202" s="1164"/>
      <c r="R202" s="1164"/>
      <c r="S202" s="1164"/>
      <c r="T202" s="1164"/>
      <c r="U202" s="1164"/>
      <c r="V202" s="1164"/>
      <c r="W202" s="1164"/>
      <c r="X202" s="1180"/>
      <c r="Y202" s="1180"/>
      <c r="Z202" s="1180"/>
      <c r="AA202" s="1180"/>
      <c r="AB202" s="1180"/>
      <c r="AC202" s="1180"/>
      <c r="AD202" s="1180"/>
      <c r="AE202" s="1180"/>
      <c r="AF202" s="1180"/>
      <c r="AG202" s="1164"/>
      <c r="AH202" s="1164"/>
      <c r="AI202" s="1164"/>
      <c r="AK202" s="1164"/>
      <c r="AL202" s="1164"/>
      <c r="AM202" s="1164"/>
      <c r="AN202" s="1164"/>
      <c r="AO202" s="1164"/>
      <c r="AP202" s="1164"/>
      <c r="AQ202" s="1164"/>
      <c r="AR202" s="1164"/>
      <c r="AS202" s="1164"/>
    </row>
    <row r="203" spans="1:45" s="1191" customFormat="1">
      <c r="A203" s="1164"/>
      <c r="B203" s="1164"/>
      <c r="C203" s="1164"/>
      <c r="D203" s="1164"/>
      <c r="E203" s="1164"/>
      <c r="F203" s="1164"/>
      <c r="G203" s="1164"/>
      <c r="H203" s="1164"/>
      <c r="I203" s="1164"/>
      <c r="J203" s="1164"/>
      <c r="K203" s="1164"/>
      <c r="L203" s="1164"/>
      <c r="M203" s="1164"/>
      <c r="N203" s="1164"/>
      <c r="O203" s="1164"/>
      <c r="P203" s="1164"/>
      <c r="Q203" s="1164"/>
      <c r="R203" s="1164"/>
      <c r="S203" s="1164"/>
      <c r="T203" s="1164"/>
      <c r="U203" s="1164"/>
      <c r="V203" s="1164"/>
      <c r="W203" s="1164"/>
      <c r="X203" s="1180"/>
      <c r="Y203" s="1180"/>
      <c r="Z203" s="1180"/>
      <c r="AA203" s="1180"/>
      <c r="AB203" s="1180"/>
      <c r="AC203" s="1180"/>
      <c r="AD203" s="1180"/>
      <c r="AE203" s="1180"/>
      <c r="AF203" s="1180"/>
      <c r="AG203" s="1164"/>
      <c r="AH203" s="1164"/>
      <c r="AI203" s="1164"/>
      <c r="AK203" s="1164"/>
      <c r="AL203" s="1164"/>
      <c r="AM203" s="1164"/>
      <c r="AN203" s="1164"/>
      <c r="AO203" s="1164"/>
      <c r="AP203" s="1164"/>
      <c r="AQ203" s="1164"/>
      <c r="AR203" s="1164"/>
      <c r="AS203" s="1164"/>
    </row>
  </sheetData>
  <mergeCells count="4">
    <mergeCell ref="B15:AR15"/>
    <mergeCell ref="B48:AF48"/>
    <mergeCell ref="B87:AF87"/>
    <mergeCell ref="B124:AR124"/>
  </mergeCells>
  <pageMargins left="0.70866141732283472" right="0.70866141732283472" top="0.74803149606299213" bottom="0.74803149606299213" header="0.31496062992125984" footer="0.31496062992125984"/>
  <pageSetup paperSize="9" scale="75" fitToHeight="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Y203"/>
  <sheetViews>
    <sheetView topLeftCell="B15" zoomScale="80" zoomScaleNormal="80" workbookViewId="0">
      <selection activeCell="B15" sqref="B15:AR155"/>
    </sheetView>
  </sheetViews>
  <sheetFormatPr defaultColWidth="2.88671875" defaultRowHeight="12.75" outlineLevelRow="1" outlineLevelCol="1"/>
  <cols>
    <col min="1" max="1" width="2.5546875" style="1164" hidden="1" customWidth="1"/>
    <col min="2" max="2" width="40.109375" style="1164" customWidth="1"/>
    <col min="3" max="3" width="28.88671875" style="1164" customWidth="1"/>
    <col min="4" max="8" width="1.21875" style="1164" customWidth="1"/>
    <col min="9" max="17" width="2.88671875" style="1164" hidden="1" customWidth="1"/>
    <col min="18" max="23" width="6.21875" style="1164" hidden="1" customWidth="1"/>
    <col min="24" max="32" width="6.21875" style="1180" hidden="1" customWidth="1" outlineLevel="1"/>
    <col min="33" max="33" width="8.88671875" style="1164" customWidth="1" collapsed="1"/>
    <col min="34" max="35" width="8.88671875" style="1164" customWidth="1"/>
    <col min="36" max="36" width="8.88671875" style="1191" customWidth="1"/>
    <col min="37" max="42" width="8.88671875" style="1164" customWidth="1"/>
    <col min="43" max="43" width="9.44140625" style="1164" bestFit="1" customWidth="1"/>
    <col min="44" max="44" width="7.88671875" style="1164" customWidth="1"/>
    <col min="45" max="16384" width="2.88671875" style="1164"/>
  </cols>
  <sheetData>
    <row r="1" spans="1:51" ht="15" hidden="1" outlineLevel="1">
      <c r="A1" s="158"/>
      <c r="B1" s="158" t="s">
        <v>1841</v>
      </c>
      <c r="C1" s="158"/>
      <c r="D1" s="158"/>
      <c r="E1" s="158"/>
      <c r="F1" s="158"/>
      <c r="G1" s="158"/>
      <c r="H1" s="158"/>
      <c r="I1" s="158"/>
      <c r="J1" s="158"/>
      <c r="K1" s="158"/>
      <c r="L1" s="158"/>
      <c r="M1" s="158"/>
      <c r="N1" s="158"/>
      <c r="O1" s="158"/>
      <c r="P1" s="158"/>
      <c r="Q1" s="158"/>
      <c r="R1" s="158"/>
      <c r="S1" s="158"/>
      <c r="T1" s="158"/>
      <c r="U1" s="158"/>
      <c r="V1" s="158"/>
      <c r="W1" s="158"/>
      <c r="X1" s="276"/>
      <c r="Y1" s="276"/>
      <c r="Z1" s="276"/>
      <c r="AA1" s="276"/>
      <c r="AB1" s="276"/>
      <c r="AC1" s="276"/>
      <c r="AD1" s="276"/>
      <c r="AE1" s="276"/>
      <c r="AF1" s="276"/>
      <c r="AG1" s="276"/>
      <c r="AH1" s="276"/>
      <c r="AI1" s="276"/>
      <c r="AJ1" s="276"/>
      <c r="AK1" s="276"/>
      <c r="AL1" s="158"/>
      <c r="AM1" s="158"/>
      <c r="AN1" s="158"/>
      <c r="AO1" s="158"/>
      <c r="AP1" s="158"/>
      <c r="AQ1" s="843"/>
      <c r="AR1" s="843"/>
      <c r="AS1" s="843"/>
      <c r="AT1" s="843"/>
      <c r="AU1" s="843"/>
      <c r="AV1" s="843"/>
      <c r="AW1" s="843"/>
      <c r="AX1" s="843"/>
      <c r="AY1" s="843"/>
    </row>
    <row r="2" spans="1:51" ht="15" hidden="1" outlineLevel="1">
      <c r="A2" s="158"/>
      <c r="B2" s="158"/>
      <c r="C2" s="158"/>
      <c r="D2" s="158"/>
      <c r="E2" s="158"/>
      <c r="F2" s="158"/>
      <c r="G2" s="158"/>
      <c r="H2" s="158"/>
      <c r="I2" s="158"/>
      <c r="J2" s="158"/>
      <c r="K2" s="158"/>
      <c r="L2" s="158"/>
      <c r="M2" s="158"/>
      <c r="N2" s="158"/>
      <c r="O2" s="158"/>
      <c r="P2" s="158"/>
      <c r="Q2" s="158"/>
      <c r="R2" s="158"/>
      <c r="S2" s="158"/>
      <c r="T2" s="158"/>
      <c r="U2" s="158"/>
      <c r="V2" s="158"/>
      <c r="W2" s="158"/>
      <c r="X2" s="276"/>
      <c r="Y2" s="276"/>
      <c r="Z2" s="276"/>
      <c r="AA2" s="276"/>
      <c r="AB2" s="276"/>
      <c r="AC2" s="276"/>
      <c r="AD2" s="276"/>
      <c r="AE2" s="276"/>
      <c r="AF2" s="276"/>
      <c r="AG2" s="276"/>
      <c r="AH2" s="276"/>
      <c r="AI2" s="276"/>
      <c r="AJ2" s="276"/>
      <c r="AK2" s="276"/>
      <c r="AL2" s="158"/>
      <c r="AM2" s="158"/>
      <c r="AN2" s="158"/>
      <c r="AO2" s="158"/>
      <c r="AP2" s="158"/>
      <c r="AQ2" s="843"/>
      <c r="AR2" s="843"/>
      <c r="AS2" s="843"/>
      <c r="AT2" s="843"/>
      <c r="AU2" s="843"/>
      <c r="AV2" s="843"/>
      <c r="AW2" s="843"/>
      <c r="AX2" s="843"/>
      <c r="AY2" s="843"/>
    </row>
    <row r="3" spans="1:51" ht="15" hidden="1" outlineLevel="1">
      <c r="A3" s="158"/>
      <c r="B3" s="158"/>
      <c r="C3" s="158"/>
      <c r="D3" s="158"/>
      <c r="E3" s="158"/>
      <c r="F3" s="158"/>
      <c r="G3" s="158"/>
      <c r="H3" s="158"/>
      <c r="I3" s="158"/>
      <c r="J3" s="158"/>
      <c r="K3" s="158"/>
      <c r="L3" s="158"/>
      <c r="M3" s="158"/>
      <c r="N3" s="158"/>
      <c r="O3" s="158"/>
      <c r="P3" s="158"/>
      <c r="Q3" s="158"/>
      <c r="R3" s="158"/>
      <c r="S3" s="158"/>
      <c r="T3" s="158"/>
      <c r="U3" s="158"/>
      <c r="V3" s="158"/>
      <c r="W3" s="158"/>
      <c r="X3" s="276"/>
      <c r="Y3" s="276"/>
      <c r="Z3" s="276"/>
      <c r="AA3" s="276"/>
      <c r="AB3" s="276"/>
      <c r="AC3" s="276"/>
      <c r="AD3" s="276"/>
      <c r="AE3" s="276"/>
      <c r="AF3" s="276"/>
      <c r="AG3" s="276"/>
      <c r="AH3" s="276"/>
      <c r="AI3" s="276"/>
      <c r="AJ3" s="276"/>
      <c r="AK3" s="276"/>
      <c r="AL3" s="158"/>
      <c r="AM3" s="158"/>
      <c r="AN3" s="158"/>
      <c r="AO3" s="158"/>
      <c r="AP3" s="158"/>
      <c r="AQ3" s="843"/>
      <c r="AR3" s="843"/>
      <c r="AS3" s="843"/>
      <c r="AT3" s="843"/>
      <c r="AU3" s="843"/>
      <c r="AV3" s="843"/>
      <c r="AW3" s="843"/>
      <c r="AX3" s="843"/>
      <c r="AY3" s="843"/>
    </row>
    <row r="4" spans="1:51" ht="15" hidden="1" outlineLevel="1">
      <c r="A4" s="158"/>
      <c r="B4" s="158" t="s">
        <v>1842</v>
      </c>
      <c r="C4" s="158"/>
      <c r="D4" s="158"/>
      <c r="E4" s="158"/>
      <c r="F4" s="158"/>
      <c r="G4" s="158"/>
      <c r="H4" s="158"/>
      <c r="I4" s="158"/>
      <c r="J4" s="158"/>
      <c r="K4" s="158"/>
      <c r="L4" s="158"/>
      <c r="M4" s="158"/>
      <c r="N4" s="158"/>
      <c r="O4" s="158"/>
      <c r="P4" s="158"/>
      <c r="Q4" s="158"/>
      <c r="R4" s="559">
        <v>1995</v>
      </c>
      <c r="S4" s="559">
        <v>1996</v>
      </c>
      <c r="T4" s="559">
        <v>1997</v>
      </c>
      <c r="U4" s="559">
        <v>1998</v>
      </c>
      <c r="V4" s="559">
        <v>1999</v>
      </c>
      <c r="W4" s="559">
        <v>2000</v>
      </c>
      <c r="X4" s="1121">
        <v>2001</v>
      </c>
      <c r="Y4" s="1121">
        <v>2002</v>
      </c>
      <c r="Z4" s="1121">
        <v>2003</v>
      </c>
      <c r="AA4" s="1121">
        <v>2004</v>
      </c>
      <c r="AB4" s="1121">
        <v>2005</v>
      </c>
      <c r="AC4" s="1121">
        <v>2006</v>
      </c>
      <c r="AD4" s="1121">
        <v>2007</v>
      </c>
      <c r="AE4" s="1121">
        <v>2008</v>
      </c>
      <c r="AF4" s="1121">
        <v>2009</v>
      </c>
      <c r="AG4" s="1121">
        <v>2010</v>
      </c>
      <c r="AH4" s="1121">
        <v>2011</v>
      </c>
      <c r="AI4" s="1121">
        <v>2012</v>
      </c>
      <c r="AJ4" s="1121">
        <v>2013</v>
      </c>
      <c r="AK4" s="1121">
        <v>2014</v>
      </c>
      <c r="AL4" s="1121">
        <v>2015</v>
      </c>
      <c r="AM4" s="1121">
        <v>2016</v>
      </c>
      <c r="AN4" s="1121">
        <v>2017</v>
      </c>
      <c r="AO4" s="1121">
        <v>2018</v>
      </c>
      <c r="AP4" s="1121">
        <v>2019</v>
      </c>
      <c r="AQ4" s="1121">
        <v>2020</v>
      </c>
      <c r="AR4" s="843"/>
      <c r="AS4" s="843"/>
      <c r="AT4" s="843"/>
      <c r="AU4" s="843"/>
      <c r="AV4" s="843"/>
      <c r="AW4" s="843"/>
      <c r="AX4" s="843"/>
      <c r="AY4" s="843"/>
    </row>
    <row r="5" spans="1:51" ht="15" hidden="1" outlineLevel="1">
      <c r="A5" s="158"/>
      <c r="B5" s="158"/>
      <c r="C5" s="158"/>
      <c r="D5" s="158"/>
      <c r="E5" s="158"/>
      <c r="F5" s="158"/>
      <c r="G5" s="158"/>
      <c r="H5" s="158"/>
      <c r="I5" s="158"/>
      <c r="J5" s="158"/>
      <c r="K5" s="158"/>
      <c r="L5" s="158"/>
      <c r="M5" s="158"/>
      <c r="N5" s="158"/>
      <c r="O5" s="158"/>
      <c r="P5" s="158"/>
      <c r="Q5" s="158"/>
      <c r="R5" s="158"/>
      <c r="S5" s="158"/>
      <c r="T5" s="158"/>
      <c r="U5" s="158"/>
      <c r="V5" s="158"/>
      <c r="W5" s="158"/>
      <c r="X5" s="276"/>
      <c r="Y5" s="276"/>
      <c r="Z5" s="276"/>
      <c r="AA5" s="276"/>
      <c r="AB5" s="276"/>
      <c r="AC5" s="276"/>
      <c r="AD5" s="276"/>
      <c r="AE5" s="276"/>
      <c r="AF5" s="276"/>
      <c r="AG5" s="276"/>
      <c r="AH5" s="276"/>
      <c r="AI5" s="276"/>
      <c r="AJ5" s="276"/>
      <c r="AK5" s="276"/>
      <c r="AL5" s="158"/>
      <c r="AM5" s="158"/>
      <c r="AN5" s="158"/>
      <c r="AO5" s="158"/>
      <c r="AP5" s="158"/>
      <c r="AQ5" s="843"/>
      <c r="AR5" s="843"/>
      <c r="AS5" s="843"/>
      <c r="AT5" s="843"/>
      <c r="AU5" s="843"/>
      <c r="AV5" s="843"/>
      <c r="AW5" s="843"/>
      <c r="AX5" s="843"/>
      <c r="AY5" s="843"/>
    </row>
    <row r="6" spans="1:51" ht="15" hidden="1" outlineLevel="1">
      <c r="A6" s="311" t="s">
        <v>2</v>
      </c>
      <c r="B6" s="158" t="s">
        <v>3</v>
      </c>
      <c r="C6" s="158"/>
      <c r="D6" s="158"/>
      <c r="E6" s="158"/>
      <c r="F6" s="158"/>
      <c r="G6" s="158"/>
      <c r="H6" s="158"/>
      <c r="I6" s="158"/>
      <c r="J6" s="158"/>
      <c r="K6" s="158"/>
      <c r="L6" s="158"/>
      <c r="M6" s="158"/>
      <c r="N6" s="158"/>
      <c r="O6" s="158"/>
      <c r="P6" s="158"/>
      <c r="Q6" s="158"/>
      <c r="R6" s="1165">
        <f t="shared" ref="R6:AP6" si="0">R94</f>
        <v>0</v>
      </c>
      <c r="S6" s="1165">
        <f t="shared" si="0"/>
        <v>0</v>
      </c>
      <c r="T6" s="1165">
        <f t="shared" si="0"/>
        <v>0</v>
      </c>
      <c r="U6" s="1165">
        <f t="shared" si="0"/>
        <v>0</v>
      </c>
      <c r="V6" s="1165">
        <f t="shared" si="0"/>
        <v>0</v>
      </c>
      <c r="W6" s="1165">
        <f t="shared" si="0"/>
        <v>0</v>
      </c>
      <c r="X6" s="1165">
        <f t="shared" si="0"/>
        <v>0</v>
      </c>
      <c r="Y6" s="1165">
        <f t="shared" si="0"/>
        <v>0</v>
      </c>
      <c r="Z6" s="1165">
        <f t="shared" si="0"/>
        <v>0</v>
      </c>
      <c r="AA6" s="1165">
        <f t="shared" si="0"/>
        <v>0</v>
      </c>
      <c r="AB6" s="1165">
        <f t="shared" si="0"/>
        <v>0</v>
      </c>
      <c r="AC6" s="1165">
        <f t="shared" si="0"/>
        <v>0</v>
      </c>
      <c r="AD6" s="1165">
        <f t="shared" si="0"/>
        <v>0</v>
      </c>
      <c r="AE6" s="1165">
        <f t="shared" si="0"/>
        <v>0</v>
      </c>
      <c r="AF6" s="1165">
        <f t="shared" si="0"/>
        <v>0</v>
      </c>
      <c r="AG6" s="1165">
        <f t="shared" si="0"/>
        <v>0</v>
      </c>
      <c r="AH6" s="1165">
        <f t="shared" si="0"/>
        <v>0</v>
      </c>
      <c r="AI6" s="1165">
        <f t="shared" si="0"/>
        <v>0</v>
      </c>
      <c r="AJ6" s="1165">
        <f t="shared" si="0"/>
        <v>0</v>
      </c>
      <c r="AK6" s="1165">
        <f t="shared" si="0"/>
        <v>0</v>
      </c>
      <c r="AL6" s="1165">
        <f t="shared" si="0"/>
        <v>0</v>
      </c>
      <c r="AM6" s="1165">
        <f t="shared" si="0"/>
        <v>0</v>
      </c>
      <c r="AN6" s="1165">
        <f t="shared" si="0"/>
        <v>0</v>
      </c>
      <c r="AO6" s="1165">
        <f t="shared" si="0"/>
        <v>18213.509999999998</v>
      </c>
      <c r="AP6" s="1165">
        <f t="shared" si="0"/>
        <v>18320.155214896164</v>
      </c>
      <c r="AQ6" s="1165">
        <f t="shared" ref="AQ6" si="1">AQ94</f>
        <v>19723.09</v>
      </c>
      <c r="AR6" s="843"/>
      <c r="AS6" s="843"/>
      <c r="AT6" s="843"/>
      <c r="AU6" s="843"/>
      <c r="AV6" s="843"/>
      <c r="AW6" s="843"/>
      <c r="AX6" s="843"/>
      <c r="AY6" s="843"/>
    </row>
    <row r="7" spans="1:51" ht="15" hidden="1" outlineLevel="1">
      <c r="A7" s="311" t="s">
        <v>4</v>
      </c>
      <c r="B7" s="158" t="s">
        <v>5</v>
      </c>
      <c r="C7" s="158"/>
      <c r="D7" s="158"/>
      <c r="E7" s="158"/>
      <c r="F7" s="158"/>
      <c r="G7" s="158"/>
      <c r="H7" s="158"/>
      <c r="I7" s="158"/>
      <c r="J7" s="158"/>
      <c r="K7" s="158"/>
      <c r="L7" s="158"/>
      <c r="M7" s="158"/>
      <c r="N7" s="158"/>
      <c r="O7" s="158"/>
      <c r="P7" s="158"/>
      <c r="Q7" s="158"/>
      <c r="R7" s="1118">
        <f t="shared" ref="R7:AN7" si="2">R94</f>
        <v>0</v>
      </c>
      <c r="S7" s="1118">
        <f t="shared" si="2"/>
        <v>0</v>
      </c>
      <c r="T7" s="1118">
        <f t="shared" si="2"/>
        <v>0</v>
      </c>
      <c r="U7" s="1118">
        <f t="shared" si="2"/>
        <v>0</v>
      </c>
      <c r="V7" s="1118">
        <f t="shared" si="2"/>
        <v>0</v>
      </c>
      <c r="W7" s="1118">
        <f t="shared" si="2"/>
        <v>0</v>
      </c>
      <c r="X7" s="1118">
        <f t="shared" si="2"/>
        <v>0</v>
      </c>
      <c r="Y7" s="1118">
        <f t="shared" si="2"/>
        <v>0</v>
      </c>
      <c r="Z7" s="1118">
        <f t="shared" si="2"/>
        <v>0</v>
      </c>
      <c r="AA7" s="1118">
        <f t="shared" si="2"/>
        <v>0</v>
      </c>
      <c r="AB7" s="1118">
        <f t="shared" si="2"/>
        <v>0</v>
      </c>
      <c r="AC7" s="1118">
        <f t="shared" si="2"/>
        <v>0</v>
      </c>
      <c r="AD7" s="1118">
        <f t="shared" si="2"/>
        <v>0</v>
      </c>
      <c r="AE7" s="1118">
        <f t="shared" si="2"/>
        <v>0</v>
      </c>
      <c r="AF7" s="1118">
        <f t="shared" si="2"/>
        <v>0</v>
      </c>
      <c r="AG7" s="1118">
        <f t="shared" si="2"/>
        <v>0</v>
      </c>
      <c r="AH7" s="1118">
        <f t="shared" si="2"/>
        <v>0</v>
      </c>
      <c r="AI7" s="1118">
        <f t="shared" si="2"/>
        <v>0</v>
      </c>
      <c r="AJ7" s="1118">
        <f t="shared" si="2"/>
        <v>0</v>
      </c>
      <c r="AK7" s="1118">
        <f t="shared" si="2"/>
        <v>0</v>
      </c>
      <c r="AL7" s="1118">
        <f t="shared" si="2"/>
        <v>0</v>
      </c>
      <c r="AM7" s="1118">
        <f t="shared" si="2"/>
        <v>0</v>
      </c>
      <c r="AN7" s="1118">
        <f t="shared" si="2"/>
        <v>0</v>
      </c>
      <c r="AO7" s="1118">
        <f>AO110</f>
        <v>0</v>
      </c>
      <c r="AP7" s="1118">
        <f>AP110</f>
        <v>0</v>
      </c>
      <c r="AQ7" s="1118">
        <f>AQ110</f>
        <v>0</v>
      </c>
      <c r="AR7" s="843"/>
      <c r="AS7" s="843"/>
      <c r="AT7" s="843"/>
      <c r="AU7" s="843"/>
      <c r="AV7" s="843"/>
      <c r="AW7" s="843"/>
      <c r="AX7" s="843"/>
      <c r="AY7" s="843"/>
    </row>
    <row r="8" spans="1:51" ht="15" hidden="1" outlineLevel="1">
      <c r="A8" s="311" t="s">
        <v>6</v>
      </c>
      <c r="B8" s="158"/>
      <c r="C8" s="158"/>
      <c r="D8" s="158"/>
      <c r="E8" s="158"/>
      <c r="F8" s="158"/>
      <c r="G8" s="158"/>
      <c r="H8" s="158"/>
      <c r="I8" s="158"/>
      <c r="J8" s="158"/>
      <c r="K8" s="158"/>
      <c r="L8" s="158"/>
      <c r="M8" s="158"/>
      <c r="N8" s="158"/>
      <c r="O8" s="158"/>
      <c r="P8" s="158"/>
      <c r="Q8" s="158"/>
      <c r="R8" s="282">
        <f t="shared" ref="R8:AQ8" si="3">R6+R7</f>
        <v>0</v>
      </c>
      <c r="S8" s="282">
        <f t="shared" si="3"/>
        <v>0</v>
      </c>
      <c r="T8" s="282">
        <f t="shared" si="3"/>
        <v>0</v>
      </c>
      <c r="U8" s="282">
        <f t="shared" si="3"/>
        <v>0</v>
      </c>
      <c r="V8" s="282">
        <f t="shared" si="3"/>
        <v>0</v>
      </c>
      <c r="W8" s="282">
        <f t="shared" si="3"/>
        <v>0</v>
      </c>
      <c r="X8" s="282">
        <f t="shared" si="3"/>
        <v>0</v>
      </c>
      <c r="Y8" s="282">
        <f t="shared" si="3"/>
        <v>0</v>
      </c>
      <c r="Z8" s="282">
        <f t="shared" si="3"/>
        <v>0</v>
      </c>
      <c r="AA8" s="282">
        <f t="shared" si="3"/>
        <v>0</v>
      </c>
      <c r="AB8" s="282">
        <f t="shared" si="3"/>
        <v>0</v>
      </c>
      <c r="AC8" s="282">
        <f t="shared" si="3"/>
        <v>0</v>
      </c>
      <c r="AD8" s="282">
        <f t="shared" si="3"/>
        <v>0</v>
      </c>
      <c r="AE8" s="282">
        <f t="shared" si="3"/>
        <v>0</v>
      </c>
      <c r="AF8" s="282">
        <f t="shared" si="3"/>
        <v>0</v>
      </c>
      <c r="AG8" s="282">
        <f t="shared" si="3"/>
        <v>0</v>
      </c>
      <c r="AH8" s="282">
        <f t="shared" si="3"/>
        <v>0</v>
      </c>
      <c r="AI8" s="282">
        <f t="shared" si="3"/>
        <v>0</v>
      </c>
      <c r="AJ8" s="282">
        <f t="shared" si="3"/>
        <v>0</v>
      </c>
      <c r="AK8" s="282">
        <f t="shared" si="3"/>
        <v>0</v>
      </c>
      <c r="AL8" s="282">
        <f t="shared" si="3"/>
        <v>0</v>
      </c>
      <c r="AM8" s="282">
        <f t="shared" si="3"/>
        <v>0</v>
      </c>
      <c r="AN8" s="282">
        <f t="shared" si="3"/>
        <v>0</v>
      </c>
      <c r="AO8" s="282">
        <f>AO6+AO7</f>
        <v>18213.509999999998</v>
      </c>
      <c r="AP8" s="282">
        <f t="shared" si="3"/>
        <v>18320.155214896164</v>
      </c>
      <c r="AQ8" s="282">
        <f t="shared" si="3"/>
        <v>19723.09</v>
      </c>
      <c r="AR8" s="843"/>
      <c r="AS8" s="843"/>
      <c r="AT8" s="843"/>
      <c r="AU8" s="843"/>
      <c r="AV8" s="843"/>
      <c r="AW8" s="843"/>
      <c r="AX8" s="843"/>
      <c r="AY8" s="843"/>
    </row>
    <row r="9" spans="1:51" ht="15" hidden="1" outlineLevel="1">
      <c r="A9" s="311"/>
      <c r="B9" s="158"/>
      <c r="C9" s="158"/>
      <c r="D9" s="158"/>
      <c r="E9" s="158"/>
      <c r="F9" s="158"/>
      <c r="G9" s="158"/>
      <c r="H9" s="158"/>
      <c r="I9" s="158"/>
      <c r="J9" s="158"/>
      <c r="K9" s="158"/>
      <c r="L9" s="158"/>
      <c r="M9" s="158"/>
      <c r="N9" s="158"/>
      <c r="O9" s="158"/>
      <c r="P9" s="158"/>
      <c r="Q9" s="158"/>
      <c r="R9" s="282"/>
      <c r="S9" s="282"/>
      <c r="T9" s="282"/>
      <c r="U9" s="282"/>
      <c r="V9" s="282"/>
      <c r="W9" s="282"/>
      <c r="X9" s="278"/>
      <c r="Y9" s="278"/>
      <c r="Z9" s="278"/>
      <c r="AA9" s="278"/>
      <c r="AB9" s="278"/>
      <c r="AC9" s="278"/>
      <c r="AD9" s="278"/>
      <c r="AE9" s="278"/>
      <c r="AF9" s="285"/>
      <c r="AG9" s="285"/>
      <c r="AH9" s="285"/>
      <c r="AI9" s="285"/>
      <c r="AJ9" s="285"/>
      <c r="AK9" s="285"/>
      <c r="AL9" s="285"/>
      <c r="AM9" s="285"/>
      <c r="AN9" s="285"/>
      <c r="AO9" s="285"/>
      <c r="AP9" s="285"/>
      <c r="AQ9" s="285"/>
      <c r="AR9" s="843"/>
      <c r="AS9" s="843"/>
      <c r="AT9" s="843"/>
      <c r="AU9" s="843"/>
      <c r="AV9" s="843"/>
      <c r="AW9" s="843"/>
      <c r="AX9" s="843"/>
      <c r="AY9" s="843"/>
    </row>
    <row r="10" spans="1:51" ht="15" hidden="1" outlineLevel="1">
      <c r="A10" s="311"/>
      <c r="B10" s="158" t="s">
        <v>7</v>
      </c>
      <c r="C10" s="158"/>
      <c r="D10" s="158"/>
      <c r="E10" s="158"/>
      <c r="F10" s="158"/>
      <c r="G10" s="158"/>
      <c r="H10" s="158"/>
      <c r="I10" s="158"/>
      <c r="J10" s="158"/>
      <c r="K10" s="158"/>
      <c r="L10" s="158"/>
      <c r="M10" s="158"/>
      <c r="N10" s="158"/>
      <c r="O10" s="158"/>
      <c r="P10" s="158"/>
      <c r="Q10" s="158"/>
      <c r="R10" s="282"/>
      <c r="S10" s="282"/>
      <c r="T10" s="282"/>
      <c r="U10" s="282"/>
      <c r="V10" s="282"/>
      <c r="W10" s="282"/>
      <c r="X10" s="282"/>
      <c r="Y10" s="282"/>
      <c r="Z10" s="282"/>
      <c r="AA10" s="282"/>
      <c r="AB10" s="282"/>
      <c r="AC10" s="282"/>
      <c r="AD10" s="282"/>
      <c r="AE10" s="282"/>
      <c r="AF10" s="282"/>
      <c r="AG10" s="282"/>
      <c r="AH10" s="282"/>
      <c r="AI10" s="282"/>
      <c r="AJ10" s="282"/>
      <c r="AK10" s="282"/>
      <c r="AL10" s="282">
        <f t="shared" ref="AL10:AQ10" si="4">AL113</f>
        <v>0</v>
      </c>
      <c r="AM10" s="282">
        <f t="shared" si="4"/>
        <v>0</v>
      </c>
      <c r="AN10" s="282">
        <f t="shared" si="4"/>
        <v>0</v>
      </c>
      <c r="AO10" s="282">
        <f t="shared" si="4"/>
        <v>1716</v>
      </c>
      <c r="AP10" s="282">
        <f t="shared" si="4"/>
        <v>1757.9</v>
      </c>
      <c r="AQ10" s="282">
        <f t="shared" si="4"/>
        <v>1210.8399999999999</v>
      </c>
      <c r="AR10" s="843"/>
      <c r="AS10" s="843"/>
      <c r="AT10" s="843"/>
      <c r="AU10" s="843"/>
      <c r="AV10" s="843"/>
      <c r="AW10" s="843"/>
      <c r="AX10" s="843"/>
      <c r="AY10" s="843"/>
    </row>
    <row r="11" spans="1:51" ht="15" hidden="1" outlineLevel="1">
      <c r="A11" s="311"/>
      <c r="B11" s="158"/>
      <c r="C11" s="158"/>
      <c r="D11" s="158"/>
      <c r="E11" s="158"/>
      <c r="F11" s="158"/>
      <c r="G11" s="158"/>
      <c r="H11" s="158"/>
      <c r="I11" s="158"/>
      <c r="J11" s="158"/>
      <c r="K11" s="158"/>
      <c r="L11" s="158"/>
      <c r="M11" s="158"/>
      <c r="N11" s="158"/>
      <c r="O11" s="158"/>
      <c r="P11" s="158"/>
      <c r="Q11" s="158"/>
      <c r="R11" s="282"/>
      <c r="S11" s="282"/>
      <c r="T11" s="282"/>
      <c r="U11" s="282"/>
      <c r="V11" s="282"/>
      <c r="W11" s="282"/>
      <c r="X11" s="278"/>
      <c r="Y11" s="278"/>
      <c r="Z11" s="278"/>
      <c r="AA11" s="278"/>
      <c r="AB11" s="278"/>
      <c r="AC11" s="278"/>
      <c r="AD11" s="278"/>
      <c r="AE11" s="278"/>
      <c r="AF11" s="285"/>
      <c r="AG11" s="285"/>
      <c r="AH11" s="285"/>
      <c r="AI11" s="285"/>
      <c r="AJ11" s="285"/>
      <c r="AK11" s="285"/>
      <c r="AL11" s="285"/>
      <c r="AM11" s="285"/>
      <c r="AN11" s="285"/>
      <c r="AO11" s="285"/>
      <c r="AP11" s="285"/>
      <c r="AQ11" s="285"/>
      <c r="AR11" s="843"/>
      <c r="AS11" s="843"/>
      <c r="AT11" s="843"/>
      <c r="AU11" s="843"/>
      <c r="AV11" s="843"/>
      <c r="AW11" s="843"/>
      <c r="AX11" s="843"/>
      <c r="AY11" s="843"/>
    </row>
    <row r="12" spans="1:51" ht="15" hidden="1" outlineLevel="1">
      <c r="A12" s="158"/>
      <c r="B12" s="158" t="s">
        <v>8</v>
      </c>
      <c r="C12" s="158"/>
      <c r="D12" s="158"/>
      <c r="E12" s="158"/>
      <c r="F12" s="158"/>
      <c r="G12" s="158"/>
      <c r="H12" s="158"/>
      <c r="I12" s="158"/>
      <c r="J12" s="158"/>
      <c r="K12" s="158"/>
      <c r="L12" s="158"/>
      <c r="M12" s="158"/>
      <c r="N12" s="158"/>
      <c r="O12" s="158"/>
      <c r="P12" s="158"/>
      <c r="Q12" s="158"/>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f>AO96</f>
        <v>14019.25</v>
      </c>
      <c r="AP12" s="282">
        <f>AP96</f>
        <v>14143.711923896162</v>
      </c>
      <c r="AQ12" s="282">
        <f>AQ96</f>
        <v>14652.68</v>
      </c>
      <c r="AR12" s="843"/>
      <c r="AS12" s="843"/>
      <c r="AT12" s="843"/>
      <c r="AU12" s="843"/>
      <c r="AV12" s="843"/>
      <c r="AW12" s="843"/>
      <c r="AX12" s="843"/>
      <c r="AY12" s="843"/>
    </row>
    <row r="13" spans="1:51" ht="15" hidden="1" outlineLevel="1">
      <c r="A13" s="158"/>
      <c r="B13" s="158"/>
      <c r="C13" s="158"/>
      <c r="D13" s="158"/>
      <c r="E13" s="158"/>
      <c r="F13" s="158"/>
      <c r="G13" s="158"/>
      <c r="H13" s="158"/>
      <c r="I13" s="158"/>
      <c r="J13" s="158"/>
      <c r="K13" s="158"/>
      <c r="L13" s="158"/>
      <c r="M13" s="158"/>
      <c r="N13" s="158"/>
      <c r="O13" s="158"/>
      <c r="P13" s="158"/>
      <c r="Q13" s="158"/>
      <c r="R13" s="282"/>
      <c r="S13" s="282"/>
      <c r="T13" s="282"/>
      <c r="U13" s="282"/>
      <c r="V13" s="282"/>
      <c r="W13" s="282"/>
      <c r="X13" s="278"/>
      <c r="Y13" s="278"/>
      <c r="Z13" s="278"/>
      <c r="AA13" s="278"/>
      <c r="AB13" s="278"/>
      <c r="AC13" s="278"/>
      <c r="AD13" s="278"/>
      <c r="AE13" s="278"/>
      <c r="AF13" s="285"/>
      <c r="AG13" s="278"/>
      <c r="AH13" s="278"/>
      <c r="AI13" s="278"/>
      <c r="AJ13" s="278"/>
      <c r="AK13" s="278"/>
      <c r="AL13" s="278"/>
      <c r="AM13" s="278"/>
      <c r="AN13" s="158"/>
      <c r="AO13" s="158"/>
      <c r="AP13" s="158"/>
      <c r="AQ13" s="843"/>
      <c r="AR13" s="843"/>
      <c r="AS13" s="843"/>
      <c r="AT13" s="843"/>
      <c r="AU13" s="843"/>
      <c r="AV13" s="843"/>
      <c r="AW13" s="843"/>
      <c r="AX13" s="843"/>
      <c r="AY13" s="843"/>
    </row>
    <row r="14" spans="1:51" ht="45" hidden="1" customHeight="1" outlineLevel="1">
      <c r="A14" s="158"/>
      <c r="B14" s="158"/>
      <c r="C14" s="158"/>
      <c r="D14" s="158"/>
      <c r="E14" s="158"/>
      <c r="F14" s="158"/>
      <c r="G14" s="158"/>
      <c r="H14" s="158"/>
      <c r="I14" s="158"/>
      <c r="J14" s="158"/>
      <c r="K14" s="158"/>
      <c r="L14" s="158"/>
      <c r="M14" s="158"/>
      <c r="N14" s="158"/>
      <c r="O14" s="158"/>
      <c r="P14" s="158"/>
      <c r="Q14" s="158"/>
      <c r="R14" s="282"/>
      <c r="S14" s="282"/>
      <c r="T14" s="282"/>
      <c r="U14" s="282"/>
      <c r="V14" s="282"/>
      <c r="W14" s="282"/>
      <c r="X14" s="278"/>
      <c r="Y14" s="278"/>
      <c r="Z14" s="278"/>
      <c r="AA14" s="278"/>
      <c r="AB14" s="278"/>
      <c r="AC14" s="278"/>
      <c r="AD14" s="278"/>
      <c r="AE14" s="278"/>
      <c r="AF14" s="278"/>
      <c r="AG14" s="278"/>
      <c r="AH14" s="278"/>
      <c r="AI14" s="278"/>
      <c r="AJ14" s="278"/>
      <c r="AK14" s="278"/>
      <c r="AL14" s="282"/>
      <c r="AM14" s="158"/>
      <c r="AN14" s="158"/>
      <c r="AO14" s="158"/>
      <c r="AP14" s="158"/>
      <c r="AQ14" s="843"/>
      <c r="AR14" s="843"/>
      <c r="AS14" s="843"/>
      <c r="AT14" s="843"/>
      <c r="AU14" s="843"/>
      <c r="AV14" s="843"/>
      <c r="AW14" s="843"/>
      <c r="AX14" s="843"/>
      <c r="AY14" s="843"/>
    </row>
    <row r="15" spans="1:51" ht="37.5" customHeight="1" collapsed="1">
      <c r="A15" s="158"/>
      <c r="B15" s="1917" t="s">
        <v>1843</v>
      </c>
      <c r="C15" s="1917"/>
      <c r="D15" s="1917"/>
      <c r="E15" s="1917"/>
      <c r="F15" s="1917"/>
      <c r="G15" s="1917"/>
      <c r="H15" s="1917"/>
      <c r="I15" s="1917"/>
      <c r="J15" s="1917"/>
      <c r="K15" s="1917"/>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37"/>
      <c r="AH15" s="1937"/>
      <c r="AI15" s="1937"/>
      <c r="AJ15" s="1937"/>
      <c r="AK15" s="1937"/>
      <c r="AL15" s="1937"/>
      <c r="AM15" s="1937"/>
      <c r="AN15" s="1937"/>
      <c r="AO15" s="1937"/>
      <c r="AP15" s="1937"/>
      <c r="AQ15" s="1937"/>
      <c r="AR15" s="1937"/>
      <c r="AS15" s="843"/>
      <c r="AT15" s="843"/>
      <c r="AU15" s="843"/>
      <c r="AV15" s="843"/>
      <c r="AW15" s="843"/>
      <c r="AX15" s="843"/>
      <c r="AY15" s="843"/>
    </row>
    <row r="16" spans="1:51" ht="15">
      <c r="A16" s="158"/>
      <c r="B16" s="158"/>
      <c r="C16" s="158"/>
      <c r="D16" s="158"/>
      <c r="E16" s="158"/>
      <c r="F16" s="158"/>
      <c r="G16" s="158"/>
      <c r="H16" s="158"/>
      <c r="I16" s="158"/>
      <c r="J16" s="158"/>
      <c r="K16" s="158"/>
      <c r="L16" s="158"/>
      <c r="M16" s="158"/>
      <c r="N16" s="158"/>
      <c r="O16" s="283"/>
      <c r="P16" s="283"/>
      <c r="Q16" s="283"/>
      <c r="R16" s="283"/>
      <c r="S16" s="283"/>
      <c r="T16" s="283"/>
      <c r="U16" s="283"/>
      <c r="V16" s="283"/>
      <c r="W16" s="283"/>
      <c r="X16" s="284"/>
      <c r="Y16" s="285"/>
      <c r="Z16" s="285"/>
      <c r="AA16" s="285"/>
      <c r="AB16" s="285"/>
      <c r="AC16" s="285"/>
      <c r="AD16" s="285"/>
      <c r="AE16" s="285"/>
      <c r="AF16" s="285"/>
      <c r="AG16" s="278"/>
      <c r="AH16" s="278"/>
      <c r="AI16" s="278"/>
      <c r="AJ16" s="278"/>
      <c r="AK16" s="278"/>
      <c r="AL16" s="282"/>
      <c r="AM16" s="158"/>
      <c r="AN16" s="158"/>
      <c r="AO16" s="158"/>
      <c r="AP16" s="158"/>
      <c r="AQ16" s="843"/>
      <c r="AR16" s="843"/>
      <c r="AS16" s="843"/>
      <c r="AT16" s="843"/>
      <c r="AU16" s="843"/>
      <c r="AV16" s="843"/>
      <c r="AW16" s="843"/>
      <c r="AX16" s="843"/>
      <c r="AY16" s="843"/>
    </row>
    <row r="17" spans="1:51" ht="15">
      <c r="A17" s="158"/>
      <c r="B17" s="294" t="s">
        <v>1841</v>
      </c>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78"/>
      <c r="AH17" s="278"/>
      <c r="AI17" s="278"/>
      <c r="AJ17" s="278"/>
      <c r="AK17" s="278"/>
      <c r="AL17" s="282"/>
      <c r="AM17" s="158"/>
      <c r="AN17" s="158"/>
      <c r="AO17" s="158"/>
      <c r="AP17" s="158"/>
      <c r="AQ17" s="843"/>
      <c r="AR17" s="843"/>
      <c r="AS17" s="843"/>
      <c r="AT17" s="843"/>
      <c r="AU17" s="843"/>
      <c r="AV17" s="843"/>
      <c r="AW17" s="843"/>
      <c r="AX17" s="843"/>
      <c r="AY17" s="843"/>
    </row>
    <row r="18" spans="1:51" ht="15">
      <c r="A18" s="158"/>
      <c r="B18" s="158"/>
      <c r="C18" s="158"/>
      <c r="D18" s="158"/>
      <c r="E18" s="158"/>
      <c r="F18" s="158"/>
      <c r="G18" s="158"/>
      <c r="H18" s="158"/>
      <c r="I18" s="158"/>
      <c r="J18" s="158"/>
      <c r="K18" s="158"/>
      <c r="L18" s="158"/>
      <c r="M18" s="158"/>
      <c r="N18" s="158"/>
      <c r="O18" s="283"/>
      <c r="P18" s="283"/>
      <c r="Q18" s="283"/>
      <c r="R18" s="283"/>
      <c r="S18" s="283"/>
      <c r="T18" s="283"/>
      <c r="U18" s="283"/>
      <c r="V18" s="283"/>
      <c r="W18" s="283"/>
      <c r="X18" s="284"/>
      <c r="Y18" s="285"/>
      <c r="Z18" s="285"/>
      <c r="AA18" s="285"/>
      <c r="AB18" s="285"/>
      <c r="AC18" s="285"/>
      <c r="AD18" s="285"/>
      <c r="AE18" s="285"/>
      <c r="AF18" s="285"/>
      <c r="AG18" s="278"/>
      <c r="AH18" s="278"/>
      <c r="AI18" s="278"/>
      <c r="AJ18" s="278"/>
      <c r="AK18" s="278"/>
      <c r="AL18" s="282"/>
      <c r="AM18" s="158"/>
      <c r="AN18" s="158"/>
      <c r="AO18" s="158"/>
      <c r="AP18" s="158"/>
      <c r="AQ18" s="843"/>
      <c r="AR18" s="843"/>
      <c r="AS18" s="843"/>
      <c r="AT18" s="843"/>
      <c r="AU18" s="843"/>
      <c r="AV18" s="843"/>
      <c r="AW18" s="843"/>
      <c r="AX18" s="843"/>
      <c r="AY18" s="843"/>
    </row>
    <row r="19" spans="1:51" ht="15">
      <c r="A19" s="158"/>
      <c r="B19" s="286" t="s">
        <v>243</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78"/>
      <c r="AH19" s="278"/>
      <c r="AI19" s="278"/>
      <c r="AJ19" s="278"/>
      <c r="AK19" s="278"/>
      <c r="AL19" s="282"/>
      <c r="AM19" s="158"/>
      <c r="AN19" s="158"/>
      <c r="AO19" s="158"/>
      <c r="AP19" s="158"/>
      <c r="AQ19" s="843"/>
      <c r="AR19" s="843"/>
      <c r="AS19" s="843"/>
      <c r="AT19" s="843"/>
      <c r="AU19" s="843"/>
      <c r="AV19" s="843"/>
      <c r="AW19" s="843"/>
      <c r="AX19" s="843"/>
      <c r="AY19" s="843"/>
    </row>
    <row r="20" spans="1:51" ht="15">
      <c r="A20" s="158"/>
      <c r="B20" s="226"/>
      <c r="C20" s="226"/>
      <c r="D20" s="226"/>
      <c r="E20" s="226"/>
      <c r="F20" s="226"/>
      <c r="G20" s="226"/>
      <c r="H20" s="226"/>
      <c r="I20" s="226"/>
      <c r="J20" s="226"/>
      <c r="K20" s="226"/>
      <c r="L20" s="226"/>
      <c r="M20" s="226"/>
      <c r="N20" s="226"/>
      <c r="O20" s="859"/>
      <c r="P20" s="859"/>
      <c r="Q20" s="859"/>
      <c r="R20" s="859"/>
      <c r="S20" s="859"/>
      <c r="T20" s="859"/>
      <c r="U20" s="859"/>
      <c r="V20" s="859"/>
      <c r="W20" s="859"/>
      <c r="X20" s="860"/>
      <c r="Y20" s="860"/>
      <c r="Z20" s="860"/>
      <c r="AA20" s="860"/>
      <c r="AB20" s="860"/>
      <c r="AC20" s="860"/>
      <c r="AD20" s="860"/>
      <c r="AE20" s="860"/>
      <c r="AF20" s="284"/>
      <c r="AG20" s="278"/>
      <c r="AH20" s="278"/>
      <c r="AI20" s="278"/>
      <c r="AJ20" s="278"/>
      <c r="AK20" s="278"/>
      <c r="AL20" s="282"/>
      <c r="AM20" s="158"/>
      <c r="AN20" s="158"/>
      <c r="AO20" s="158"/>
      <c r="AP20" s="158"/>
      <c r="AQ20" s="843"/>
      <c r="AR20" s="843"/>
      <c r="AS20" s="843"/>
      <c r="AT20" s="843"/>
      <c r="AU20" s="843"/>
      <c r="AV20" s="843"/>
      <c r="AW20" s="843"/>
      <c r="AX20" s="843"/>
      <c r="AY20" s="843"/>
    </row>
    <row r="21" spans="1:51" ht="15">
      <c r="A21" s="158"/>
      <c r="B21" s="158"/>
      <c r="C21" s="158"/>
      <c r="D21" s="158"/>
      <c r="E21" s="158"/>
      <c r="F21" s="158"/>
      <c r="G21" s="158"/>
      <c r="H21" s="158"/>
      <c r="I21" s="158"/>
      <c r="J21" s="158"/>
      <c r="K21" s="158"/>
      <c r="L21" s="158"/>
      <c r="M21" s="158"/>
      <c r="N21" s="158"/>
      <c r="O21" s="283"/>
      <c r="P21" s="283"/>
      <c r="Q21" s="283"/>
      <c r="R21" s="559">
        <v>1995</v>
      </c>
      <c r="S21" s="559">
        <v>1996</v>
      </c>
      <c r="T21" s="559">
        <v>1997</v>
      </c>
      <c r="U21" s="559">
        <v>1998</v>
      </c>
      <c r="V21" s="559">
        <v>1999</v>
      </c>
      <c r="W21" s="559">
        <v>2000</v>
      </c>
      <c r="X21" s="1121">
        <v>2001</v>
      </c>
      <c r="Y21" s="1121">
        <v>2002</v>
      </c>
      <c r="Z21" s="1121">
        <v>2003</v>
      </c>
      <c r="AA21" s="1121">
        <v>2004</v>
      </c>
      <c r="AB21" s="1121">
        <v>2005</v>
      </c>
      <c r="AC21" s="1121">
        <v>2006</v>
      </c>
      <c r="AD21" s="1121">
        <v>2007</v>
      </c>
      <c r="AE21" s="1121">
        <v>2008</v>
      </c>
      <c r="AF21" s="1121">
        <v>2009</v>
      </c>
      <c r="AG21" s="1121">
        <v>2010</v>
      </c>
      <c r="AH21" s="1121">
        <v>2011</v>
      </c>
      <c r="AI21" s="1121">
        <v>2012</v>
      </c>
      <c r="AJ21" s="1121">
        <v>2013</v>
      </c>
      <c r="AK21" s="1121">
        <v>2014</v>
      </c>
      <c r="AL21" s="1121">
        <v>2015</v>
      </c>
      <c r="AM21" s="1121">
        <v>2016</v>
      </c>
      <c r="AN21" s="1121">
        <v>2017</v>
      </c>
      <c r="AO21" s="1121">
        <v>2018</v>
      </c>
      <c r="AP21" s="1121">
        <v>2019</v>
      </c>
      <c r="AQ21" s="1121">
        <v>2020</v>
      </c>
      <c r="AR21" s="1121">
        <v>2021</v>
      </c>
      <c r="AS21" s="843"/>
      <c r="AT21" s="843"/>
      <c r="AU21" s="843"/>
      <c r="AV21" s="843"/>
      <c r="AW21" s="843"/>
      <c r="AX21" s="843"/>
      <c r="AY21" s="843"/>
    </row>
    <row r="22" spans="1:51" ht="15">
      <c r="A22" s="158"/>
      <c r="B22" s="276">
        <v>1</v>
      </c>
      <c r="C22" s="158" t="s">
        <v>410</v>
      </c>
      <c r="D22" s="158"/>
      <c r="E22" s="158"/>
      <c r="F22" s="158"/>
      <c r="G22" s="158"/>
      <c r="H22" s="158"/>
      <c r="I22" s="158"/>
      <c r="J22" s="158"/>
      <c r="K22" s="158"/>
      <c r="L22" s="158"/>
      <c r="M22" s="158"/>
      <c r="N22" s="158"/>
      <c r="O22" s="283"/>
      <c r="P22" s="283"/>
      <c r="Q22" s="283"/>
      <c r="R22" s="283"/>
      <c r="S22" s="283"/>
      <c r="T22" s="283"/>
      <c r="U22" s="283"/>
      <c r="V22" s="283"/>
      <c r="W22" s="283"/>
      <c r="X22" s="276"/>
      <c r="Y22" s="276"/>
      <c r="Z22" s="276"/>
      <c r="AA22" s="276"/>
      <c r="AB22" s="276"/>
      <c r="AC22" s="276"/>
      <c r="AD22" s="276"/>
      <c r="AE22" s="276"/>
      <c r="AF22" s="276"/>
      <c r="AG22" s="278"/>
      <c r="AH22" s="278"/>
      <c r="AI22" s="278"/>
      <c r="AJ22" s="278"/>
      <c r="AK22" s="278"/>
      <c r="AL22" s="282"/>
      <c r="AM22" s="158"/>
      <c r="AN22" s="158"/>
      <c r="AO22" s="158"/>
      <c r="AP22" s="158"/>
      <c r="AQ22" s="843"/>
      <c r="AR22" s="843"/>
      <c r="AS22" s="843"/>
      <c r="AT22" s="843"/>
      <c r="AU22" s="843"/>
      <c r="AV22" s="843"/>
      <c r="AW22" s="843"/>
      <c r="AX22" s="843"/>
      <c r="AY22" s="843"/>
    </row>
    <row r="23" spans="1:51" ht="15">
      <c r="A23" s="158"/>
      <c r="B23" s="276" t="s">
        <v>289</v>
      </c>
      <c r="C23" s="158" t="s">
        <v>12</v>
      </c>
      <c r="D23" s="158"/>
      <c r="E23" s="158"/>
      <c r="F23" s="158"/>
      <c r="G23" s="158"/>
      <c r="H23" s="158"/>
      <c r="I23" s="158"/>
      <c r="J23" s="158"/>
      <c r="K23" s="158"/>
      <c r="L23" s="158"/>
      <c r="M23" s="158"/>
      <c r="N23" s="158"/>
      <c r="O23" s="158"/>
      <c r="P23" s="158"/>
      <c r="Q23" s="158"/>
      <c r="R23" s="282"/>
      <c r="S23" s="282"/>
      <c r="T23" s="282"/>
      <c r="U23" s="282"/>
      <c r="V23" s="282"/>
      <c r="W23" s="282"/>
      <c r="X23" s="296"/>
      <c r="Y23" s="1122"/>
      <c r="Z23" s="276"/>
      <c r="AA23" s="1122"/>
      <c r="AB23" s="276"/>
      <c r="AC23" s="843"/>
      <c r="AD23" s="843"/>
      <c r="AE23" s="843"/>
      <c r="AF23" s="843"/>
      <c r="AG23" s="843"/>
      <c r="AH23" s="843"/>
      <c r="AI23" s="843"/>
      <c r="AJ23" s="843"/>
      <c r="AK23" s="843"/>
      <c r="AL23" s="843"/>
      <c r="AM23" s="843"/>
      <c r="AN23" s="843"/>
      <c r="AO23" s="843"/>
      <c r="AP23" s="843"/>
      <c r="AQ23" s="843"/>
      <c r="AR23" s="843"/>
      <c r="AS23" s="843"/>
      <c r="AT23" s="843"/>
      <c r="AU23" s="843"/>
      <c r="AV23" s="843"/>
      <c r="AW23" s="843"/>
      <c r="AX23" s="843"/>
      <c r="AY23" s="843"/>
    </row>
    <row r="24" spans="1:51" ht="15">
      <c r="A24" s="158"/>
      <c r="B24" s="276" t="s">
        <v>411</v>
      </c>
      <c r="C24" s="158" t="s">
        <v>412</v>
      </c>
      <c r="D24" s="158"/>
      <c r="E24" s="158"/>
      <c r="F24" s="158"/>
      <c r="G24" s="158"/>
      <c r="H24" s="158"/>
      <c r="I24" s="158"/>
      <c r="J24" s="158"/>
      <c r="K24" s="158"/>
      <c r="L24" s="158"/>
      <c r="M24" s="158"/>
      <c r="N24" s="158"/>
      <c r="O24" s="158"/>
      <c r="P24" s="158"/>
      <c r="Q24" s="158"/>
      <c r="R24" s="282"/>
      <c r="S24" s="282"/>
      <c r="T24" s="282"/>
      <c r="U24" s="282"/>
      <c r="V24" s="282"/>
      <c r="W24" s="282"/>
      <c r="X24" s="278"/>
      <c r="Y24" s="278"/>
      <c r="Z24" s="296"/>
      <c r="AA24" s="278"/>
      <c r="AB24" s="296"/>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row>
    <row r="25" spans="1:51" ht="15">
      <c r="A25" s="158"/>
      <c r="B25" s="276">
        <v>2</v>
      </c>
      <c r="C25" s="158" t="s">
        <v>413</v>
      </c>
      <c r="D25" s="158"/>
      <c r="E25" s="158"/>
      <c r="F25" s="158"/>
      <c r="G25" s="158"/>
      <c r="H25" s="158"/>
      <c r="I25" s="158"/>
      <c r="J25" s="158"/>
      <c r="K25" s="158"/>
      <c r="L25" s="158"/>
      <c r="M25" s="158"/>
      <c r="N25" s="158"/>
      <c r="O25" s="158"/>
      <c r="P25" s="158"/>
      <c r="Q25" s="158"/>
      <c r="R25" s="282"/>
      <c r="S25" s="282"/>
      <c r="T25" s="282"/>
      <c r="U25" s="282"/>
      <c r="V25" s="282"/>
      <c r="W25" s="282"/>
      <c r="X25" s="278"/>
      <c r="Y25" s="278"/>
      <c r="Z25" s="296"/>
      <c r="AA25" s="278"/>
      <c r="AB25" s="296"/>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row>
    <row r="26" spans="1:51" ht="15">
      <c r="A26" s="158"/>
      <c r="B26" s="276" t="s">
        <v>414</v>
      </c>
      <c r="C26" s="158" t="s">
        <v>12</v>
      </c>
      <c r="D26" s="158"/>
      <c r="E26" s="158"/>
      <c r="F26" s="158"/>
      <c r="G26" s="158"/>
      <c r="H26" s="158"/>
      <c r="I26" s="158"/>
      <c r="J26" s="158"/>
      <c r="K26" s="158"/>
      <c r="L26" s="158"/>
      <c r="M26" s="158"/>
      <c r="N26" s="158"/>
      <c r="O26" s="158"/>
      <c r="P26" s="158"/>
      <c r="Q26" s="158"/>
      <c r="R26" s="282"/>
      <c r="S26" s="282"/>
      <c r="T26" s="282"/>
      <c r="U26" s="282"/>
      <c r="V26" s="282"/>
      <c r="W26" s="282"/>
      <c r="X26" s="278"/>
      <c r="Y26" s="278"/>
      <c r="Z26" s="278"/>
      <c r="AA26" s="278"/>
      <c r="AB26" s="278"/>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row>
    <row r="27" spans="1:51" ht="15">
      <c r="A27" s="158"/>
      <c r="B27" s="276">
        <v>3</v>
      </c>
      <c r="C27" s="158" t="s">
        <v>14</v>
      </c>
      <c r="D27" s="158"/>
      <c r="E27" s="158"/>
      <c r="F27" s="158"/>
      <c r="G27" s="158"/>
      <c r="H27" s="158"/>
      <c r="I27" s="158"/>
      <c r="J27" s="158"/>
      <c r="K27" s="158"/>
      <c r="L27" s="158"/>
      <c r="M27" s="158"/>
      <c r="N27" s="158"/>
      <c r="O27" s="158"/>
      <c r="P27" s="158"/>
      <c r="Q27" s="158"/>
      <c r="R27" s="282"/>
      <c r="S27" s="282"/>
      <c r="T27" s="282"/>
      <c r="U27" s="282"/>
      <c r="V27" s="282"/>
      <c r="W27" s="282"/>
      <c r="X27" s="296"/>
      <c r="Y27" s="278"/>
      <c r="Z27" s="296"/>
      <c r="AA27" s="278"/>
      <c r="AB27" s="296"/>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row>
    <row r="28" spans="1:51" ht="15">
      <c r="A28" s="158"/>
      <c r="B28" s="276" t="s">
        <v>415</v>
      </c>
      <c r="C28" s="158" t="s">
        <v>15</v>
      </c>
      <c r="D28" s="158"/>
      <c r="E28" s="158"/>
      <c r="F28" s="158"/>
      <c r="G28" s="158"/>
      <c r="H28" s="158"/>
      <c r="I28" s="158"/>
      <c r="J28" s="158"/>
      <c r="K28" s="158"/>
      <c r="L28" s="158"/>
      <c r="M28" s="158"/>
      <c r="N28" s="158"/>
      <c r="O28" s="158"/>
      <c r="P28" s="158"/>
      <c r="Q28" s="158"/>
      <c r="R28" s="282"/>
      <c r="S28" s="282"/>
      <c r="T28" s="282"/>
      <c r="U28" s="282"/>
      <c r="V28" s="282"/>
      <c r="W28" s="282"/>
      <c r="X28" s="296"/>
      <c r="Y28" s="278"/>
      <c r="Z28" s="296"/>
      <c r="AA28" s="278"/>
      <c r="AB28" s="296"/>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row>
    <row r="29" spans="1:51" ht="15">
      <c r="A29" s="158"/>
      <c r="B29" s="276" t="s">
        <v>416</v>
      </c>
      <c r="C29" s="158" t="s">
        <v>16</v>
      </c>
      <c r="D29" s="158"/>
      <c r="E29" s="158"/>
      <c r="F29" s="158"/>
      <c r="G29" s="158"/>
      <c r="H29" s="158"/>
      <c r="I29" s="158"/>
      <c r="J29" s="158"/>
      <c r="K29" s="158"/>
      <c r="L29" s="158"/>
      <c r="M29" s="158"/>
      <c r="N29" s="158"/>
      <c r="O29" s="158"/>
      <c r="P29" s="158"/>
      <c r="Q29" s="158"/>
      <c r="R29" s="282"/>
      <c r="S29" s="282"/>
      <c r="T29" s="282"/>
      <c r="U29" s="282"/>
      <c r="V29" s="282"/>
      <c r="W29" s="282"/>
      <c r="X29" s="296"/>
      <c r="Y29" s="278"/>
      <c r="Z29" s="296"/>
      <c r="AA29" s="278"/>
      <c r="AB29" s="296"/>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row>
    <row r="30" spans="1:51" ht="15">
      <c r="A30" s="158"/>
      <c r="B30" s="276" t="s">
        <v>417</v>
      </c>
      <c r="C30" s="158" t="s">
        <v>418</v>
      </c>
      <c r="D30" s="158"/>
      <c r="E30" s="158"/>
      <c r="F30" s="158"/>
      <c r="G30" s="158"/>
      <c r="H30" s="158"/>
      <c r="I30" s="158"/>
      <c r="J30" s="158"/>
      <c r="K30" s="158"/>
      <c r="L30" s="158"/>
      <c r="M30" s="158"/>
      <c r="N30" s="158"/>
      <c r="O30" s="158"/>
      <c r="P30" s="158"/>
      <c r="Q30" s="158"/>
      <c r="R30" s="282"/>
      <c r="S30" s="282"/>
      <c r="T30" s="282"/>
      <c r="U30" s="282"/>
      <c r="V30" s="282"/>
      <c r="W30" s="282"/>
      <c r="X30" s="296"/>
      <c r="Y30" s="278"/>
      <c r="Z30" s="296"/>
      <c r="AA30" s="278"/>
      <c r="AB30" s="296"/>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row>
    <row r="31" spans="1:51" ht="15">
      <c r="A31" s="158"/>
      <c r="B31" s="276">
        <v>4</v>
      </c>
      <c r="C31" s="158" t="s">
        <v>419</v>
      </c>
      <c r="D31" s="158"/>
      <c r="E31" s="158"/>
      <c r="F31" s="158"/>
      <c r="G31" s="158"/>
      <c r="H31" s="158"/>
      <c r="I31" s="158"/>
      <c r="J31" s="158"/>
      <c r="K31" s="158"/>
      <c r="L31" s="158"/>
      <c r="M31" s="158"/>
      <c r="N31" s="158"/>
      <c r="O31" s="158"/>
      <c r="P31" s="158"/>
      <c r="Q31" s="158"/>
      <c r="R31" s="282"/>
      <c r="S31" s="282"/>
      <c r="T31" s="282"/>
      <c r="U31" s="282"/>
      <c r="V31" s="282"/>
      <c r="W31" s="282"/>
      <c r="X31" s="296"/>
      <c r="Y31" s="278"/>
      <c r="Z31" s="296"/>
      <c r="AA31" s="278"/>
      <c r="AB31" s="296"/>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row>
    <row r="32" spans="1:51" ht="15">
      <c r="A32" s="158"/>
      <c r="B32" s="276" t="s">
        <v>296</v>
      </c>
      <c r="C32" s="158" t="s">
        <v>420</v>
      </c>
      <c r="D32" s="158"/>
      <c r="E32" s="158"/>
      <c r="F32" s="158"/>
      <c r="G32" s="158"/>
      <c r="H32" s="158"/>
      <c r="I32" s="158"/>
      <c r="J32" s="158"/>
      <c r="K32" s="158"/>
      <c r="L32" s="158"/>
      <c r="M32" s="158"/>
      <c r="N32" s="158"/>
      <c r="O32" s="158"/>
      <c r="P32" s="158"/>
      <c r="Q32" s="158"/>
      <c r="R32" s="282"/>
      <c r="S32" s="282"/>
      <c r="T32" s="282"/>
      <c r="U32" s="282"/>
      <c r="V32" s="282"/>
      <c r="W32" s="282"/>
      <c r="X32" s="296"/>
      <c r="Y32" s="278"/>
      <c r="Z32" s="296"/>
      <c r="AA32" s="278"/>
      <c r="AB32" s="296"/>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row>
    <row r="33" spans="1:51" ht="15">
      <c r="A33" s="158"/>
      <c r="B33" s="276" t="s">
        <v>298</v>
      </c>
      <c r="C33" s="158" t="s">
        <v>421</v>
      </c>
      <c r="D33" s="158"/>
      <c r="E33" s="158"/>
      <c r="F33" s="158"/>
      <c r="G33" s="158"/>
      <c r="H33" s="158"/>
      <c r="I33" s="158"/>
      <c r="J33" s="158"/>
      <c r="K33" s="158"/>
      <c r="L33" s="158"/>
      <c r="M33" s="158"/>
      <c r="N33" s="158"/>
      <c r="O33" s="158"/>
      <c r="P33" s="158"/>
      <c r="Q33" s="158"/>
      <c r="R33" s="282"/>
      <c r="S33" s="282"/>
      <c r="T33" s="282"/>
      <c r="U33" s="282"/>
      <c r="V33" s="282"/>
      <c r="W33" s="282"/>
      <c r="X33" s="296"/>
      <c r="Y33" s="278"/>
      <c r="Z33" s="296"/>
      <c r="AA33" s="278"/>
      <c r="AB33" s="296"/>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row>
    <row r="34" spans="1:51" ht="15">
      <c r="A34" s="158"/>
      <c r="B34" s="276">
        <v>5</v>
      </c>
      <c r="C34" s="158" t="s">
        <v>422</v>
      </c>
      <c r="D34" s="158"/>
      <c r="E34" s="158"/>
      <c r="F34" s="158"/>
      <c r="G34" s="158"/>
      <c r="H34" s="158"/>
      <c r="I34" s="158"/>
      <c r="J34" s="158"/>
      <c r="K34" s="158"/>
      <c r="L34" s="158"/>
      <c r="M34" s="158"/>
      <c r="N34" s="158"/>
      <c r="O34" s="158"/>
      <c r="P34" s="158"/>
      <c r="Q34" s="158"/>
      <c r="R34" s="282"/>
      <c r="S34" s="282"/>
      <c r="T34" s="282"/>
      <c r="U34" s="282"/>
      <c r="V34" s="282"/>
      <c r="W34" s="282"/>
      <c r="X34" s="296"/>
      <c r="Y34" s="278"/>
      <c r="Z34" s="296"/>
      <c r="AA34" s="278"/>
      <c r="AB34" s="296"/>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row>
    <row r="35" spans="1:51" ht="15">
      <c r="A35" s="158"/>
      <c r="B35" s="276" t="s">
        <v>423</v>
      </c>
      <c r="C35" s="158" t="s">
        <v>424</v>
      </c>
      <c r="D35" s="158"/>
      <c r="E35" s="158"/>
      <c r="F35" s="158"/>
      <c r="G35" s="158"/>
      <c r="H35" s="158"/>
      <c r="I35" s="158"/>
      <c r="J35" s="158"/>
      <c r="K35" s="158"/>
      <c r="L35" s="158"/>
      <c r="M35" s="158"/>
      <c r="N35" s="158"/>
      <c r="O35" s="158"/>
      <c r="P35" s="158"/>
      <c r="Q35" s="158"/>
      <c r="R35" s="282"/>
      <c r="S35" s="282"/>
      <c r="T35" s="282"/>
      <c r="U35" s="282"/>
      <c r="V35" s="282"/>
      <c r="W35" s="282"/>
      <c r="X35" s="296"/>
      <c r="Y35" s="278"/>
      <c r="Z35" s="296"/>
      <c r="AA35" s="278"/>
      <c r="AB35" s="296"/>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row>
    <row r="36" spans="1:51" ht="15">
      <c r="A36" s="158"/>
      <c r="B36" s="276">
        <v>6</v>
      </c>
      <c r="C36" s="158" t="s">
        <v>425</v>
      </c>
      <c r="D36" s="158"/>
      <c r="E36" s="158"/>
      <c r="F36" s="158"/>
      <c r="G36" s="158"/>
      <c r="H36" s="158"/>
      <c r="I36" s="158"/>
      <c r="J36" s="158"/>
      <c r="K36" s="158"/>
      <c r="L36" s="158"/>
      <c r="M36" s="158"/>
      <c r="N36" s="158"/>
      <c r="O36" s="158"/>
      <c r="P36" s="158"/>
      <c r="Q36" s="158"/>
      <c r="R36" s="282"/>
      <c r="S36" s="282"/>
      <c r="T36" s="282"/>
      <c r="U36" s="282"/>
      <c r="V36" s="282"/>
      <c r="W36" s="282"/>
      <c r="X36" s="296"/>
      <c r="Y36" s="278"/>
      <c r="Z36" s="296"/>
      <c r="AA36" s="278"/>
      <c r="AB36" s="296"/>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c r="AY36" s="843"/>
    </row>
    <row r="37" spans="1:51" ht="15">
      <c r="A37" s="158"/>
      <c r="B37" s="276" t="s">
        <v>426</v>
      </c>
      <c r="C37" s="158" t="s">
        <v>427</v>
      </c>
      <c r="D37" s="158"/>
      <c r="E37" s="158"/>
      <c r="F37" s="158"/>
      <c r="G37" s="158"/>
      <c r="H37" s="158"/>
      <c r="I37" s="158"/>
      <c r="J37" s="158"/>
      <c r="K37" s="158"/>
      <c r="L37" s="158"/>
      <c r="M37" s="158"/>
      <c r="N37" s="158"/>
      <c r="O37" s="158"/>
      <c r="P37" s="158"/>
      <c r="Q37" s="158"/>
      <c r="R37" s="282"/>
      <c r="S37" s="282"/>
      <c r="T37" s="282"/>
      <c r="U37" s="282"/>
      <c r="V37" s="282"/>
      <c r="W37" s="282"/>
      <c r="X37" s="296"/>
      <c r="Y37" s="278"/>
      <c r="Z37" s="296"/>
      <c r="AA37" s="278"/>
      <c r="AB37" s="296"/>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row>
    <row r="38" spans="1:51" ht="15">
      <c r="A38" s="158"/>
      <c r="B38" s="276" t="s">
        <v>428</v>
      </c>
      <c r="C38" s="158" t="s">
        <v>429</v>
      </c>
      <c r="D38" s="158"/>
      <c r="E38" s="158"/>
      <c r="F38" s="158"/>
      <c r="G38" s="158"/>
      <c r="H38" s="158"/>
      <c r="I38" s="158"/>
      <c r="J38" s="158"/>
      <c r="K38" s="158"/>
      <c r="L38" s="158"/>
      <c r="M38" s="158"/>
      <c r="N38" s="158"/>
      <c r="O38" s="158"/>
      <c r="P38" s="158"/>
      <c r="Q38" s="158"/>
      <c r="R38" s="282"/>
      <c r="S38" s="282"/>
      <c r="T38" s="282"/>
      <c r="U38" s="282"/>
      <c r="V38" s="282"/>
      <c r="W38" s="282"/>
      <c r="X38" s="296"/>
      <c r="Y38" s="278"/>
      <c r="Z38" s="296"/>
      <c r="AA38" s="278"/>
      <c r="AB38" s="296"/>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row>
    <row r="39" spans="1:51" ht="15">
      <c r="A39" s="158"/>
      <c r="B39" s="1126"/>
      <c r="C39" s="158"/>
      <c r="D39" s="158"/>
      <c r="E39" s="158"/>
      <c r="F39" s="158"/>
      <c r="G39" s="158"/>
      <c r="H39" s="158"/>
      <c r="I39" s="158"/>
      <c r="J39" s="158"/>
      <c r="K39" s="158"/>
      <c r="L39" s="158"/>
      <c r="M39" s="158"/>
      <c r="N39" s="158"/>
      <c r="O39" s="158"/>
      <c r="P39" s="158"/>
      <c r="Q39" s="158"/>
      <c r="R39" s="282"/>
      <c r="S39" s="282"/>
      <c r="T39" s="282"/>
      <c r="U39" s="282"/>
      <c r="V39" s="282"/>
      <c r="W39" s="282"/>
      <c r="X39" s="296"/>
      <c r="Y39" s="278"/>
      <c r="Z39" s="296"/>
      <c r="AA39" s="278"/>
      <c r="AB39" s="296"/>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row>
    <row r="40" spans="1:51" ht="15">
      <c r="A40" s="158"/>
      <c r="B40" s="1126" t="s">
        <v>1844</v>
      </c>
      <c r="C40" s="158"/>
      <c r="D40" s="158"/>
      <c r="E40" s="158"/>
      <c r="F40" s="158"/>
      <c r="G40" s="158"/>
      <c r="H40" s="158"/>
      <c r="I40" s="158"/>
      <c r="J40" s="158"/>
      <c r="K40" s="158"/>
      <c r="L40" s="158"/>
      <c r="M40" s="158"/>
      <c r="N40" s="158"/>
      <c r="O40" s="158"/>
      <c r="P40" s="158"/>
      <c r="Q40" s="158"/>
      <c r="R40" s="282"/>
      <c r="S40" s="282"/>
      <c r="T40" s="282"/>
      <c r="U40" s="282"/>
      <c r="V40" s="282"/>
      <c r="W40" s="282"/>
      <c r="X40" s="296"/>
      <c r="Y40" s="278"/>
      <c r="Z40" s="296"/>
      <c r="AA40" s="278"/>
      <c r="AB40" s="296"/>
      <c r="AC40" s="843"/>
      <c r="AD40" s="843"/>
      <c r="AE40" s="843"/>
      <c r="AF40" s="843"/>
      <c r="AG40" s="843"/>
      <c r="AH40" s="843"/>
      <c r="AI40" s="843"/>
      <c r="AJ40" s="843"/>
      <c r="AK40" s="843"/>
      <c r="AL40" s="843"/>
      <c r="AM40" s="843"/>
      <c r="AN40" s="843"/>
      <c r="AO40" s="843"/>
      <c r="AP40" s="843"/>
      <c r="AQ40" s="843"/>
      <c r="AR40" s="843"/>
      <c r="AS40" s="843"/>
      <c r="AT40" s="843"/>
      <c r="AU40" s="843"/>
      <c r="AV40" s="843"/>
      <c r="AW40" s="843"/>
      <c r="AX40" s="843"/>
      <c r="AY40" s="843"/>
    </row>
    <row r="41" spans="1:51" ht="15.75">
      <c r="A41" s="158"/>
      <c r="B41" s="1166" t="s">
        <v>522</v>
      </c>
      <c r="C41" s="158"/>
      <c r="D41" s="158"/>
      <c r="E41" s="158"/>
      <c r="F41" s="158"/>
      <c r="G41" s="158"/>
      <c r="H41" s="158"/>
      <c r="I41" s="158"/>
      <c r="J41" s="158"/>
      <c r="K41" s="158"/>
      <c r="L41" s="158"/>
      <c r="M41" s="158"/>
      <c r="N41" s="158"/>
      <c r="O41" s="158"/>
      <c r="P41" s="158"/>
      <c r="Q41" s="158"/>
      <c r="R41" s="282"/>
      <c r="S41" s="282"/>
      <c r="T41" s="282"/>
      <c r="U41" s="282"/>
      <c r="V41" s="282"/>
      <c r="W41" s="282"/>
      <c r="X41" s="296"/>
      <c r="Y41" s="278"/>
      <c r="Z41" s="296"/>
      <c r="AA41" s="278"/>
      <c r="AB41" s="296"/>
      <c r="AC41" s="843"/>
      <c r="AD41" s="843"/>
      <c r="AE41" s="843"/>
      <c r="AF41" s="843"/>
      <c r="AG41" s="843"/>
      <c r="AH41" s="843"/>
      <c r="AI41" s="843"/>
      <c r="AJ41" s="843"/>
      <c r="AK41" s="843"/>
      <c r="AL41" s="843"/>
      <c r="AM41" s="843"/>
      <c r="AN41" s="843"/>
      <c r="AO41" s="843"/>
      <c r="AP41" s="843"/>
      <c r="AQ41" s="843"/>
      <c r="AR41" s="843"/>
      <c r="AS41" s="843"/>
      <c r="AT41" s="843"/>
      <c r="AU41" s="843"/>
      <c r="AV41" s="843"/>
      <c r="AW41" s="843"/>
      <c r="AX41" s="843"/>
      <c r="AY41" s="843"/>
    </row>
    <row r="42" spans="1:51" ht="15.75">
      <c r="A42" s="158"/>
      <c r="B42" s="1166" t="s">
        <v>523</v>
      </c>
      <c r="C42" s="158"/>
      <c r="D42" s="158"/>
      <c r="E42" s="158"/>
      <c r="F42" s="158"/>
      <c r="G42" s="158"/>
      <c r="H42" s="158"/>
      <c r="I42" s="158"/>
      <c r="J42" s="158"/>
      <c r="K42" s="158"/>
      <c r="L42" s="158"/>
      <c r="M42" s="158"/>
      <c r="N42" s="158"/>
      <c r="O42" s="158"/>
      <c r="P42" s="158"/>
      <c r="Q42" s="158"/>
      <c r="R42" s="282"/>
      <c r="S42" s="282"/>
      <c r="T42" s="282"/>
      <c r="U42" s="282"/>
      <c r="V42" s="282"/>
      <c r="W42" s="282"/>
      <c r="X42" s="296"/>
      <c r="Y42" s="278"/>
      <c r="Z42" s="296"/>
      <c r="AA42" s="278"/>
      <c r="AB42" s="296"/>
      <c r="AC42" s="843"/>
      <c r="AD42" s="843"/>
      <c r="AE42" s="843"/>
      <c r="AF42" s="843"/>
      <c r="AG42" s="843"/>
      <c r="AH42" s="843"/>
      <c r="AI42" s="843"/>
      <c r="AJ42" s="843"/>
      <c r="AK42" s="843"/>
      <c r="AL42" s="843"/>
      <c r="AM42" s="843"/>
      <c r="AN42" s="843"/>
      <c r="AO42" s="843"/>
      <c r="AP42" s="843"/>
      <c r="AQ42" s="843"/>
      <c r="AR42" s="843"/>
      <c r="AS42" s="843"/>
      <c r="AT42" s="843"/>
      <c r="AU42" s="843"/>
      <c r="AV42" s="843"/>
      <c r="AW42" s="843"/>
      <c r="AX42" s="843"/>
      <c r="AY42" s="843"/>
    </row>
    <row r="43" spans="1:51" ht="15.75">
      <c r="A43" s="158"/>
      <c r="B43" s="1166" t="s">
        <v>524</v>
      </c>
      <c r="C43" s="158"/>
      <c r="D43" s="158"/>
      <c r="E43" s="158"/>
      <c r="F43" s="158"/>
      <c r="G43" s="158"/>
      <c r="H43" s="158"/>
      <c r="I43" s="158"/>
      <c r="J43" s="158"/>
      <c r="K43" s="158"/>
      <c r="L43" s="158"/>
      <c r="M43" s="158"/>
      <c r="N43" s="158"/>
      <c r="O43" s="158"/>
      <c r="P43" s="158"/>
      <c r="Q43" s="158"/>
      <c r="R43" s="282"/>
      <c r="S43" s="282"/>
      <c r="T43" s="282"/>
      <c r="U43" s="282"/>
      <c r="V43" s="282"/>
      <c r="W43" s="282"/>
      <c r="X43" s="296"/>
      <c r="Y43" s="278"/>
      <c r="Z43" s="296"/>
      <c r="AA43" s="278"/>
      <c r="AB43" s="296"/>
      <c r="AC43" s="296"/>
      <c r="AD43" s="296"/>
      <c r="AE43" s="278"/>
      <c r="AF43" s="296"/>
      <c r="AG43" s="278"/>
      <c r="AH43" s="278"/>
      <c r="AI43" s="278"/>
      <c r="AJ43" s="278"/>
      <c r="AK43" s="278"/>
      <c r="AL43" s="282"/>
      <c r="AM43" s="158"/>
      <c r="AN43" s="158"/>
      <c r="AO43" s="158"/>
      <c r="AP43" s="158"/>
      <c r="AQ43" s="843"/>
      <c r="AR43" s="843"/>
      <c r="AS43" s="843"/>
      <c r="AT43" s="843"/>
      <c r="AU43" s="843"/>
      <c r="AV43" s="843"/>
      <c r="AW43" s="843"/>
      <c r="AX43" s="843"/>
      <c r="AY43" s="843"/>
    </row>
    <row r="44" spans="1:51" ht="15.75">
      <c r="A44" s="158"/>
      <c r="B44" s="1166" t="s">
        <v>525</v>
      </c>
      <c r="C44" s="158"/>
      <c r="D44" s="158"/>
      <c r="E44" s="158"/>
      <c r="F44" s="158"/>
      <c r="G44" s="158"/>
      <c r="H44" s="158"/>
      <c r="I44" s="158"/>
      <c r="J44" s="158"/>
      <c r="K44" s="158"/>
      <c r="L44" s="158"/>
      <c r="M44" s="158"/>
      <c r="N44" s="158"/>
      <c r="O44" s="158"/>
      <c r="P44" s="158"/>
      <c r="Q44" s="158"/>
      <c r="R44" s="282"/>
      <c r="S44" s="282"/>
      <c r="T44" s="282"/>
      <c r="U44" s="282"/>
      <c r="V44" s="282"/>
      <c r="W44" s="282"/>
      <c r="X44" s="296"/>
      <c r="Y44" s="278"/>
      <c r="Z44" s="296"/>
      <c r="AA44" s="278"/>
      <c r="AB44" s="296"/>
      <c r="AC44" s="296"/>
      <c r="AD44" s="296"/>
      <c r="AE44" s="278"/>
      <c r="AF44" s="296"/>
      <c r="AG44" s="278"/>
      <c r="AH44" s="278"/>
      <c r="AI44" s="278"/>
      <c r="AJ44" s="278"/>
      <c r="AK44" s="278"/>
      <c r="AL44" s="282"/>
      <c r="AM44" s="158"/>
      <c r="AN44" s="158"/>
      <c r="AO44" s="158"/>
      <c r="AP44" s="158"/>
      <c r="AQ44" s="843"/>
      <c r="AR44" s="843"/>
      <c r="AS44" s="843"/>
      <c r="AT44" s="843"/>
      <c r="AU44" s="843"/>
      <c r="AV44" s="843"/>
      <c r="AW44" s="843"/>
      <c r="AX44" s="843"/>
      <c r="AY44" s="843"/>
    </row>
    <row r="45" spans="1:51" ht="15.75">
      <c r="A45" s="158"/>
      <c r="B45" s="1166" t="s">
        <v>526</v>
      </c>
      <c r="C45" s="158"/>
      <c r="D45" s="158"/>
      <c r="E45" s="158"/>
      <c r="F45" s="158"/>
      <c r="G45" s="158"/>
      <c r="H45" s="158"/>
      <c r="I45" s="158"/>
      <c r="J45" s="158"/>
      <c r="K45" s="158"/>
      <c r="L45" s="158"/>
      <c r="M45" s="158"/>
      <c r="N45" s="158"/>
      <c r="O45" s="158"/>
      <c r="P45" s="158"/>
      <c r="Q45" s="158"/>
      <c r="R45" s="282"/>
      <c r="S45" s="282"/>
      <c r="T45" s="282"/>
      <c r="U45" s="282"/>
      <c r="V45" s="282"/>
      <c r="W45" s="282"/>
      <c r="X45" s="296"/>
      <c r="Y45" s="278"/>
      <c r="Z45" s="296"/>
      <c r="AA45" s="278"/>
      <c r="AB45" s="296"/>
      <c r="AC45" s="296"/>
      <c r="AD45" s="296"/>
      <c r="AE45" s="278"/>
      <c r="AF45" s="296"/>
      <c r="AG45" s="278"/>
      <c r="AH45" s="278"/>
      <c r="AI45" s="278"/>
      <c r="AJ45" s="278"/>
      <c r="AK45" s="278"/>
      <c r="AL45" s="282"/>
      <c r="AM45" s="158"/>
      <c r="AN45" s="158"/>
      <c r="AO45" s="158"/>
      <c r="AP45" s="158"/>
      <c r="AQ45" s="843"/>
      <c r="AR45" s="843"/>
      <c r="AS45" s="843"/>
      <c r="AT45" s="843"/>
      <c r="AU45" s="843"/>
      <c r="AV45" s="843"/>
      <c r="AW45" s="843"/>
      <c r="AX45" s="843"/>
      <c r="AY45" s="843"/>
    </row>
    <row r="46" spans="1:51" ht="15">
      <c r="A46" s="158"/>
      <c r="B46" s="884"/>
      <c r="C46" s="226"/>
      <c r="D46" s="226"/>
      <c r="E46" s="226"/>
      <c r="F46" s="226"/>
      <c r="G46" s="226"/>
      <c r="H46" s="226"/>
      <c r="I46" s="226"/>
      <c r="J46" s="226"/>
      <c r="K46" s="226"/>
      <c r="L46" s="226"/>
      <c r="M46" s="226"/>
      <c r="N46" s="226"/>
      <c r="O46" s="226"/>
      <c r="P46" s="226"/>
      <c r="Q46" s="226"/>
      <c r="R46" s="1118"/>
      <c r="S46" s="1118"/>
      <c r="T46" s="1118"/>
      <c r="U46" s="1118"/>
      <c r="V46" s="1118"/>
      <c r="W46" s="1118"/>
      <c r="X46" s="280"/>
      <c r="Y46" s="280"/>
      <c r="Z46" s="639"/>
      <c r="AA46" s="280"/>
      <c r="AB46" s="639"/>
      <c r="AC46" s="639"/>
      <c r="AD46" s="639"/>
      <c r="AE46" s="280"/>
      <c r="AF46" s="639"/>
      <c r="AG46" s="639"/>
      <c r="AH46" s="639"/>
      <c r="AI46" s="639"/>
      <c r="AJ46" s="639"/>
      <c r="AK46" s="639"/>
      <c r="AL46" s="639"/>
      <c r="AM46" s="639"/>
      <c r="AN46" s="639"/>
      <c r="AO46" s="639"/>
      <c r="AP46" s="639"/>
      <c r="AQ46" s="639"/>
      <c r="AR46" s="639"/>
      <c r="AS46" s="843"/>
      <c r="AT46" s="843"/>
      <c r="AU46" s="843"/>
      <c r="AV46" s="843"/>
      <c r="AW46" s="843"/>
      <c r="AX46" s="843"/>
      <c r="AY46" s="843"/>
    </row>
    <row r="47" spans="1:51" ht="15">
      <c r="A47" s="158"/>
      <c r="B47" s="1126"/>
      <c r="C47" s="158"/>
      <c r="D47" s="158"/>
      <c r="E47" s="158"/>
      <c r="F47" s="158"/>
      <c r="G47" s="158"/>
      <c r="H47" s="158"/>
      <c r="I47" s="158"/>
      <c r="J47" s="158"/>
      <c r="K47" s="158"/>
      <c r="L47" s="158"/>
      <c r="M47" s="158"/>
      <c r="N47" s="158"/>
      <c r="O47" s="158"/>
      <c r="P47" s="158"/>
      <c r="Q47" s="158"/>
      <c r="R47" s="282"/>
      <c r="S47" s="282"/>
      <c r="T47" s="282"/>
      <c r="U47" s="282"/>
      <c r="V47" s="282"/>
      <c r="W47" s="282"/>
      <c r="X47" s="278"/>
      <c r="Y47" s="278"/>
      <c r="Z47" s="278"/>
      <c r="AA47" s="278"/>
      <c r="AB47" s="278"/>
      <c r="AC47" s="278"/>
      <c r="AD47" s="278"/>
      <c r="AE47" s="278"/>
      <c r="AF47" s="278"/>
      <c r="AG47" s="278"/>
      <c r="AH47" s="278"/>
      <c r="AI47" s="278"/>
      <c r="AJ47" s="278"/>
      <c r="AK47" s="278"/>
      <c r="AL47" s="282"/>
      <c r="AM47" s="158"/>
      <c r="AN47" s="158"/>
      <c r="AO47" s="158"/>
      <c r="AP47" s="158"/>
      <c r="AQ47" s="158"/>
      <c r="AR47" s="158"/>
      <c r="AS47" s="843"/>
      <c r="AT47" s="843"/>
      <c r="AU47" s="843"/>
      <c r="AV47" s="843"/>
      <c r="AW47" s="843"/>
      <c r="AX47" s="843"/>
      <c r="AY47" s="843"/>
    </row>
    <row r="48" spans="1:51" ht="15">
      <c r="A48" s="158"/>
      <c r="B48" s="1938" t="s">
        <v>1845</v>
      </c>
      <c r="C48" s="1939"/>
      <c r="D48" s="1939"/>
      <c r="E48" s="1939"/>
      <c r="F48" s="1939"/>
      <c r="G48" s="1939"/>
      <c r="H48" s="1939"/>
      <c r="I48" s="1939"/>
      <c r="J48" s="1939"/>
      <c r="K48" s="1939"/>
      <c r="L48" s="1939"/>
      <c r="M48" s="1939"/>
      <c r="N48" s="1939"/>
      <c r="O48" s="1939"/>
      <c r="P48" s="1939"/>
      <c r="Q48" s="1939"/>
      <c r="R48" s="1939"/>
      <c r="S48" s="1939"/>
      <c r="T48" s="1939"/>
      <c r="U48" s="1939"/>
      <c r="V48" s="1939"/>
      <c r="W48" s="1939"/>
      <c r="X48" s="1939"/>
      <c r="Y48" s="1939"/>
      <c r="Z48" s="1939"/>
      <c r="AA48" s="1939"/>
      <c r="AB48" s="1939"/>
      <c r="AC48" s="1939"/>
      <c r="AD48" s="1939"/>
      <c r="AE48" s="1939"/>
      <c r="AF48" s="1939"/>
      <c r="AG48" s="278"/>
      <c r="AH48" s="278"/>
      <c r="AI48" s="278"/>
      <c r="AJ48" s="278"/>
      <c r="AK48" s="278"/>
      <c r="AL48" s="282"/>
      <c r="AM48" s="158"/>
      <c r="AN48" s="158"/>
      <c r="AO48" s="158"/>
      <c r="AP48" s="158"/>
      <c r="AQ48" s="158"/>
      <c r="AR48" s="158"/>
      <c r="AS48" s="843"/>
      <c r="AT48" s="843"/>
      <c r="AU48" s="843"/>
      <c r="AV48" s="843"/>
      <c r="AW48" s="843"/>
      <c r="AX48" s="843"/>
      <c r="AY48" s="843"/>
    </row>
    <row r="49" spans="1:51" ht="15">
      <c r="A49" s="158"/>
      <c r="B49" s="158"/>
      <c r="C49" s="158"/>
      <c r="D49" s="158"/>
      <c r="E49" s="158"/>
      <c r="F49" s="158"/>
      <c r="G49" s="158"/>
      <c r="H49" s="158"/>
      <c r="I49" s="158"/>
      <c r="J49" s="158"/>
      <c r="K49" s="158"/>
      <c r="L49" s="158"/>
      <c r="M49" s="158"/>
      <c r="N49" s="158"/>
      <c r="O49" s="158"/>
      <c r="P49" s="158"/>
      <c r="Q49" s="158"/>
      <c r="R49" s="282"/>
      <c r="S49" s="282"/>
      <c r="T49" s="282"/>
      <c r="U49" s="282"/>
      <c r="V49" s="282"/>
      <c r="W49" s="282"/>
      <c r="X49" s="278"/>
      <c r="Y49" s="278"/>
      <c r="Z49" s="278"/>
      <c r="AA49" s="278"/>
      <c r="AB49" s="278"/>
      <c r="AC49" s="278"/>
      <c r="AD49" s="278"/>
      <c r="AE49" s="278"/>
      <c r="AF49" s="278"/>
      <c r="AG49" s="278"/>
      <c r="AH49" s="278"/>
      <c r="AI49" s="278"/>
      <c r="AJ49" s="278"/>
      <c r="AK49" s="278"/>
      <c r="AL49" s="282"/>
      <c r="AM49" s="158"/>
      <c r="AN49" s="158"/>
      <c r="AO49" s="158"/>
      <c r="AP49" s="158"/>
      <c r="AQ49" s="843"/>
      <c r="AR49" s="843"/>
      <c r="AS49" s="843"/>
      <c r="AT49" s="843"/>
      <c r="AU49" s="843"/>
      <c r="AV49" s="843"/>
      <c r="AW49" s="843"/>
      <c r="AX49" s="843"/>
      <c r="AY49" s="843"/>
    </row>
    <row r="50" spans="1:51" ht="15" hidden="1">
      <c r="A50" s="158"/>
      <c r="B50" s="158"/>
      <c r="C50" s="158"/>
      <c r="D50" s="158"/>
      <c r="E50" s="158"/>
      <c r="F50" s="158"/>
      <c r="G50" s="158"/>
      <c r="H50" s="158"/>
      <c r="I50" s="158"/>
      <c r="J50" s="158"/>
      <c r="K50" s="158"/>
      <c r="L50" s="158"/>
      <c r="M50" s="158"/>
      <c r="N50" s="158"/>
      <c r="O50" s="158"/>
      <c r="P50" s="158"/>
      <c r="Q50" s="158"/>
      <c r="R50" s="282"/>
      <c r="S50" s="282"/>
      <c r="T50" s="282"/>
      <c r="U50" s="282"/>
      <c r="V50" s="282"/>
      <c r="W50" s="282"/>
      <c r="X50" s="278"/>
      <c r="Y50" s="278"/>
      <c r="Z50" s="278"/>
      <c r="AA50" s="278"/>
      <c r="AB50" s="278"/>
      <c r="AC50" s="278"/>
      <c r="AD50" s="278"/>
      <c r="AE50" s="278"/>
      <c r="AF50" s="278"/>
      <c r="AG50" s="278"/>
      <c r="AH50" s="278"/>
      <c r="AI50" s="278"/>
      <c r="AJ50" s="278"/>
      <c r="AK50" s="278"/>
      <c r="AL50" s="282"/>
      <c r="AM50" s="158"/>
      <c r="AN50" s="158"/>
      <c r="AO50" s="158"/>
      <c r="AP50" s="158"/>
      <c r="AQ50" s="843"/>
      <c r="AR50" s="843"/>
      <c r="AS50" s="843"/>
      <c r="AT50" s="843"/>
      <c r="AU50" s="843"/>
      <c r="AV50" s="843"/>
      <c r="AW50" s="843"/>
      <c r="AX50" s="843"/>
      <c r="AY50" s="843"/>
    </row>
    <row r="51" spans="1:51" ht="15" hidden="1">
      <c r="A51" s="158"/>
      <c r="B51" s="158"/>
      <c r="C51" s="158"/>
      <c r="D51" s="158"/>
      <c r="E51" s="158"/>
      <c r="F51" s="158"/>
      <c r="G51" s="158"/>
      <c r="H51" s="158"/>
      <c r="I51" s="158"/>
      <c r="J51" s="158"/>
      <c r="K51" s="158"/>
      <c r="L51" s="158"/>
      <c r="M51" s="158"/>
      <c r="N51" s="158"/>
      <c r="O51" s="158"/>
      <c r="P51" s="158"/>
      <c r="Q51" s="158"/>
      <c r="R51" s="282"/>
      <c r="S51" s="282"/>
      <c r="T51" s="282"/>
      <c r="U51" s="282"/>
      <c r="V51" s="282"/>
      <c r="W51" s="282"/>
      <c r="X51" s="278"/>
      <c r="Y51" s="278"/>
      <c r="Z51" s="278"/>
      <c r="AA51" s="278"/>
      <c r="AB51" s="278"/>
      <c r="AC51" s="278"/>
      <c r="AD51" s="278"/>
      <c r="AE51" s="278"/>
      <c r="AF51" s="278"/>
      <c r="AG51" s="278"/>
      <c r="AH51" s="278"/>
      <c r="AI51" s="278"/>
      <c r="AJ51" s="278"/>
      <c r="AK51" s="278"/>
      <c r="AL51" s="282"/>
      <c r="AM51" s="158"/>
      <c r="AN51" s="158"/>
      <c r="AO51" s="158"/>
      <c r="AP51" s="158"/>
      <c r="AQ51" s="843"/>
      <c r="AR51" s="843"/>
      <c r="AS51" s="843"/>
      <c r="AT51" s="843"/>
      <c r="AU51" s="843"/>
      <c r="AV51" s="843"/>
      <c r="AW51" s="843"/>
      <c r="AX51" s="843"/>
      <c r="AY51" s="843"/>
    </row>
    <row r="52" spans="1:51" ht="15" hidden="1">
      <c r="A52" s="158"/>
      <c r="B52" s="158"/>
      <c r="C52" s="158"/>
      <c r="D52" s="158"/>
      <c r="E52" s="158"/>
      <c r="F52" s="158"/>
      <c r="G52" s="158"/>
      <c r="H52" s="158"/>
      <c r="I52" s="158"/>
      <c r="J52" s="158"/>
      <c r="K52" s="158"/>
      <c r="L52" s="158"/>
      <c r="M52" s="158"/>
      <c r="N52" s="158"/>
      <c r="O52" s="158"/>
      <c r="P52" s="158"/>
      <c r="Q52" s="158"/>
      <c r="R52" s="282"/>
      <c r="S52" s="282"/>
      <c r="T52" s="282"/>
      <c r="U52" s="282"/>
      <c r="V52" s="282"/>
      <c r="W52" s="282"/>
      <c r="X52" s="278"/>
      <c r="Y52" s="278"/>
      <c r="Z52" s="278"/>
      <c r="AA52" s="278"/>
      <c r="AB52" s="278"/>
      <c r="AC52" s="278"/>
      <c r="AD52" s="278"/>
      <c r="AE52" s="278"/>
      <c r="AF52" s="278"/>
      <c r="AG52" s="278"/>
      <c r="AH52" s="278"/>
      <c r="AI52" s="278"/>
      <c r="AJ52" s="278"/>
      <c r="AK52" s="278"/>
      <c r="AL52" s="282"/>
      <c r="AM52" s="158"/>
      <c r="AN52" s="158"/>
      <c r="AO52" s="158"/>
      <c r="AP52" s="158"/>
      <c r="AQ52" s="843"/>
      <c r="AR52" s="843"/>
      <c r="AS52" s="843"/>
      <c r="AT52" s="843"/>
      <c r="AU52" s="843"/>
      <c r="AV52" s="843"/>
      <c r="AW52" s="843"/>
      <c r="AX52" s="843"/>
      <c r="AY52" s="843"/>
    </row>
    <row r="53" spans="1:51" ht="15" hidden="1">
      <c r="A53" s="158"/>
      <c r="B53" s="158"/>
      <c r="C53" s="158"/>
      <c r="D53" s="158"/>
      <c r="E53" s="158"/>
      <c r="F53" s="158"/>
      <c r="G53" s="158"/>
      <c r="H53" s="158"/>
      <c r="I53" s="158"/>
      <c r="J53" s="158"/>
      <c r="K53" s="158"/>
      <c r="L53" s="158"/>
      <c r="M53" s="158"/>
      <c r="N53" s="158"/>
      <c r="O53" s="158"/>
      <c r="P53" s="158"/>
      <c r="Q53" s="158"/>
      <c r="R53" s="282"/>
      <c r="S53" s="282"/>
      <c r="T53" s="282"/>
      <c r="U53" s="282"/>
      <c r="V53" s="282"/>
      <c r="W53" s="282"/>
      <c r="X53" s="278"/>
      <c r="Y53" s="278"/>
      <c r="Z53" s="278"/>
      <c r="AA53" s="278"/>
      <c r="AB53" s="278"/>
      <c r="AC53" s="278"/>
      <c r="AD53" s="278"/>
      <c r="AE53" s="278"/>
      <c r="AF53" s="278"/>
      <c r="AG53" s="278"/>
      <c r="AH53" s="278"/>
      <c r="AI53" s="278"/>
      <c r="AJ53" s="278"/>
      <c r="AK53" s="278"/>
      <c r="AL53" s="282"/>
      <c r="AM53" s="158"/>
      <c r="AN53" s="158"/>
      <c r="AO53" s="158"/>
      <c r="AP53" s="158"/>
      <c r="AQ53" s="843"/>
      <c r="AR53" s="843"/>
      <c r="AS53" s="843"/>
      <c r="AT53" s="843"/>
      <c r="AU53" s="843"/>
      <c r="AV53" s="843"/>
      <c r="AW53" s="843"/>
      <c r="AX53" s="843"/>
      <c r="AY53" s="843"/>
    </row>
    <row r="54" spans="1:51" ht="15" hidden="1">
      <c r="A54" s="158"/>
      <c r="B54" s="158"/>
      <c r="C54" s="158"/>
      <c r="D54" s="158"/>
      <c r="E54" s="158"/>
      <c r="F54" s="158"/>
      <c r="G54" s="158"/>
      <c r="H54" s="158"/>
      <c r="I54" s="158"/>
      <c r="J54" s="158"/>
      <c r="K54" s="158"/>
      <c r="L54" s="158"/>
      <c r="M54" s="158"/>
      <c r="N54" s="158"/>
      <c r="O54" s="158"/>
      <c r="P54" s="158"/>
      <c r="Q54" s="158"/>
      <c r="R54" s="282"/>
      <c r="S54" s="282"/>
      <c r="T54" s="282"/>
      <c r="U54" s="282"/>
      <c r="V54" s="282"/>
      <c r="W54" s="282"/>
      <c r="X54" s="278"/>
      <c r="Y54" s="278"/>
      <c r="Z54" s="278"/>
      <c r="AA54" s="278"/>
      <c r="AB54" s="278"/>
      <c r="AC54" s="278"/>
      <c r="AD54" s="278"/>
      <c r="AE54" s="278"/>
      <c r="AF54" s="278"/>
      <c r="AG54" s="278"/>
      <c r="AH54" s="278"/>
      <c r="AI54" s="278"/>
      <c r="AJ54" s="278"/>
      <c r="AK54" s="278"/>
      <c r="AL54" s="282"/>
      <c r="AM54" s="158"/>
      <c r="AN54" s="158"/>
      <c r="AO54" s="158"/>
      <c r="AP54" s="158"/>
      <c r="AQ54" s="843"/>
      <c r="AR54" s="843"/>
      <c r="AS54" s="843"/>
      <c r="AT54" s="843"/>
      <c r="AU54" s="843"/>
      <c r="AV54" s="843"/>
      <c r="AW54" s="843"/>
      <c r="AX54" s="843"/>
      <c r="AY54" s="843"/>
    </row>
    <row r="55" spans="1:51" ht="15" hidden="1">
      <c r="A55" s="158"/>
      <c r="B55" s="158"/>
      <c r="C55" s="158"/>
      <c r="D55" s="158"/>
      <c r="E55" s="158"/>
      <c r="F55" s="158"/>
      <c r="G55" s="158"/>
      <c r="H55" s="158"/>
      <c r="I55" s="158"/>
      <c r="J55" s="158"/>
      <c r="K55" s="158"/>
      <c r="L55" s="158"/>
      <c r="M55" s="158"/>
      <c r="N55" s="158"/>
      <c r="O55" s="158"/>
      <c r="P55" s="158"/>
      <c r="Q55" s="158"/>
      <c r="R55" s="282"/>
      <c r="S55" s="282"/>
      <c r="T55" s="282"/>
      <c r="U55" s="282"/>
      <c r="V55" s="282"/>
      <c r="W55" s="282"/>
      <c r="X55" s="278"/>
      <c r="Y55" s="278"/>
      <c r="Z55" s="278"/>
      <c r="AA55" s="278"/>
      <c r="AB55" s="278"/>
      <c r="AC55" s="278"/>
      <c r="AD55" s="278"/>
      <c r="AE55" s="278"/>
      <c r="AF55" s="278"/>
      <c r="AG55" s="278"/>
      <c r="AH55" s="278"/>
      <c r="AI55" s="278"/>
      <c r="AJ55" s="278"/>
      <c r="AK55" s="278"/>
      <c r="AL55" s="282"/>
      <c r="AM55" s="158"/>
      <c r="AN55" s="158"/>
      <c r="AO55" s="158"/>
      <c r="AP55" s="158"/>
      <c r="AQ55" s="843"/>
      <c r="AR55" s="843"/>
      <c r="AS55" s="843"/>
      <c r="AT55" s="843"/>
      <c r="AU55" s="843"/>
      <c r="AV55" s="843"/>
      <c r="AW55" s="843"/>
      <c r="AX55" s="843"/>
      <c r="AY55" s="843"/>
    </row>
    <row r="56" spans="1:51" ht="15" hidden="1">
      <c r="A56" s="158"/>
      <c r="B56" s="158"/>
      <c r="C56" s="158"/>
      <c r="D56" s="158"/>
      <c r="E56" s="158"/>
      <c r="F56" s="158"/>
      <c r="G56" s="158"/>
      <c r="H56" s="158"/>
      <c r="I56" s="158"/>
      <c r="J56" s="158"/>
      <c r="K56" s="158"/>
      <c r="L56" s="158"/>
      <c r="M56" s="158"/>
      <c r="N56" s="158"/>
      <c r="O56" s="158"/>
      <c r="P56" s="158"/>
      <c r="Q56" s="158"/>
      <c r="R56" s="282"/>
      <c r="S56" s="282"/>
      <c r="T56" s="282"/>
      <c r="U56" s="282"/>
      <c r="V56" s="282"/>
      <c r="W56" s="282"/>
      <c r="X56" s="278"/>
      <c r="Y56" s="278"/>
      <c r="Z56" s="278"/>
      <c r="AA56" s="278"/>
      <c r="AB56" s="278"/>
      <c r="AC56" s="278"/>
      <c r="AD56" s="278"/>
      <c r="AE56" s="278"/>
      <c r="AF56" s="278"/>
      <c r="AG56" s="278"/>
      <c r="AH56" s="278"/>
      <c r="AI56" s="278"/>
      <c r="AJ56" s="278"/>
      <c r="AK56" s="278"/>
      <c r="AL56" s="282"/>
      <c r="AM56" s="158"/>
      <c r="AN56" s="158"/>
      <c r="AO56" s="158"/>
      <c r="AP56" s="158"/>
      <c r="AQ56" s="843"/>
      <c r="AR56" s="843"/>
      <c r="AS56" s="843"/>
      <c r="AT56" s="843"/>
      <c r="AU56" s="843"/>
      <c r="AV56" s="843"/>
      <c r="AW56" s="843"/>
      <c r="AX56" s="843"/>
      <c r="AY56" s="843"/>
    </row>
    <row r="57" spans="1:51" ht="15" hidden="1">
      <c r="A57" s="167"/>
      <c r="B57" s="167"/>
      <c r="C57" s="167"/>
      <c r="D57" s="167"/>
      <c r="E57" s="167"/>
      <c r="F57" s="167"/>
      <c r="G57" s="167"/>
      <c r="H57" s="167"/>
      <c r="I57" s="167"/>
      <c r="J57" s="167"/>
      <c r="K57" s="167"/>
      <c r="L57" s="167"/>
      <c r="M57" s="167"/>
      <c r="N57" s="167"/>
      <c r="O57" s="197"/>
      <c r="P57" s="198"/>
      <c r="Q57" s="199"/>
      <c r="R57" s="198"/>
      <c r="S57" s="198"/>
      <c r="T57" s="198"/>
      <c r="U57" s="198"/>
      <c r="V57" s="198"/>
      <c r="W57" s="198"/>
      <c r="X57" s="196"/>
      <c r="Y57" s="196"/>
      <c r="Z57" s="196"/>
      <c r="AA57" s="196"/>
      <c r="AB57" s="196"/>
      <c r="AC57" s="196"/>
      <c r="AD57" s="196"/>
      <c r="AE57" s="196"/>
      <c r="AF57" s="196"/>
      <c r="AG57" s="564"/>
      <c r="AH57" s="564"/>
      <c r="AI57" s="564"/>
      <c r="AJ57" s="564"/>
      <c r="AK57" s="564"/>
      <c r="AL57" s="210"/>
      <c r="AM57" s="167"/>
      <c r="AN57" s="167"/>
      <c r="AO57" s="167"/>
      <c r="AP57" s="167"/>
      <c r="AQ57" s="843"/>
      <c r="AR57" s="843"/>
      <c r="AS57" s="843"/>
      <c r="AT57" s="843"/>
      <c r="AU57" s="843"/>
      <c r="AV57" s="843"/>
      <c r="AW57" s="843"/>
      <c r="AX57" s="843"/>
      <c r="AY57" s="843"/>
    </row>
    <row r="58" spans="1:51" ht="15" hidden="1">
      <c r="A58" s="167"/>
      <c r="B58" s="167"/>
      <c r="C58" s="167"/>
      <c r="D58" s="167"/>
      <c r="E58" s="167"/>
      <c r="F58" s="167"/>
      <c r="G58" s="167"/>
      <c r="H58" s="167"/>
      <c r="I58" s="167"/>
      <c r="J58" s="167"/>
      <c r="K58" s="167"/>
      <c r="L58" s="167"/>
      <c r="M58" s="167"/>
      <c r="N58" s="167"/>
      <c r="O58" s="197"/>
      <c r="P58" s="198"/>
      <c r="Q58" s="199"/>
      <c r="R58" s="198"/>
      <c r="S58" s="198"/>
      <c r="T58" s="198"/>
      <c r="U58" s="198"/>
      <c r="V58" s="198"/>
      <c r="W58" s="198"/>
      <c r="X58" s="196"/>
      <c r="Y58" s="196"/>
      <c r="Z58" s="196"/>
      <c r="AA58" s="196"/>
      <c r="AB58" s="196"/>
      <c r="AC58" s="196"/>
      <c r="AD58" s="196"/>
      <c r="AE58" s="196"/>
      <c r="AF58" s="196"/>
      <c r="AG58" s="564"/>
      <c r="AH58" s="564"/>
      <c r="AI58" s="564"/>
      <c r="AJ58" s="564"/>
      <c r="AK58" s="564"/>
      <c r="AL58" s="210"/>
      <c r="AM58" s="167"/>
      <c r="AN58" s="167"/>
      <c r="AO58" s="167"/>
      <c r="AP58" s="167"/>
      <c r="AQ58" s="843"/>
      <c r="AR58" s="843"/>
      <c r="AS58" s="843"/>
      <c r="AT58" s="843"/>
      <c r="AU58" s="843"/>
      <c r="AV58" s="843"/>
      <c r="AW58" s="843"/>
      <c r="AX58" s="843"/>
      <c r="AY58" s="843"/>
    </row>
    <row r="59" spans="1:51" ht="15" hidden="1">
      <c r="A59" s="167"/>
      <c r="B59" s="167"/>
      <c r="C59" s="167"/>
      <c r="D59" s="167"/>
      <c r="E59" s="167"/>
      <c r="F59" s="167"/>
      <c r="G59" s="167"/>
      <c r="H59" s="167"/>
      <c r="I59" s="167"/>
      <c r="J59" s="167"/>
      <c r="K59" s="167"/>
      <c r="L59" s="167"/>
      <c r="M59" s="167"/>
      <c r="N59" s="167"/>
      <c r="O59" s="197"/>
      <c r="P59" s="198"/>
      <c r="Q59" s="199"/>
      <c r="R59" s="198"/>
      <c r="S59" s="198"/>
      <c r="T59" s="198"/>
      <c r="U59" s="198"/>
      <c r="V59" s="198"/>
      <c r="W59" s="198"/>
      <c r="X59" s="196"/>
      <c r="Y59" s="196"/>
      <c r="Z59" s="196"/>
      <c r="AA59" s="196"/>
      <c r="AB59" s="196"/>
      <c r="AC59" s="196"/>
      <c r="AD59" s="196"/>
      <c r="AE59" s="196"/>
      <c r="AF59" s="196"/>
      <c r="AG59" s="564"/>
      <c r="AH59" s="564"/>
      <c r="AI59" s="564"/>
      <c r="AJ59" s="564"/>
      <c r="AK59" s="564"/>
      <c r="AL59" s="210"/>
      <c r="AM59" s="167"/>
      <c r="AN59" s="167"/>
      <c r="AO59" s="167"/>
      <c r="AP59" s="167"/>
      <c r="AQ59" s="843"/>
      <c r="AR59" s="843"/>
      <c r="AS59" s="843"/>
      <c r="AT59" s="843"/>
      <c r="AU59" s="843"/>
      <c r="AV59" s="843"/>
      <c r="AW59" s="843"/>
      <c r="AX59" s="843"/>
      <c r="AY59" s="843"/>
    </row>
    <row r="60" spans="1:51" ht="15">
      <c r="A60" s="167"/>
      <c r="B60" s="286" t="s">
        <v>26</v>
      </c>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564"/>
      <c r="AH60" s="564"/>
      <c r="AI60" s="564"/>
      <c r="AJ60" s="564"/>
      <c r="AK60" s="564"/>
      <c r="AL60" s="210"/>
      <c r="AM60" s="167"/>
      <c r="AN60" s="167"/>
      <c r="AO60" s="167"/>
      <c r="AP60" s="167"/>
      <c r="AQ60" s="843"/>
      <c r="AR60" s="843"/>
      <c r="AS60" s="843"/>
      <c r="AT60" s="843"/>
      <c r="AU60" s="843"/>
      <c r="AV60" s="843"/>
      <c r="AW60" s="843"/>
      <c r="AX60" s="843"/>
      <c r="AY60" s="843"/>
    </row>
    <row r="61" spans="1:51" ht="15">
      <c r="A61" s="167"/>
      <c r="B61" s="190" t="s">
        <v>1846</v>
      </c>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564"/>
      <c r="AH61" s="564"/>
      <c r="AI61" s="564"/>
      <c r="AJ61" s="564"/>
      <c r="AK61" s="564"/>
      <c r="AL61" s="210"/>
      <c r="AM61" s="210"/>
      <c r="AN61" s="167"/>
      <c r="AO61" s="167"/>
      <c r="AP61" s="167"/>
      <c r="AQ61" s="843"/>
      <c r="AR61" s="843"/>
      <c r="AS61" s="843"/>
      <c r="AT61" s="843"/>
      <c r="AU61" s="843"/>
      <c r="AV61" s="843"/>
      <c r="AW61" s="843"/>
      <c r="AX61" s="843"/>
      <c r="AY61" s="843"/>
    </row>
    <row r="62" spans="1:51" ht="15">
      <c r="A62" s="167"/>
      <c r="B62" s="562"/>
      <c r="C62" s="562"/>
      <c r="D62" s="562"/>
      <c r="E62" s="562"/>
      <c r="F62" s="562"/>
      <c r="G62" s="562"/>
      <c r="H62" s="562"/>
      <c r="I62" s="562"/>
      <c r="J62" s="562"/>
      <c r="K62" s="562"/>
      <c r="L62" s="562"/>
      <c r="M62" s="562"/>
      <c r="N62" s="562"/>
      <c r="O62" s="561"/>
      <c r="P62" s="194"/>
      <c r="Q62" s="194"/>
      <c r="R62" s="194"/>
      <c r="S62" s="194"/>
      <c r="T62" s="194"/>
      <c r="U62" s="194"/>
      <c r="V62" s="194"/>
      <c r="W62" s="194"/>
      <c r="X62" s="195"/>
      <c r="Y62" s="196"/>
      <c r="Z62" s="196"/>
      <c r="AA62" s="196"/>
      <c r="AB62" s="196"/>
      <c r="AC62" s="196"/>
      <c r="AD62" s="196"/>
      <c r="AE62" s="196"/>
      <c r="AF62" s="196"/>
      <c r="AG62" s="564"/>
      <c r="AH62" s="564"/>
      <c r="AI62" s="564"/>
      <c r="AJ62" s="564"/>
      <c r="AK62" s="564"/>
      <c r="AL62" s="210"/>
      <c r="AM62" s="210"/>
      <c r="AN62" s="167"/>
      <c r="AO62" s="167"/>
      <c r="AP62" s="167"/>
      <c r="AQ62" s="843"/>
      <c r="AR62" s="843"/>
      <c r="AS62" s="843"/>
      <c r="AT62" s="843"/>
      <c r="AU62" s="843"/>
      <c r="AV62" s="843"/>
      <c r="AW62" s="843"/>
      <c r="AX62" s="843"/>
      <c r="AY62" s="843"/>
    </row>
    <row r="63" spans="1:51" ht="15">
      <c r="A63" s="167"/>
      <c r="B63" s="158" t="s">
        <v>1847</v>
      </c>
      <c r="C63" s="158"/>
      <c r="D63" s="158"/>
      <c r="E63" s="167"/>
      <c r="F63" s="167"/>
      <c r="G63" s="167"/>
      <c r="H63" s="167"/>
      <c r="I63" s="167"/>
      <c r="J63" s="167"/>
      <c r="K63" s="167"/>
      <c r="L63" s="167"/>
      <c r="M63" s="167"/>
      <c r="N63" s="167"/>
      <c r="O63" s="197"/>
      <c r="P63" s="198"/>
      <c r="Q63" s="199"/>
      <c r="R63" s="559">
        <v>1995</v>
      </c>
      <c r="S63" s="559">
        <v>1996</v>
      </c>
      <c r="T63" s="559">
        <v>1997</v>
      </c>
      <c r="U63" s="559">
        <v>1998</v>
      </c>
      <c r="V63" s="559">
        <v>1999</v>
      </c>
      <c r="W63" s="559">
        <v>2000</v>
      </c>
      <c r="X63" s="1121">
        <v>2001</v>
      </c>
      <c r="Y63" s="1121">
        <v>2002</v>
      </c>
      <c r="Z63" s="1121">
        <v>2003</v>
      </c>
      <c r="AA63" s="1121">
        <v>2004</v>
      </c>
      <c r="AB63" s="1121">
        <v>2005</v>
      </c>
      <c r="AC63" s="1121">
        <v>2006</v>
      </c>
      <c r="AD63" s="1121">
        <v>2007</v>
      </c>
      <c r="AE63" s="1121">
        <v>2008</v>
      </c>
      <c r="AF63" s="1121">
        <v>2009</v>
      </c>
      <c r="AG63" s="1121">
        <v>2010</v>
      </c>
      <c r="AH63" s="1121">
        <v>2011</v>
      </c>
      <c r="AI63" s="1121">
        <v>2012</v>
      </c>
      <c r="AJ63" s="1121">
        <v>2013</v>
      </c>
      <c r="AK63" s="1121">
        <v>2014</v>
      </c>
      <c r="AL63" s="1121">
        <v>2015</v>
      </c>
      <c r="AM63" s="1121">
        <v>2016</v>
      </c>
      <c r="AN63" s="1121">
        <v>2017</v>
      </c>
      <c r="AO63" s="1121">
        <v>2018</v>
      </c>
      <c r="AP63" s="1121">
        <v>2019</v>
      </c>
      <c r="AQ63" s="1121">
        <v>2020</v>
      </c>
      <c r="AR63" s="1121">
        <v>2021</v>
      </c>
      <c r="AS63" s="843"/>
      <c r="AT63" s="843"/>
      <c r="AU63" s="843"/>
      <c r="AV63" s="843"/>
      <c r="AW63" s="843"/>
      <c r="AX63" s="843"/>
      <c r="AY63" s="843"/>
    </row>
    <row r="64" spans="1:51" ht="15">
      <c r="A64" s="167"/>
      <c r="B64" s="158" t="s">
        <v>1848</v>
      </c>
      <c r="C64" s="158"/>
      <c r="D64" s="158"/>
      <c r="E64" s="167"/>
      <c r="F64" s="167"/>
      <c r="G64" s="167"/>
      <c r="H64" s="167"/>
      <c r="I64" s="167"/>
      <c r="J64" s="167"/>
      <c r="K64" s="167"/>
      <c r="L64" s="167"/>
      <c r="M64" s="167"/>
      <c r="N64" s="167"/>
      <c r="O64" s="197"/>
      <c r="P64" s="198"/>
      <c r="Q64" s="199"/>
      <c r="R64" s="198"/>
      <c r="S64" s="198"/>
      <c r="T64" s="198"/>
      <c r="U64" s="198"/>
      <c r="V64" s="198"/>
      <c r="W64" s="198"/>
      <c r="X64" s="276"/>
      <c r="Y64" s="291"/>
      <c r="Z64" s="276"/>
      <c r="AA64" s="291"/>
      <c r="AB64" s="276"/>
      <c r="AC64" s="276"/>
      <c r="AD64" s="276"/>
      <c r="AE64" s="291"/>
      <c r="AF64" s="276"/>
      <c r="AG64" s="276"/>
      <c r="AH64" s="276"/>
      <c r="AI64" s="564"/>
      <c r="AJ64" s="564"/>
      <c r="AK64" s="564"/>
      <c r="AL64" s="210"/>
      <c r="AM64" s="210"/>
      <c r="AN64" s="167"/>
      <c r="AO64" s="167"/>
      <c r="AP64" s="167"/>
      <c r="AQ64" s="843"/>
      <c r="AR64" s="843"/>
      <c r="AS64" s="843"/>
      <c r="AT64" s="843"/>
      <c r="AU64" s="843"/>
      <c r="AV64" s="843"/>
      <c r="AW64" s="843"/>
      <c r="AX64" s="843"/>
      <c r="AY64" s="843"/>
    </row>
    <row r="65" spans="1:51" ht="15">
      <c r="A65" s="167"/>
      <c r="B65" s="308" t="s">
        <v>28</v>
      </c>
      <c r="C65" s="158" t="s">
        <v>29</v>
      </c>
      <c r="D65" s="158"/>
      <c r="E65" s="167"/>
      <c r="F65" s="167"/>
      <c r="G65" s="167"/>
      <c r="H65" s="167"/>
      <c r="I65" s="167"/>
      <c r="J65" s="167"/>
      <c r="K65" s="167"/>
      <c r="L65" s="167"/>
      <c r="M65" s="167"/>
      <c r="N65" s="167"/>
      <c r="O65" s="197"/>
      <c r="P65" s="198"/>
      <c r="Q65" s="199"/>
      <c r="R65" s="198"/>
      <c r="S65" s="198"/>
      <c r="T65" s="198"/>
      <c r="U65" s="198"/>
      <c r="V65" s="198"/>
      <c r="W65" s="198"/>
      <c r="X65" s="285"/>
      <c r="Y65" s="276"/>
      <c r="Z65" s="285"/>
      <c r="AA65" s="276"/>
      <c r="AB65" s="285"/>
      <c r="AC65" s="285"/>
      <c r="AD65" s="285"/>
      <c r="AE65" s="843"/>
      <c r="AF65" s="843"/>
      <c r="AG65" s="283">
        <v>12950245.188999999</v>
      </c>
      <c r="AH65" s="283">
        <v>14419471.970000001</v>
      </c>
      <c r="AI65" s="283">
        <v>15938569.443</v>
      </c>
      <c r="AJ65" s="283">
        <v>16846917.831</v>
      </c>
      <c r="AK65" s="283">
        <v>18545546.681000002</v>
      </c>
      <c r="AL65" s="283">
        <v>19596141.697000001</v>
      </c>
      <c r="AM65" s="283">
        <v>20535471.568999998</v>
      </c>
      <c r="AN65" s="197">
        <v>22365798.52</v>
      </c>
      <c r="AO65" s="197">
        <v>23343665.105999999</v>
      </c>
      <c r="AP65" s="197">
        <v>24175439.541000001</v>
      </c>
      <c r="AQ65" s="283">
        <v>23035505</v>
      </c>
      <c r="AR65" s="1167"/>
      <c r="AS65" s="843"/>
      <c r="AT65" s="843"/>
      <c r="AU65" s="843"/>
      <c r="AV65" s="843"/>
      <c r="AW65" s="843"/>
      <c r="AX65" s="843"/>
      <c r="AY65" s="843"/>
    </row>
    <row r="66" spans="1:51" ht="15">
      <c r="A66" s="167"/>
      <c r="B66" s="158"/>
      <c r="C66" s="158"/>
      <c r="D66" s="158"/>
      <c r="E66" s="167"/>
      <c r="F66" s="167"/>
      <c r="G66" s="167"/>
      <c r="H66" s="167"/>
      <c r="I66" s="167"/>
      <c r="J66" s="167"/>
      <c r="K66" s="167"/>
      <c r="L66" s="167"/>
      <c r="M66" s="167"/>
      <c r="N66" s="167"/>
      <c r="O66" s="197"/>
      <c r="P66" s="198"/>
      <c r="Q66" s="199"/>
      <c r="R66" s="198"/>
      <c r="S66" s="198"/>
      <c r="T66" s="198"/>
      <c r="U66" s="198"/>
      <c r="V66" s="198"/>
      <c r="W66" s="198"/>
      <c r="X66" s="285"/>
      <c r="Y66" s="276"/>
      <c r="Z66" s="285"/>
      <c r="AA66" s="276"/>
      <c r="AB66" s="285"/>
      <c r="AC66" s="285"/>
      <c r="AD66" s="285"/>
      <c r="AE66" s="843"/>
      <c r="AF66" s="843"/>
      <c r="AG66" s="283"/>
      <c r="AH66" s="283"/>
      <c r="AI66" s="283"/>
      <c r="AJ66" s="283"/>
      <c r="AK66" s="283"/>
      <c r="AL66" s="283"/>
      <c r="AM66" s="283"/>
      <c r="AN66" s="197"/>
      <c r="AO66" s="197"/>
      <c r="AP66" s="197"/>
      <c r="AQ66" s="283"/>
      <c r="AR66" s="1167"/>
      <c r="AS66" s="843"/>
      <c r="AT66" s="843"/>
      <c r="AU66" s="843"/>
      <c r="AV66" s="843"/>
      <c r="AW66" s="843"/>
      <c r="AX66" s="843"/>
      <c r="AY66" s="843"/>
    </row>
    <row r="67" spans="1:51" ht="15">
      <c r="A67" s="167"/>
      <c r="B67" s="308" t="s">
        <v>30</v>
      </c>
      <c r="C67" s="158" t="s">
        <v>31</v>
      </c>
      <c r="D67" s="158"/>
      <c r="E67" s="167"/>
      <c r="F67" s="167"/>
      <c r="G67" s="167"/>
      <c r="H67" s="167"/>
      <c r="I67" s="167"/>
      <c r="J67" s="167"/>
      <c r="K67" s="167"/>
      <c r="L67" s="167"/>
      <c r="M67" s="167"/>
      <c r="N67" s="167"/>
      <c r="O67" s="197"/>
      <c r="P67" s="198"/>
      <c r="Q67" s="199"/>
      <c r="R67" s="198"/>
      <c r="S67" s="198"/>
      <c r="T67" s="198"/>
      <c r="U67" s="198"/>
      <c r="V67" s="198"/>
      <c r="W67" s="198"/>
      <c r="X67" s="285"/>
      <c r="Y67" s="276"/>
      <c r="Z67" s="285"/>
      <c r="AA67" s="276"/>
      <c r="AB67" s="285"/>
      <c r="AC67" s="285"/>
      <c r="AD67" s="285"/>
      <c r="AE67" s="843"/>
      <c r="AF67" s="843"/>
      <c r="AG67" s="283">
        <v>13487886.181999998</v>
      </c>
      <c r="AH67" s="283">
        <v>15045334.459999999</v>
      </c>
      <c r="AI67" s="283">
        <v>16605401.927000001</v>
      </c>
      <c r="AJ67" s="283">
        <v>17577659.380999997</v>
      </c>
      <c r="AK67" s="283">
        <v>19391223.837000001</v>
      </c>
      <c r="AL67" s="283">
        <v>20515962.776000001</v>
      </c>
      <c r="AM67" s="283">
        <v>21505876.500999998</v>
      </c>
      <c r="AN67" s="197">
        <v>23375795.318</v>
      </c>
      <c r="AO67" s="197">
        <v>24456299.214000002</v>
      </c>
      <c r="AP67" s="197">
        <v>25466204.215</v>
      </c>
      <c r="AQ67" s="283">
        <v>24347938.800000001</v>
      </c>
      <c r="AR67" s="1167"/>
      <c r="AS67" s="843"/>
      <c r="AT67" s="843"/>
      <c r="AU67" s="843"/>
      <c r="AV67" s="843"/>
      <c r="AW67" s="843"/>
      <c r="AX67" s="843"/>
      <c r="AY67" s="843"/>
    </row>
    <row r="68" spans="1:51" ht="15">
      <c r="A68" s="167"/>
      <c r="B68" s="158"/>
      <c r="C68" s="158"/>
      <c r="D68" s="158"/>
      <c r="E68" s="167"/>
      <c r="F68" s="167"/>
      <c r="G68" s="167"/>
      <c r="H68" s="167"/>
      <c r="I68" s="167"/>
      <c r="J68" s="167"/>
      <c r="K68" s="167"/>
      <c r="L68" s="167"/>
      <c r="M68" s="167"/>
      <c r="N68" s="167"/>
      <c r="O68" s="197"/>
      <c r="P68" s="198"/>
      <c r="Q68" s="199"/>
      <c r="R68" s="198"/>
      <c r="S68" s="198"/>
      <c r="T68" s="198"/>
      <c r="U68" s="198"/>
      <c r="V68" s="198"/>
      <c r="W68" s="198"/>
      <c r="X68" s="276"/>
      <c r="Y68" s="276"/>
      <c r="Z68" s="276"/>
      <c r="AA68" s="276"/>
      <c r="AB68" s="276"/>
      <c r="AC68" s="276"/>
      <c r="AD68" s="276"/>
      <c r="AE68" s="843"/>
      <c r="AF68" s="843"/>
      <c r="AG68" s="283"/>
      <c r="AH68" s="283"/>
      <c r="AI68" s="283"/>
      <c r="AJ68" s="283"/>
      <c r="AK68" s="283"/>
      <c r="AL68" s="283"/>
      <c r="AM68" s="283"/>
      <c r="AN68" s="197"/>
      <c r="AO68" s="197"/>
      <c r="AP68" s="197"/>
      <c r="AQ68" s="283"/>
      <c r="AR68" s="1167"/>
      <c r="AS68" s="843"/>
      <c r="AT68" s="843"/>
      <c r="AU68" s="843"/>
      <c r="AV68" s="843"/>
      <c r="AW68" s="843"/>
      <c r="AX68" s="843"/>
      <c r="AY68" s="843"/>
    </row>
    <row r="69" spans="1:51" ht="15">
      <c r="A69" s="167"/>
      <c r="B69" s="308" t="s">
        <v>32</v>
      </c>
      <c r="C69" s="158" t="s">
        <v>33</v>
      </c>
      <c r="D69" s="158"/>
      <c r="E69" s="167"/>
      <c r="F69" s="167"/>
      <c r="G69" s="167"/>
      <c r="H69" s="167"/>
      <c r="I69" s="167"/>
      <c r="J69" s="167"/>
      <c r="K69" s="167"/>
      <c r="L69" s="167"/>
      <c r="M69" s="167"/>
      <c r="N69" s="167"/>
      <c r="O69" s="197"/>
      <c r="P69" s="198"/>
      <c r="Q69" s="199"/>
      <c r="R69" s="198"/>
      <c r="S69" s="198"/>
      <c r="T69" s="198"/>
      <c r="U69" s="198"/>
      <c r="V69" s="198"/>
      <c r="W69" s="198"/>
      <c r="X69" s="285"/>
      <c r="Y69" s="276"/>
      <c r="Z69" s="285"/>
      <c r="AA69" s="276"/>
      <c r="AB69" s="285"/>
      <c r="AC69" s="285"/>
      <c r="AD69" s="285"/>
      <c r="AE69" s="843"/>
      <c r="AF69" s="843"/>
      <c r="AG69" s="283">
        <f t="shared" ref="AG69:AN69" si="5">SUM(AG71:AG72)</f>
        <v>1443915</v>
      </c>
      <c r="AH69" s="283">
        <f t="shared" si="5"/>
        <v>1626079</v>
      </c>
      <c r="AI69" s="283">
        <f t="shared" si="5"/>
        <v>1774825.7000000002</v>
      </c>
      <c r="AJ69" s="283">
        <f t="shared" si="5"/>
        <v>1901998.8</v>
      </c>
      <c r="AK69" s="283">
        <f t="shared" si="5"/>
        <v>2012125.8629999999</v>
      </c>
      <c r="AL69" s="283">
        <f t="shared" si="5"/>
        <v>2167012.7000000002</v>
      </c>
      <c r="AM69" s="283">
        <f t="shared" si="5"/>
        <v>2267802.2999999998</v>
      </c>
      <c r="AN69" s="197">
        <f t="shared" si="5"/>
        <v>2337210.6</v>
      </c>
      <c r="AO69" s="197">
        <f>SUM(AO71:AO72)</f>
        <v>2372100.7999999998</v>
      </c>
      <c r="AP69" s="197">
        <f t="shared" ref="AP69:AQ69" si="6">SUM(AP71:AP72)</f>
        <v>2527488.6</v>
      </c>
      <c r="AQ69" s="283">
        <f t="shared" si="6"/>
        <v>2338314.557</v>
      </c>
      <c r="AR69" s="1167"/>
      <c r="AS69" s="843"/>
      <c r="AT69" s="843"/>
      <c r="AU69" s="843"/>
      <c r="AV69" s="843"/>
      <c r="AW69" s="843"/>
      <c r="AX69" s="843"/>
      <c r="AY69" s="843"/>
    </row>
    <row r="70" spans="1:51" ht="15">
      <c r="A70" s="167"/>
      <c r="B70" s="158"/>
      <c r="C70" s="158"/>
      <c r="D70" s="158"/>
      <c r="E70" s="167"/>
      <c r="F70" s="167"/>
      <c r="G70" s="167"/>
      <c r="H70" s="167"/>
      <c r="I70" s="167"/>
      <c r="J70" s="167"/>
      <c r="K70" s="167"/>
      <c r="L70" s="167"/>
      <c r="M70" s="167"/>
      <c r="N70" s="167"/>
      <c r="O70" s="197"/>
      <c r="P70" s="198"/>
      <c r="Q70" s="199"/>
      <c r="R70" s="198"/>
      <c r="S70" s="198"/>
      <c r="T70" s="198"/>
      <c r="U70" s="198"/>
      <c r="V70" s="198"/>
      <c r="W70" s="198"/>
      <c r="X70" s="276"/>
      <c r="Y70" s="276"/>
      <c r="Z70" s="276"/>
      <c r="AA70" s="276"/>
      <c r="AB70" s="276"/>
      <c r="AC70" s="276"/>
      <c r="AD70" s="276"/>
      <c r="AE70" s="843"/>
      <c r="AF70" s="843"/>
      <c r="AG70" s="283"/>
      <c r="AH70" s="283"/>
      <c r="AI70" s="283"/>
      <c r="AJ70" s="283"/>
      <c r="AK70" s="283"/>
      <c r="AL70" s="283"/>
      <c r="AM70" s="283"/>
      <c r="AN70" s="197"/>
      <c r="AO70" s="197"/>
      <c r="AP70" s="197"/>
      <c r="AQ70" s="283"/>
      <c r="AR70" s="1167"/>
      <c r="AS70" s="843"/>
      <c r="AT70" s="843"/>
      <c r="AU70" s="843"/>
      <c r="AV70" s="843"/>
      <c r="AW70" s="843"/>
      <c r="AX70" s="843"/>
      <c r="AY70" s="843"/>
    </row>
    <row r="71" spans="1:51" ht="15">
      <c r="A71" s="167"/>
      <c r="B71" s="158"/>
      <c r="C71" s="158" t="s">
        <v>34</v>
      </c>
      <c r="D71" s="158"/>
      <c r="E71" s="167"/>
      <c r="F71" s="167"/>
      <c r="G71" s="167"/>
      <c r="H71" s="167"/>
      <c r="I71" s="167"/>
      <c r="J71" s="167"/>
      <c r="K71" s="167"/>
      <c r="L71" s="167"/>
      <c r="M71" s="167"/>
      <c r="N71" s="167"/>
      <c r="O71" s="197"/>
      <c r="P71" s="198"/>
      <c r="Q71" s="199"/>
      <c r="R71" s="198"/>
      <c r="S71" s="198"/>
      <c r="T71" s="198"/>
      <c r="U71" s="198"/>
      <c r="V71" s="198"/>
      <c r="W71" s="198"/>
      <c r="X71" s="285"/>
      <c r="Y71" s="276"/>
      <c r="Z71" s="285"/>
      <c r="AA71" s="276"/>
      <c r="AB71" s="285"/>
      <c r="AC71" s="285"/>
      <c r="AD71" s="285"/>
      <c r="AE71" s="843"/>
      <c r="AF71" s="843"/>
      <c r="AG71" s="283">
        <v>920298</v>
      </c>
      <c r="AH71" s="283">
        <v>1029810.9999999999</v>
      </c>
      <c r="AI71" s="283">
        <v>1145402.7000000002</v>
      </c>
      <c r="AJ71" s="283">
        <v>1212470.8</v>
      </c>
      <c r="AK71" s="283">
        <v>1306110.2749999999</v>
      </c>
      <c r="AL71" s="283">
        <v>1368600.7</v>
      </c>
      <c r="AM71" s="283">
        <v>1420938.1</v>
      </c>
      <c r="AN71" s="197">
        <v>1466986</v>
      </c>
      <c r="AO71" s="197">
        <v>1513677.3</v>
      </c>
      <c r="AP71" s="197">
        <v>1662503.2000000002</v>
      </c>
      <c r="AQ71" s="283">
        <v>1649530.8970000001</v>
      </c>
      <c r="AR71" s="1167"/>
      <c r="AS71" s="843"/>
      <c r="AT71" s="843"/>
      <c r="AU71" s="843"/>
      <c r="AV71" s="843"/>
      <c r="AW71" s="843"/>
      <c r="AX71" s="843"/>
      <c r="AY71" s="843"/>
    </row>
    <row r="72" spans="1:51" ht="15">
      <c r="A72" s="167"/>
      <c r="B72" s="158"/>
      <c r="C72" s="158" t="s">
        <v>35</v>
      </c>
      <c r="D72" s="158"/>
      <c r="E72" s="167"/>
      <c r="F72" s="167"/>
      <c r="G72" s="167"/>
      <c r="H72" s="167"/>
      <c r="I72" s="167"/>
      <c r="J72" s="167"/>
      <c r="K72" s="167"/>
      <c r="L72" s="167"/>
      <c r="M72" s="167"/>
      <c r="N72" s="167"/>
      <c r="O72" s="197"/>
      <c r="P72" s="198"/>
      <c r="Q72" s="199"/>
      <c r="R72" s="198"/>
      <c r="S72" s="198"/>
      <c r="T72" s="198"/>
      <c r="U72" s="198"/>
      <c r="V72" s="198"/>
      <c r="W72" s="198"/>
      <c r="X72" s="285"/>
      <c r="Y72" s="276"/>
      <c r="Z72" s="285"/>
      <c r="AA72" s="276"/>
      <c r="AB72" s="285"/>
      <c r="AC72" s="285"/>
      <c r="AD72" s="285"/>
      <c r="AE72" s="843"/>
      <c r="AF72" s="843"/>
      <c r="AG72" s="283">
        <v>523616.99999999994</v>
      </c>
      <c r="AH72" s="283">
        <v>596268</v>
      </c>
      <c r="AI72" s="283">
        <v>629423</v>
      </c>
      <c r="AJ72" s="283">
        <v>689528</v>
      </c>
      <c r="AK72" s="283">
        <v>706015.58799999999</v>
      </c>
      <c r="AL72" s="283">
        <v>798412</v>
      </c>
      <c r="AM72" s="283">
        <v>846864.2</v>
      </c>
      <c r="AN72" s="197">
        <v>870224.6</v>
      </c>
      <c r="AO72" s="197">
        <v>858423.5</v>
      </c>
      <c r="AP72" s="197">
        <v>864985.4</v>
      </c>
      <c r="AQ72" s="283">
        <v>688783.66</v>
      </c>
      <c r="AR72" s="1167"/>
      <c r="AS72" s="843"/>
      <c r="AT72" s="843"/>
      <c r="AU72" s="843"/>
      <c r="AV72" s="843"/>
      <c r="AW72" s="843"/>
      <c r="AX72" s="843"/>
      <c r="AY72" s="843"/>
    </row>
    <row r="73" spans="1:51" ht="15">
      <c r="A73" s="167"/>
      <c r="B73" s="158"/>
      <c r="C73" s="158"/>
      <c r="D73" s="158"/>
      <c r="E73" s="167"/>
      <c r="F73" s="167"/>
      <c r="G73" s="167"/>
      <c r="H73" s="167"/>
      <c r="I73" s="167"/>
      <c r="J73" s="167"/>
      <c r="K73" s="167"/>
      <c r="L73" s="167"/>
      <c r="M73" s="167"/>
      <c r="N73" s="167"/>
      <c r="O73" s="197"/>
      <c r="P73" s="198"/>
      <c r="Q73" s="199"/>
      <c r="R73" s="198"/>
      <c r="S73" s="198"/>
      <c r="T73" s="198"/>
      <c r="U73" s="198"/>
      <c r="V73" s="198"/>
      <c r="W73" s="198"/>
      <c r="X73" s="285"/>
      <c r="Y73" s="276"/>
      <c r="Z73" s="285"/>
      <c r="AA73" s="276"/>
      <c r="AB73" s="285"/>
      <c r="AC73" s="285"/>
      <c r="AD73" s="285"/>
      <c r="AE73" s="843"/>
      <c r="AF73" s="843"/>
      <c r="AG73" s="283"/>
      <c r="AH73" s="283"/>
      <c r="AI73" s="283"/>
      <c r="AJ73" s="283"/>
      <c r="AK73" s="283"/>
      <c r="AL73" s="283"/>
      <c r="AM73" s="283"/>
      <c r="AN73" s="197"/>
      <c r="AO73" s="197"/>
      <c r="AP73" s="197"/>
      <c r="AQ73" s="283"/>
      <c r="AR73" s="1167"/>
      <c r="AS73" s="843"/>
      <c r="AT73" s="843"/>
      <c r="AU73" s="843"/>
      <c r="AV73" s="843"/>
      <c r="AW73" s="843"/>
      <c r="AX73" s="843"/>
      <c r="AY73" s="843"/>
    </row>
    <row r="74" spans="1:51" ht="15">
      <c r="A74" s="167"/>
      <c r="B74" s="308" t="s">
        <v>36</v>
      </c>
      <c r="C74" s="158" t="s">
        <v>37</v>
      </c>
      <c r="D74" s="158"/>
      <c r="E74" s="167"/>
      <c r="F74" s="167"/>
      <c r="G74" s="167"/>
      <c r="H74" s="167"/>
      <c r="I74" s="167"/>
      <c r="J74" s="167"/>
      <c r="K74" s="167"/>
      <c r="L74" s="167"/>
      <c r="M74" s="167"/>
      <c r="N74" s="167"/>
      <c r="O74" s="197"/>
      <c r="P74" s="198"/>
      <c r="Q74" s="199"/>
      <c r="R74" s="198"/>
      <c r="S74" s="198"/>
      <c r="T74" s="198"/>
      <c r="U74" s="198"/>
      <c r="V74" s="198"/>
      <c r="W74" s="198"/>
      <c r="X74" s="285"/>
      <c r="Y74" s="276"/>
      <c r="Z74" s="285"/>
      <c r="AA74" s="276"/>
      <c r="AB74" s="285"/>
      <c r="AC74" s="285"/>
      <c r="AD74" s="285"/>
      <c r="AE74" s="843"/>
      <c r="AF74" s="843"/>
      <c r="AG74" s="283">
        <v>1600302.05</v>
      </c>
      <c r="AH74" s="283">
        <v>1802830.4000000001</v>
      </c>
      <c r="AI74" s="283">
        <v>1958415.32</v>
      </c>
      <c r="AJ74" s="283">
        <v>2092588.2000000002</v>
      </c>
      <c r="AK74" s="283">
        <v>2222961.602</v>
      </c>
      <c r="AL74" s="283">
        <v>2388899.6999999997</v>
      </c>
      <c r="AM74" s="283">
        <v>2508185.5999999996</v>
      </c>
      <c r="AN74" s="197">
        <v>2575410.6</v>
      </c>
      <c r="AO74" s="197">
        <v>2608864.4</v>
      </c>
      <c r="AP74" s="197">
        <v>2756759.4</v>
      </c>
      <c r="AQ74" s="283">
        <v>2500510.0040000002</v>
      </c>
      <c r="AR74" s="1167"/>
      <c r="AS74" s="843"/>
      <c r="AT74" s="843"/>
      <c r="AU74" s="843"/>
      <c r="AV74" s="843"/>
      <c r="AW74" s="843"/>
      <c r="AX74" s="843"/>
      <c r="AY74" s="843"/>
    </row>
    <row r="75" spans="1:51" ht="15">
      <c r="A75" s="167"/>
      <c r="B75" s="158"/>
      <c r="C75" s="158"/>
      <c r="D75" s="158"/>
      <c r="E75" s="167"/>
      <c r="F75" s="167"/>
      <c r="G75" s="167"/>
      <c r="H75" s="167"/>
      <c r="I75" s="167"/>
      <c r="J75" s="167"/>
      <c r="K75" s="167"/>
      <c r="L75" s="167"/>
      <c r="M75" s="167"/>
      <c r="N75" s="167"/>
      <c r="O75" s="197"/>
      <c r="P75" s="198"/>
      <c r="Q75" s="199"/>
      <c r="R75" s="198"/>
      <c r="S75" s="198"/>
      <c r="T75" s="198"/>
      <c r="U75" s="198"/>
      <c r="V75" s="198"/>
      <c r="W75" s="198"/>
      <c r="X75" s="285"/>
      <c r="Y75" s="276"/>
      <c r="Z75" s="285"/>
      <c r="AA75" s="276"/>
      <c r="AB75" s="285"/>
      <c r="AC75" s="285"/>
      <c r="AD75" s="285"/>
      <c r="AE75" s="843"/>
      <c r="AF75" s="843"/>
      <c r="AG75" s="283"/>
      <c r="AH75" s="283"/>
      <c r="AI75" s="283"/>
      <c r="AJ75" s="283"/>
      <c r="AK75" s="283"/>
      <c r="AL75" s="283"/>
      <c r="AM75" s="283"/>
      <c r="AN75" s="197"/>
      <c r="AO75" s="197"/>
      <c r="AP75" s="197"/>
      <c r="AQ75" s="283"/>
      <c r="AR75" s="1167"/>
      <c r="AS75" s="843"/>
      <c r="AT75" s="843"/>
      <c r="AU75" s="843"/>
      <c r="AV75" s="843"/>
      <c r="AW75" s="843"/>
      <c r="AX75" s="843"/>
      <c r="AY75" s="843"/>
    </row>
    <row r="76" spans="1:51" ht="15">
      <c r="A76" s="167"/>
      <c r="B76" s="308" t="s">
        <v>38</v>
      </c>
      <c r="C76" s="158" t="s">
        <v>39</v>
      </c>
      <c r="D76" s="158"/>
      <c r="E76" s="167"/>
      <c r="F76" s="167"/>
      <c r="G76" s="167"/>
      <c r="H76" s="167"/>
      <c r="I76" s="167"/>
      <c r="J76" s="167"/>
      <c r="K76" s="167"/>
      <c r="L76" s="167"/>
      <c r="M76" s="167"/>
      <c r="N76" s="167"/>
      <c r="O76" s="197"/>
      <c r="P76" s="198"/>
      <c r="Q76" s="199"/>
      <c r="R76" s="198"/>
      <c r="S76" s="198"/>
      <c r="T76" s="198"/>
      <c r="U76" s="198"/>
      <c r="V76" s="198"/>
      <c r="W76" s="198"/>
      <c r="X76" s="285"/>
      <c r="Y76" s="276"/>
      <c r="Z76" s="285"/>
      <c r="AA76" s="276"/>
      <c r="AB76" s="285"/>
      <c r="AC76" s="285"/>
      <c r="AD76" s="285"/>
      <c r="AE76" s="843"/>
      <c r="AF76" s="843"/>
      <c r="AG76" s="283">
        <v>1766913.81</v>
      </c>
      <c r="AH76" s="283">
        <v>1968852.51</v>
      </c>
      <c r="AI76" s="283">
        <v>2150383.69</v>
      </c>
      <c r="AJ76" s="283">
        <v>2302986.1</v>
      </c>
      <c r="AK76" s="283">
        <v>2468086.5499999998</v>
      </c>
      <c r="AL76" s="283">
        <v>2661902.3000000003</v>
      </c>
      <c r="AM76" s="283">
        <v>2794229.1</v>
      </c>
      <c r="AN76" s="197">
        <v>2875332.6</v>
      </c>
      <c r="AO76" s="197">
        <v>2918471.3000000003</v>
      </c>
      <c r="AP76" s="197">
        <v>3081940.9</v>
      </c>
      <c r="AQ76" s="283">
        <v>2745117.6630000002</v>
      </c>
      <c r="AR76" s="1167"/>
      <c r="AS76" s="843"/>
      <c r="AT76" s="843"/>
      <c r="AU76" s="843"/>
      <c r="AV76" s="843"/>
      <c r="AW76" s="843"/>
      <c r="AX76" s="843"/>
      <c r="AY76" s="843"/>
    </row>
    <row r="77" spans="1:51" ht="15">
      <c r="A77" s="167"/>
      <c r="B77" s="308"/>
      <c r="C77" s="158"/>
      <c r="D77" s="158"/>
      <c r="E77" s="167"/>
      <c r="F77" s="167"/>
      <c r="G77" s="167"/>
      <c r="H77" s="167"/>
      <c r="I77" s="167"/>
      <c r="J77" s="167"/>
      <c r="K77" s="167"/>
      <c r="L77" s="167"/>
      <c r="M77" s="167"/>
      <c r="N77" s="167"/>
      <c r="O77" s="197"/>
      <c r="P77" s="198"/>
      <c r="Q77" s="199"/>
      <c r="R77" s="198"/>
      <c r="S77" s="198"/>
      <c r="T77" s="198"/>
      <c r="U77" s="198"/>
      <c r="V77" s="198"/>
      <c r="W77" s="198"/>
      <c r="X77" s="285"/>
      <c r="Y77" s="276"/>
      <c r="Z77" s="285"/>
      <c r="AA77" s="276"/>
      <c r="AB77" s="285"/>
      <c r="AC77" s="285"/>
      <c r="AD77" s="285"/>
      <c r="AE77" s="843"/>
      <c r="AF77" s="843"/>
      <c r="AG77" s="158"/>
      <c r="AH77" s="158"/>
      <c r="AI77" s="158"/>
      <c r="AJ77" s="158"/>
      <c r="AK77" s="158"/>
      <c r="AL77" s="158"/>
      <c r="AM77" s="158"/>
      <c r="AN77" s="167"/>
      <c r="AO77" s="167"/>
      <c r="AP77" s="167"/>
      <c r="AQ77" s="158"/>
      <c r="AR77" s="843"/>
      <c r="AS77" s="843"/>
      <c r="AT77" s="843"/>
      <c r="AU77" s="843"/>
      <c r="AV77" s="843"/>
      <c r="AW77" s="843"/>
      <c r="AX77" s="843"/>
      <c r="AY77" s="843"/>
    </row>
    <row r="78" spans="1:51" ht="15">
      <c r="A78" s="167"/>
      <c r="B78" s="158" t="s">
        <v>40</v>
      </c>
      <c r="C78" s="167"/>
      <c r="D78" s="158"/>
      <c r="E78" s="167"/>
      <c r="F78" s="167"/>
      <c r="G78" s="167"/>
      <c r="H78" s="167"/>
      <c r="I78" s="167"/>
      <c r="J78" s="167"/>
      <c r="K78" s="167"/>
      <c r="L78" s="167"/>
      <c r="M78" s="167"/>
      <c r="N78" s="167"/>
      <c r="O78" s="197"/>
      <c r="P78" s="198"/>
      <c r="Q78" s="199"/>
      <c r="R78" s="198"/>
      <c r="S78" s="198"/>
      <c r="T78" s="198"/>
      <c r="U78" s="198"/>
      <c r="V78" s="198"/>
      <c r="W78" s="198"/>
      <c r="X78" s="285"/>
      <c r="Y78" s="276"/>
      <c r="Z78" s="285"/>
      <c r="AA78" s="276"/>
      <c r="AB78" s="285"/>
      <c r="AC78" s="285"/>
      <c r="AD78" s="285"/>
      <c r="AE78" s="843"/>
      <c r="AF78" s="843"/>
      <c r="AG78" s="158"/>
      <c r="AH78" s="158"/>
      <c r="AI78" s="158"/>
      <c r="AJ78" s="158"/>
      <c r="AK78" s="158"/>
      <c r="AL78" s="158"/>
      <c r="AM78" s="158"/>
      <c r="AN78" s="167"/>
      <c r="AO78" s="167"/>
      <c r="AP78" s="167"/>
      <c r="AQ78" s="158"/>
      <c r="AR78" s="843"/>
      <c r="AS78" s="843"/>
      <c r="AT78" s="843"/>
      <c r="AU78" s="843"/>
      <c r="AV78" s="843"/>
      <c r="AW78" s="843"/>
      <c r="AX78" s="843"/>
      <c r="AY78" s="843"/>
    </row>
    <row r="79" spans="1:51" ht="15">
      <c r="A79" s="167"/>
      <c r="B79" s="158"/>
      <c r="C79" s="158"/>
      <c r="D79" s="158"/>
      <c r="E79" s="167"/>
      <c r="F79" s="167"/>
      <c r="G79" s="167"/>
      <c r="H79" s="167"/>
      <c r="I79" s="167"/>
      <c r="J79" s="167"/>
      <c r="K79" s="167"/>
      <c r="L79" s="167"/>
      <c r="M79" s="167"/>
      <c r="N79" s="167"/>
      <c r="O79" s="197"/>
      <c r="P79" s="198"/>
      <c r="Q79" s="199"/>
      <c r="R79" s="198"/>
      <c r="S79" s="198"/>
      <c r="T79" s="198"/>
      <c r="U79" s="198"/>
      <c r="V79" s="198"/>
      <c r="W79" s="198"/>
      <c r="X79" s="285"/>
      <c r="Y79" s="276"/>
      <c r="Z79" s="285"/>
      <c r="AA79" s="276"/>
      <c r="AB79" s="285"/>
      <c r="AC79" s="285"/>
      <c r="AD79" s="285"/>
      <c r="AE79" s="843"/>
      <c r="AF79" s="843"/>
      <c r="AG79" s="158"/>
      <c r="AH79" s="158"/>
      <c r="AI79" s="158"/>
      <c r="AJ79" s="158"/>
      <c r="AK79" s="158"/>
      <c r="AL79" s="158"/>
      <c r="AM79" s="158"/>
      <c r="AN79" s="167"/>
      <c r="AO79" s="167"/>
      <c r="AP79" s="167"/>
      <c r="AQ79" s="158"/>
      <c r="AR79" s="843"/>
      <c r="AS79" s="843"/>
      <c r="AT79" s="843"/>
      <c r="AU79" s="843"/>
      <c r="AV79" s="843"/>
      <c r="AW79" s="843"/>
      <c r="AX79" s="843"/>
      <c r="AY79" s="843"/>
    </row>
    <row r="80" spans="1:51" ht="15">
      <c r="A80" s="167"/>
      <c r="B80" s="310" t="s">
        <v>41</v>
      </c>
      <c r="C80" s="294" t="s">
        <v>42</v>
      </c>
      <c r="D80" s="294"/>
      <c r="E80" s="167"/>
      <c r="F80" s="167"/>
      <c r="G80" s="167"/>
      <c r="H80" s="167"/>
      <c r="I80" s="167"/>
      <c r="J80" s="167"/>
      <c r="K80" s="167"/>
      <c r="L80" s="167"/>
      <c r="M80" s="167"/>
      <c r="N80" s="167"/>
      <c r="O80" s="197"/>
      <c r="P80" s="198"/>
      <c r="Q80" s="199"/>
      <c r="R80" s="198" t="e">
        <f>R69/R67</f>
        <v>#DIV/0!</v>
      </c>
      <c r="S80" s="198" t="e">
        <f t="shared" ref="S80:AN80" si="7">S69/S67</f>
        <v>#DIV/0!</v>
      </c>
      <c r="T80" s="198" t="e">
        <f t="shared" si="7"/>
        <v>#DIV/0!</v>
      </c>
      <c r="U80" s="198" t="e">
        <f t="shared" si="7"/>
        <v>#DIV/0!</v>
      </c>
      <c r="V80" s="198" t="e">
        <f t="shared" si="7"/>
        <v>#DIV/0!</v>
      </c>
      <c r="W80" s="198" t="e">
        <f t="shared" si="7"/>
        <v>#DIV/0!</v>
      </c>
      <c r="X80" s="198" t="e">
        <f t="shared" si="7"/>
        <v>#DIV/0!</v>
      </c>
      <c r="Y80" s="198" t="e">
        <f t="shared" si="7"/>
        <v>#DIV/0!</v>
      </c>
      <c r="Z80" s="198" t="e">
        <f t="shared" si="7"/>
        <v>#DIV/0!</v>
      </c>
      <c r="AA80" s="198" t="e">
        <f t="shared" si="7"/>
        <v>#DIV/0!</v>
      </c>
      <c r="AB80" s="198" t="e">
        <f t="shared" si="7"/>
        <v>#DIV/0!</v>
      </c>
      <c r="AC80" s="198" t="e">
        <f t="shared" si="7"/>
        <v>#DIV/0!</v>
      </c>
      <c r="AD80" s="198" t="e">
        <f t="shared" si="7"/>
        <v>#DIV/0!</v>
      </c>
      <c r="AE80" s="198" t="e">
        <f t="shared" si="7"/>
        <v>#DIV/0!</v>
      </c>
      <c r="AF80" s="198" t="e">
        <f t="shared" si="7"/>
        <v>#DIV/0!</v>
      </c>
      <c r="AG80" s="1168">
        <f t="shared" si="7"/>
        <v>0.10705272720398169</v>
      </c>
      <c r="AH80" s="1168">
        <f t="shared" si="7"/>
        <v>0.10807862093881296</v>
      </c>
      <c r="AI80" s="1168">
        <f t="shared" si="7"/>
        <v>0.10688242945292245</v>
      </c>
      <c r="AJ80" s="1168">
        <f t="shared" si="7"/>
        <v>0.10820546460559499</v>
      </c>
      <c r="AK80" s="1168">
        <f t="shared" si="7"/>
        <v>0.10376476904777425</v>
      </c>
      <c r="AL80" s="1168">
        <f t="shared" si="7"/>
        <v>0.10562568881900179</v>
      </c>
      <c r="AM80" s="1168">
        <f t="shared" si="7"/>
        <v>0.1054503544598403</v>
      </c>
      <c r="AN80" s="1168">
        <f t="shared" si="7"/>
        <v>9.9984217358383698E-2</v>
      </c>
      <c r="AO80" s="1168">
        <f>AO69/AO67</f>
        <v>9.6993448568951562E-2</v>
      </c>
      <c r="AP80" s="1168">
        <f t="shared" ref="AP80:AQ80" si="8">AP69/AP67</f>
        <v>9.9248736822398875E-2</v>
      </c>
      <c r="AQ80" s="1169">
        <f t="shared" si="8"/>
        <v>9.603747472044738E-2</v>
      </c>
      <c r="AR80" s="843"/>
      <c r="AS80" s="843"/>
      <c r="AT80" s="843"/>
      <c r="AU80" s="843"/>
      <c r="AV80" s="843"/>
      <c r="AW80" s="843"/>
      <c r="AX80" s="843"/>
      <c r="AY80" s="843"/>
    </row>
    <row r="81" spans="1:51" ht="15">
      <c r="A81" s="167"/>
      <c r="B81" s="158"/>
      <c r="C81" s="158"/>
      <c r="D81" s="158"/>
      <c r="E81" s="167"/>
      <c r="F81" s="167"/>
      <c r="G81" s="167"/>
      <c r="H81" s="167"/>
      <c r="I81" s="167"/>
      <c r="J81" s="167"/>
      <c r="K81" s="167"/>
      <c r="L81" s="167"/>
      <c r="M81" s="167"/>
      <c r="N81" s="167"/>
      <c r="O81" s="197"/>
      <c r="P81" s="198"/>
      <c r="Q81" s="199"/>
      <c r="R81" s="198"/>
      <c r="S81" s="198"/>
      <c r="T81" s="198"/>
      <c r="U81" s="198"/>
      <c r="V81" s="198"/>
      <c r="W81" s="198"/>
      <c r="X81" s="285"/>
      <c r="Y81" s="276"/>
      <c r="Z81" s="285"/>
      <c r="AA81" s="276"/>
      <c r="AB81" s="285"/>
      <c r="AC81" s="285"/>
      <c r="AD81" s="285"/>
      <c r="AE81" s="843"/>
      <c r="AF81" s="843"/>
      <c r="AG81" s="1170"/>
      <c r="AH81" s="1170"/>
      <c r="AI81" s="1170"/>
      <c r="AJ81" s="1170"/>
      <c r="AK81" s="1170"/>
      <c r="AL81" s="1170"/>
      <c r="AM81" s="1170"/>
      <c r="AN81" s="1171"/>
      <c r="AO81" s="1171"/>
      <c r="AP81" s="1171"/>
      <c r="AQ81" s="1170"/>
      <c r="AR81" s="843"/>
      <c r="AS81" s="843"/>
      <c r="AT81" s="843"/>
      <c r="AU81" s="843"/>
      <c r="AV81" s="843"/>
      <c r="AW81" s="843"/>
      <c r="AX81" s="843"/>
      <c r="AY81" s="843"/>
    </row>
    <row r="82" spans="1:51" ht="15">
      <c r="A82" s="167"/>
      <c r="B82" s="308" t="s">
        <v>43</v>
      </c>
      <c r="C82" s="158" t="s">
        <v>44</v>
      </c>
      <c r="D82" s="158"/>
      <c r="E82" s="167"/>
      <c r="F82" s="167"/>
      <c r="G82" s="167"/>
      <c r="H82" s="167"/>
      <c r="I82" s="167"/>
      <c r="J82" s="167"/>
      <c r="K82" s="167"/>
      <c r="L82" s="167"/>
      <c r="M82" s="167"/>
      <c r="N82" s="167"/>
      <c r="O82" s="197"/>
      <c r="P82" s="198"/>
      <c r="Q82" s="199"/>
      <c r="R82" s="198" t="e">
        <f>R76/R67</f>
        <v>#DIV/0!</v>
      </c>
      <c r="S82" s="198" t="e">
        <f t="shared" ref="S82:AN82" si="9">S76/S67</f>
        <v>#DIV/0!</v>
      </c>
      <c r="T82" s="198" t="e">
        <f t="shared" si="9"/>
        <v>#DIV/0!</v>
      </c>
      <c r="U82" s="198" t="e">
        <f t="shared" si="9"/>
        <v>#DIV/0!</v>
      </c>
      <c r="V82" s="198" t="e">
        <f t="shared" si="9"/>
        <v>#DIV/0!</v>
      </c>
      <c r="W82" s="198" t="e">
        <f t="shared" si="9"/>
        <v>#DIV/0!</v>
      </c>
      <c r="X82" s="198" t="e">
        <f t="shared" si="9"/>
        <v>#DIV/0!</v>
      </c>
      <c r="Y82" s="198" t="e">
        <f t="shared" si="9"/>
        <v>#DIV/0!</v>
      </c>
      <c r="Z82" s="198" t="e">
        <f t="shared" si="9"/>
        <v>#DIV/0!</v>
      </c>
      <c r="AA82" s="198" t="e">
        <f t="shared" si="9"/>
        <v>#DIV/0!</v>
      </c>
      <c r="AB82" s="198" t="e">
        <f t="shared" si="9"/>
        <v>#DIV/0!</v>
      </c>
      <c r="AC82" s="198" t="e">
        <f t="shared" si="9"/>
        <v>#DIV/0!</v>
      </c>
      <c r="AD82" s="198" t="e">
        <f t="shared" si="9"/>
        <v>#DIV/0!</v>
      </c>
      <c r="AE82" s="198" t="e">
        <f t="shared" si="9"/>
        <v>#DIV/0!</v>
      </c>
      <c r="AF82" s="198" t="e">
        <f t="shared" si="9"/>
        <v>#DIV/0!</v>
      </c>
      <c r="AG82" s="1172">
        <f t="shared" si="9"/>
        <v>0.13100005339294762</v>
      </c>
      <c r="AH82" s="1172">
        <f t="shared" si="9"/>
        <v>0.13086133214482226</v>
      </c>
      <c r="AI82" s="1172">
        <f t="shared" si="9"/>
        <v>0.12949904491643321</v>
      </c>
      <c r="AJ82" s="1172">
        <f t="shared" si="9"/>
        <v>0.13101779082653853</v>
      </c>
      <c r="AK82" s="1172">
        <f t="shared" si="9"/>
        <v>0.12727853438990755</v>
      </c>
      <c r="AL82" s="1172">
        <f t="shared" si="9"/>
        <v>0.12974786165599544</v>
      </c>
      <c r="AM82" s="1172">
        <f t="shared" si="9"/>
        <v>0.12992863136129659</v>
      </c>
      <c r="AN82" s="1172">
        <f t="shared" si="9"/>
        <v>0.12300469613480554</v>
      </c>
      <c r="AO82" s="1172">
        <f>AO76/AO67</f>
        <v>0.11933413450917063</v>
      </c>
      <c r="AP82" s="1172">
        <f t="shared" ref="AP82:AQ82" si="10">AP76/AP67</f>
        <v>0.12102081935652929</v>
      </c>
      <c r="AQ82" s="1170">
        <f t="shared" si="10"/>
        <v>0.11274538208548479</v>
      </c>
      <c r="AR82" s="843"/>
      <c r="AS82" s="843"/>
      <c r="AT82" s="843"/>
      <c r="AU82" s="843"/>
      <c r="AV82" s="843"/>
      <c r="AW82" s="843"/>
      <c r="AX82" s="843"/>
      <c r="AY82" s="843"/>
    </row>
    <row r="83" spans="1:51" ht="15">
      <c r="A83" s="167"/>
      <c r="B83" s="158"/>
      <c r="C83" s="158"/>
      <c r="D83" s="158"/>
      <c r="E83" s="167"/>
      <c r="F83" s="167"/>
      <c r="G83" s="167"/>
      <c r="H83" s="167"/>
      <c r="I83" s="167"/>
      <c r="J83" s="167"/>
      <c r="K83" s="167"/>
      <c r="L83" s="167"/>
      <c r="M83" s="167"/>
      <c r="N83" s="167"/>
      <c r="O83" s="197"/>
      <c r="P83" s="198"/>
      <c r="Q83" s="199"/>
      <c r="R83" s="198"/>
      <c r="S83" s="198"/>
      <c r="T83" s="198"/>
      <c r="U83" s="198"/>
      <c r="V83" s="198"/>
      <c r="W83" s="198"/>
      <c r="X83" s="285"/>
      <c r="Y83" s="276"/>
      <c r="Z83" s="285"/>
      <c r="AA83" s="276"/>
      <c r="AB83" s="285"/>
      <c r="AC83" s="285"/>
      <c r="AD83" s="285"/>
      <c r="AE83" s="843"/>
      <c r="AF83" s="843"/>
      <c r="AG83" s="1170"/>
      <c r="AH83" s="1170"/>
      <c r="AI83" s="1170"/>
      <c r="AJ83" s="1170"/>
      <c r="AK83" s="1170"/>
      <c r="AL83" s="1170"/>
      <c r="AM83" s="1170"/>
      <c r="AN83" s="1171"/>
      <c r="AO83" s="1171"/>
      <c r="AP83" s="1171"/>
      <c r="AQ83" s="1170"/>
      <c r="AR83" s="843"/>
      <c r="AS83" s="843"/>
      <c r="AT83" s="843"/>
      <c r="AU83" s="843"/>
      <c r="AV83" s="843"/>
      <c r="AW83" s="843"/>
      <c r="AX83" s="843"/>
      <c r="AY83" s="843"/>
    </row>
    <row r="84" spans="1:51" ht="15">
      <c r="A84" s="167"/>
      <c r="B84" s="308" t="s">
        <v>45</v>
      </c>
      <c r="C84" s="158" t="s">
        <v>46</v>
      </c>
      <c r="D84" s="158"/>
      <c r="E84" s="167"/>
      <c r="F84" s="167"/>
      <c r="G84" s="167"/>
      <c r="H84" s="167"/>
      <c r="I84" s="167"/>
      <c r="J84" s="167"/>
      <c r="K84" s="167"/>
      <c r="L84" s="167"/>
      <c r="M84" s="167"/>
      <c r="N84" s="167"/>
      <c r="O84" s="197"/>
      <c r="P84" s="198"/>
      <c r="Q84" s="199"/>
      <c r="R84" s="198" t="e">
        <f>R76/R65</f>
        <v>#DIV/0!</v>
      </c>
      <c r="S84" s="198" t="e">
        <f t="shared" ref="S84:AN84" si="11">S76/S65</f>
        <v>#DIV/0!</v>
      </c>
      <c r="T84" s="198" t="e">
        <f t="shared" si="11"/>
        <v>#DIV/0!</v>
      </c>
      <c r="U84" s="198" t="e">
        <f t="shared" si="11"/>
        <v>#DIV/0!</v>
      </c>
      <c r="V84" s="198" t="e">
        <f t="shared" si="11"/>
        <v>#DIV/0!</v>
      </c>
      <c r="W84" s="198" t="e">
        <f t="shared" si="11"/>
        <v>#DIV/0!</v>
      </c>
      <c r="X84" s="198" t="e">
        <f t="shared" si="11"/>
        <v>#DIV/0!</v>
      </c>
      <c r="Y84" s="198" t="e">
        <f t="shared" si="11"/>
        <v>#DIV/0!</v>
      </c>
      <c r="Z84" s="198" t="e">
        <f t="shared" si="11"/>
        <v>#DIV/0!</v>
      </c>
      <c r="AA84" s="198" t="e">
        <f t="shared" si="11"/>
        <v>#DIV/0!</v>
      </c>
      <c r="AB84" s="198" t="e">
        <f t="shared" si="11"/>
        <v>#DIV/0!</v>
      </c>
      <c r="AC84" s="198" t="e">
        <f t="shared" si="11"/>
        <v>#DIV/0!</v>
      </c>
      <c r="AD84" s="198" t="e">
        <f t="shared" si="11"/>
        <v>#DIV/0!</v>
      </c>
      <c r="AE84" s="198" t="e">
        <f t="shared" si="11"/>
        <v>#DIV/0!</v>
      </c>
      <c r="AF84" s="198" t="e">
        <f t="shared" si="11"/>
        <v>#DIV/0!</v>
      </c>
      <c r="AG84" s="1172">
        <f t="shared" si="11"/>
        <v>0.13643863758663236</v>
      </c>
      <c r="AH84" s="1172">
        <f t="shared" si="11"/>
        <v>0.13654123494232223</v>
      </c>
      <c r="AI84" s="1172">
        <f t="shared" si="11"/>
        <v>0.13491698221037138</v>
      </c>
      <c r="AJ84" s="1172">
        <f t="shared" si="11"/>
        <v>0.13670073796895224</v>
      </c>
      <c r="AK84" s="1172">
        <f t="shared" si="11"/>
        <v>0.13308243711837117</v>
      </c>
      <c r="AL84" s="1172">
        <f t="shared" si="11"/>
        <v>0.1358380818611612</v>
      </c>
      <c r="AM84" s="1172">
        <f t="shared" si="11"/>
        <v>0.13606841657428123</v>
      </c>
      <c r="AN84" s="1172">
        <f t="shared" si="11"/>
        <v>0.12855935357858173</v>
      </c>
      <c r="AO84" s="1172">
        <f>AO76/AO65</f>
        <v>0.12502198291260908</v>
      </c>
      <c r="AP84" s="1172">
        <f t="shared" ref="AP84:AQ84" si="12">AP76/AP65</f>
        <v>0.12748231091199913</v>
      </c>
      <c r="AQ84" s="1170">
        <f t="shared" si="12"/>
        <v>0.11916898123136438</v>
      </c>
      <c r="AR84" s="843"/>
      <c r="AS84" s="843"/>
      <c r="AT84" s="843"/>
      <c r="AU84" s="843"/>
      <c r="AV84" s="843"/>
      <c r="AW84" s="843"/>
      <c r="AX84" s="843"/>
      <c r="AY84" s="843"/>
    </row>
    <row r="85" spans="1:51" ht="15">
      <c r="A85" s="167"/>
      <c r="B85" s="226"/>
      <c r="C85" s="226"/>
      <c r="D85" s="226"/>
      <c r="E85" s="562"/>
      <c r="F85" s="562"/>
      <c r="G85" s="562"/>
      <c r="H85" s="562"/>
      <c r="I85" s="562"/>
      <c r="J85" s="562"/>
      <c r="K85" s="562"/>
      <c r="L85" s="562"/>
      <c r="M85" s="562"/>
      <c r="N85" s="562"/>
      <c r="O85" s="561"/>
      <c r="P85" s="194"/>
      <c r="Q85" s="194"/>
      <c r="R85" s="194"/>
      <c r="S85" s="194"/>
      <c r="T85" s="194"/>
      <c r="U85" s="194"/>
      <c r="V85" s="194"/>
      <c r="W85" s="194"/>
      <c r="X85" s="563"/>
      <c r="Y85" s="563"/>
      <c r="Z85" s="563"/>
      <c r="AA85" s="563"/>
      <c r="AB85" s="563"/>
      <c r="AC85" s="563"/>
      <c r="AD85" s="563"/>
      <c r="AE85" s="1173"/>
      <c r="AF85" s="1173"/>
      <c r="AG85" s="1173"/>
      <c r="AH85" s="1173"/>
      <c r="AI85" s="1173"/>
      <c r="AJ85" s="1173"/>
      <c r="AK85" s="1173"/>
      <c r="AL85" s="1173"/>
      <c r="AM85" s="1173"/>
      <c r="AN85" s="562"/>
      <c r="AO85" s="562"/>
      <c r="AP85" s="562"/>
      <c r="AQ85" s="562"/>
      <c r="AR85" s="562"/>
      <c r="AS85" s="843"/>
      <c r="AT85" s="843"/>
      <c r="AU85" s="843"/>
      <c r="AV85" s="843"/>
      <c r="AW85" s="843"/>
      <c r="AX85" s="843"/>
      <c r="AY85" s="843"/>
    </row>
    <row r="86" spans="1:51" ht="15">
      <c r="A86" s="167"/>
      <c r="B86" s="158"/>
      <c r="C86" s="158"/>
      <c r="D86" s="158"/>
      <c r="E86" s="167"/>
      <c r="F86" s="167"/>
      <c r="G86" s="167"/>
      <c r="H86" s="167"/>
      <c r="I86" s="167"/>
      <c r="J86" s="167"/>
      <c r="K86" s="167"/>
      <c r="L86" s="167"/>
      <c r="M86" s="167"/>
      <c r="N86" s="167"/>
      <c r="O86" s="197"/>
      <c r="P86" s="198"/>
      <c r="Q86" s="199"/>
      <c r="R86" s="198"/>
      <c r="S86" s="198"/>
      <c r="T86" s="198"/>
      <c r="U86" s="198"/>
      <c r="V86" s="198"/>
      <c r="W86" s="198"/>
      <c r="X86" s="276"/>
      <c r="Y86" s="276"/>
      <c r="Z86" s="276"/>
      <c r="AA86" s="276"/>
      <c r="AB86" s="276"/>
      <c r="AC86" s="276"/>
      <c r="AD86" s="276"/>
      <c r="AE86" s="276"/>
      <c r="AF86" s="276"/>
      <c r="AG86" s="564"/>
      <c r="AH86" s="564"/>
      <c r="AI86" s="564"/>
      <c r="AJ86" s="564"/>
      <c r="AK86" s="564"/>
      <c r="AL86" s="564"/>
      <c r="AM86" s="210"/>
      <c r="AN86" s="167"/>
      <c r="AO86" s="167"/>
      <c r="AP86" s="167"/>
      <c r="AQ86" s="167"/>
      <c r="AR86" s="167"/>
      <c r="AS86" s="843"/>
      <c r="AT86" s="843"/>
      <c r="AU86" s="843"/>
      <c r="AV86" s="843"/>
      <c r="AW86" s="843"/>
      <c r="AX86" s="843"/>
      <c r="AY86" s="843"/>
    </row>
    <row r="87" spans="1:51" ht="39" customHeight="1">
      <c r="A87" s="167"/>
      <c r="B87" s="1926" t="s">
        <v>47</v>
      </c>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c r="AA87" s="1927"/>
      <c r="AB87" s="1927"/>
      <c r="AC87" s="1927"/>
      <c r="AD87" s="1927"/>
      <c r="AE87" s="1927"/>
      <c r="AF87" s="1927"/>
      <c r="AG87" s="564"/>
      <c r="AH87" s="564"/>
      <c r="AI87" s="564"/>
      <c r="AJ87" s="564"/>
      <c r="AK87" s="564"/>
      <c r="AL87" s="210"/>
      <c r="AM87" s="167"/>
      <c r="AN87" s="167"/>
      <c r="AO87" s="167"/>
      <c r="AP87" s="167"/>
      <c r="AQ87" s="843"/>
      <c r="AR87" s="843"/>
      <c r="AS87" s="843"/>
      <c r="AT87" s="843"/>
      <c r="AU87" s="843"/>
      <c r="AV87" s="843"/>
      <c r="AW87" s="843"/>
      <c r="AX87" s="843"/>
      <c r="AY87" s="843"/>
    </row>
    <row r="88" spans="1:51" ht="15">
      <c r="A88" s="167"/>
      <c r="B88" s="1132"/>
      <c r="C88" s="167"/>
      <c r="D88" s="167"/>
      <c r="E88" s="167"/>
      <c r="F88" s="167"/>
      <c r="G88" s="167"/>
      <c r="H88" s="167"/>
      <c r="I88" s="167"/>
      <c r="J88" s="167"/>
      <c r="K88" s="167"/>
      <c r="L88" s="167"/>
      <c r="M88" s="167"/>
      <c r="N88" s="167"/>
      <c r="O88" s="197"/>
      <c r="P88" s="198"/>
      <c r="Q88" s="199"/>
      <c r="R88" s="198"/>
      <c r="S88" s="198"/>
      <c r="T88" s="198"/>
      <c r="U88" s="198"/>
      <c r="V88" s="198"/>
      <c r="W88" s="198"/>
      <c r="X88" s="196"/>
      <c r="Y88" s="196"/>
      <c r="Z88" s="196"/>
      <c r="AA88" s="196"/>
      <c r="AB88" s="196"/>
      <c r="AC88" s="196"/>
      <c r="AD88" s="196"/>
      <c r="AE88" s="196"/>
      <c r="AF88" s="196"/>
      <c r="AG88" s="564"/>
      <c r="AH88" s="564"/>
      <c r="AI88" s="564"/>
      <c r="AJ88" s="564"/>
      <c r="AK88" s="564"/>
      <c r="AL88" s="210"/>
      <c r="AM88" s="167"/>
      <c r="AN88" s="167"/>
      <c r="AO88" s="167"/>
      <c r="AP88" s="167"/>
      <c r="AQ88" s="843"/>
      <c r="AR88" s="843"/>
      <c r="AS88" s="843"/>
      <c r="AT88" s="843"/>
      <c r="AU88" s="843"/>
      <c r="AV88" s="843"/>
      <c r="AW88" s="843"/>
      <c r="AX88" s="843"/>
      <c r="AY88" s="843"/>
    </row>
    <row r="89" spans="1:51" ht="15">
      <c r="A89" s="158"/>
      <c r="B89" s="158"/>
      <c r="C89" s="158"/>
      <c r="D89" s="158"/>
      <c r="E89" s="158"/>
      <c r="F89" s="158"/>
      <c r="G89" s="158"/>
      <c r="H89" s="158"/>
      <c r="I89" s="158"/>
      <c r="J89" s="158"/>
      <c r="K89" s="158"/>
      <c r="L89" s="158"/>
      <c r="M89" s="158"/>
      <c r="N89" s="158"/>
      <c r="O89" s="158"/>
      <c r="P89" s="158"/>
      <c r="Q89" s="158"/>
      <c r="R89" s="282"/>
      <c r="S89" s="282"/>
      <c r="T89" s="282"/>
      <c r="U89" s="282"/>
      <c r="V89" s="282"/>
      <c r="W89" s="282"/>
      <c r="X89" s="278"/>
      <c r="Y89" s="278"/>
      <c r="Z89" s="278"/>
      <c r="AA89" s="278"/>
      <c r="AB89" s="278"/>
      <c r="AC89" s="278"/>
      <c r="AD89" s="278"/>
      <c r="AE89" s="278"/>
      <c r="AF89" s="278"/>
      <c r="AG89" s="278"/>
      <c r="AH89" s="278"/>
      <c r="AI89" s="278"/>
      <c r="AJ89" s="278"/>
      <c r="AK89" s="278"/>
      <c r="AL89" s="282"/>
      <c r="AM89" s="158"/>
      <c r="AN89" s="158"/>
      <c r="AO89" s="158"/>
      <c r="AP89" s="158"/>
      <c r="AQ89" s="843"/>
      <c r="AR89" s="843"/>
      <c r="AS89" s="843"/>
      <c r="AT89" s="843"/>
      <c r="AU89" s="843"/>
      <c r="AV89" s="843"/>
      <c r="AW89" s="843"/>
      <c r="AX89" s="843"/>
      <c r="AY89" s="843"/>
    </row>
    <row r="90" spans="1:51" ht="15.75">
      <c r="A90" s="158"/>
      <c r="B90" s="286" t="s">
        <v>1849</v>
      </c>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78"/>
      <c r="AH90" s="278"/>
      <c r="AI90" s="278"/>
      <c r="AJ90" s="278"/>
      <c r="AK90" s="278"/>
      <c r="AL90" s="282"/>
      <c r="AM90" s="158"/>
      <c r="AN90" s="158"/>
      <c r="AO90" s="158"/>
      <c r="AP90" s="158"/>
      <c r="AQ90" s="843"/>
      <c r="AR90" s="843"/>
      <c r="AS90" s="843"/>
      <c r="AT90" s="843"/>
      <c r="AU90" s="843"/>
      <c r="AV90" s="843"/>
      <c r="AW90" s="843"/>
      <c r="AX90" s="843"/>
      <c r="AY90" s="843"/>
    </row>
    <row r="91" spans="1:51" ht="15">
      <c r="A91" s="158"/>
      <c r="B91" s="562"/>
      <c r="C91" s="562"/>
      <c r="D91" s="562"/>
      <c r="E91" s="562"/>
      <c r="F91" s="562"/>
      <c r="G91" s="562"/>
      <c r="H91" s="562"/>
      <c r="I91" s="562"/>
      <c r="J91" s="562"/>
      <c r="K91" s="562"/>
      <c r="L91" s="562"/>
      <c r="M91" s="562"/>
      <c r="N91" s="562"/>
      <c r="O91" s="561"/>
      <c r="P91" s="194"/>
      <c r="Q91" s="194"/>
      <c r="R91" s="194"/>
      <c r="S91" s="194"/>
      <c r="T91" s="194"/>
      <c r="U91" s="194"/>
      <c r="V91" s="194"/>
      <c r="W91" s="194"/>
      <c r="X91" s="195"/>
      <c r="Y91" s="195"/>
      <c r="Z91" s="195"/>
      <c r="AA91" s="195"/>
      <c r="AB91" s="195"/>
      <c r="AC91" s="195"/>
      <c r="AD91" s="195"/>
      <c r="AE91" s="195"/>
      <c r="AF91" s="195"/>
      <c r="AG91" s="278"/>
      <c r="AH91" s="278"/>
      <c r="AI91" s="278"/>
      <c r="AJ91" s="278"/>
      <c r="AK91" s="278"/>
      <c r="AL91" s="282"/>
      <c r="AM91" s="158"/>
      <c r="AN91" s="158"/>
      <c r="AO91" s="158"/>
      <c r="AP91" s="158"/>
      <c r="AQ91" s="843"/>
      <c r="AR91" s="843"/>
      <c r="AS91" s="843"/>
      <c r="AT91" s="843"/>
      <c r="AU91" s="843"/>
      <c r="AV91" s="843"/>
      <c r="AW91" s="843"/>
      <c r="AX91" s="843"/>
      <c r="AY91" s="843"/>
    </row>
    <row r="92" spans="1:51">
      <c r="A92" s="158"/>
      <c r="B92" s="209"/>
      <c r="C92" s="209"/>
      <c r="D92" s="209"/>
      <c r="E92" s="209"/>
      <c r="F92" s="209"/>
      <c r="G92" s="209"/>
      <c r="H92" s="209"/>
      <c r="I92" s="209"/>
      <c r="J92" s="209"/>
      <c r="K92" s="209"/>
      <c r="L92" s="209"/>
      <c r="M92" s="209"/>
      <c r="N92" s="209"/>
      <c r="O92" s="210"/>
      <c r="P92" s="198"/>
      <c r="Q92" s="198"/>
      <c r="R92" s="559">
        <v>1995</v>
      </c>
      <c r="S92" s="559">
        <v>1996</v>
      </c>
      <c r="T92" s="559">
        <v>1997</v>
      </c>
      <c r="U92" s="559">
        <v>1998</v>
      </c>
      <c r="V92" s="559">
        <v>1999</v>
      </c>
      <c r="W92" s="559">
        <v>2000</v>
      </c>
      <c r="X92" s="1121">
        <v>2001</v>
      </c>
      <c r="Y92" s="1121">
        <v>2002</v>
      </c>
      <c r="Z92" s="1121">
        <v>2003</v>
      </c>
      <c r="AA92" s="1121">
        <v>2004</v>
      </c>
      <c r="AB92" s="1121">
        <v>2005</v>
      </c>
      <c r="AC92" s="1121">
        <v>2006</v>
      </c>
      <c r="AD92" s="1121">
        <v>2007</v>
      </c>
      <c r="AE92" s="1121">
        <v>2008</v>
      </c>
      <c r="AF92" s="1121">
        <v>2009</v>
      </c>
      <c r="AG92" s="1121">
        <v>2010</v>
      </c>
      <c r="AH92" s="1121">
        <v>2011</v>
      </c>
      <c r="AI92" s="1121">
        <v>2012</v>
      </c>
      <c r="AJ92" s="1121">
        <v>2013</v>
      </c>
      <c r="AK92" s="1121">
        <v>2014</v>
      </c>
      <c r="AL92" s="1121">
        <v>2015</v>
      </c>
      <c r="AM92" s="1121">
        <v>2016</v>
      </c>
      <c r="AN92" s="1121">
        <v>2017</v>
      </c>
      <c r="AO92" s="1121">
        <v>2018</v>
      </c>
      <c r="AP92" s="1121">
        <v>2019</v>
      </c>
      <c r="AQ92" s="1121">
        <v>2020</v>
      </c>
      <c r="AR92" s="1121">
        <v>2021</v>
      </c>
      <c r="AS92" s="158"/>
      <c r="AT92" s="158"/>
      <c r="AU92" s="158"/>
      <c r="AV92" s="158"/>
      <c r="AW92" s="158"/>
      <c r="AX92" s="158"/>
      <c r="AY92" s="158"/>
    </row>
    <row r="93" spans="1:51">
      <c r="A93" s="158"/>
      <c r="B93" s="158"/>
      <c r="C93" s="158"/>
      <c r="D93" s="158"/>
      <c r="E93" s="158"/>
      <c r="F93" s="158"/>
      <c r="G93" s="158"/>
      <c r="H93" s="158"/>
      <c r="I93" s="158"/>
      <c r="J93" s="158"/>
      <c r="K93" s="158"/>
      <c r="L93" s="158"/>
      <c r="M93" s="158"/>
      <c r="N93" s="158"/>
      <c r="O93" s="158"/>
      <c r="P93" s="158"/>
      <c r="Q93" s="158"/>
      <c r="R93" s="282"/>
      <c r="S93" s="282"/>
      <c r="T93" s="282"/>
      <c r="U93" s="282"/>
      <c r="V93" s="282"/>
      <c r="W93" s="282"/>
      <c r="X93" s="278"/>
      <c r="Y93" s="278"/>
      <c r="Z93" s="278"/>
      <c r="AA93" s="278"/>
      <c r="AB93" s="278"/>
      <c r="AC93" s="278"/>
      <c r="AD93" s="278"/>
      <c r="AE93" s="278"/>
      <c r="AF93" s="278"/>
      <c r="AG93" s="278"/>
      <c r="AH93" s="278"/>
      <c r="AI93" s="278"/>
      <c r="AJ93" s="278"/>
      <c r="AK93" s="278"/>
      <c r="AL93" s="282"/>
      <c r="AM93" s="158"/>
      <c r="AN93" s="158"/>
      <c r="AO93" s="158"/>
      <c r="AP93" s="158"/>
      <c r="AQ93" s="158"/>
      <c r="AR93" s="158"/>
      <c r="AS93" s="158"/>
      <c r="AT93" s="158"/>
      <c r="AU93" s="158"/>
      <c r="AV93" s="158"/>
      <c r="AW93" s="158"/>
      <c r="AX93" s="158"/>
      <c r="AY93" s="158"/>
    </row>
    <row r="94" spans="1:51">
      <c r="A94" s="158"/>
      <c r="B94" s="1174" t="s">
        <v>1560</v>
      </c>
      <c r="C94" s="276"/>
      <c r="D94" s="276"/>
      <c r="E94" s="276"/>
      <c r="F94" s="276"/>
      <c r="G94" s="276"/>
      <c r="H94" s="276"/>
      <c r="I94" s="276"/>
      <c r="J94" s="276"/>
      <c r="K94" s="276"/>
      <c r="L94" s="276"/>
      <c r="M94" s="276"/>
      <c r="N94" s="276"/>
      <c r="O94" s="276"/>
      <c r="P94" s="276"/>
      <c r="Q94" s="276"/>
      <c r="R94" s="302">
        <f t="shared" ref="R94:AQ94" si="13">SUM(R96,R103)</f>
        <v>0</v>
      </c>
      <c r="S94" s="302">
        <f t="shared" si="13"/>
        <v>0</v>
      </c>
      <c r="T94" s="302">
        <f t="shared" si="13"/>
        <v>0</v>
      </c>
      <c r="U94" s="302">
        <f t="shared" si="13"/>
        <v>0</v>
      </c>
      <c r="V94" s="302">
        <f t="shared" si="13"/>
        <v>0</v>
      </c>
      <c r="W94" s="302">
        <f t="shared" si="13"/>
        <v>0</v>
      </c>
      <c r="X94" s="302">
        <f t="shared" si="13"/>
        <v>0</v>
      </c>
      <c r="Y94" s="302">
        <f t="shared" si="13"/>
        <v>0</v>
      </c>
      <c r="Z94" s="302">
        <f t="shared" si="13"/>
        <v>0</v>
      </c>
      <c r="AA94" s="302">
        <f t="shared" si="13"/>
        <v>0</v>
      </c>
      <c r="AB94" s="302">
        <f t="shared" si="13"/>
        <v>0</v>
      </c>
      <c r="AC94" s="302">
        <f t="shared" si="13"/>
        <v>0</v>
      </c>
      <c r="AD94" s="302">
        <f t="shared" si="13"/>
        <v>0</v>
      </c>
      <c r="AE94" s="302">
        <f t="shared" si="13"/>
        <v>0</v>
      </c>
      <c r="AF94" s="302">
        <f t="shared" si="13"/>
        <v>0</v>
      </c>
      <c r="AG94" s="302">
        <f t="shared" si="13"/>
        <v>0</v>
      </c>
      <c r="AH94" s="302">
        <f t="shared" si="13"/>
        <v>0</v>
      </c>
      <c r="AI94" s="302">
        <f t="shared" si="13"/>
        <v>0</v>
      </c>
      <c r="AJ94" s="302">
        <f t="shared" si="13"/>
        <v>0</v>
      </c>
      <c r="AK94" s="302">
        <f t="shared" si="13"/>
        <v>0</v>
      </c>
      <c r="AL94" s="302">
        <f t="shared" si="13"/>
        <v>0</v>
      </c>
      <c r="AM94" s="302">
        <f t="shared" si="13"/>
        <v>0</v>
      </c>
      <c r="AN94" s="302">
        <f t="shared" si="13"/>
        <v>0</v>
      </c>
      <c r="AO94" s="302">
        <f t="shared" si="13"/>
        <v>18213.509999999998</v>
      </c>
      <c r="AP94" s="302">
        <f t="shared" si="13"/>
        <v>18320.155214896164</v>
      </c>
      <c r="AQ94" s="302">
        <f t="shared" si="13"/>
        <v>19723.09</v>
      </c>
      <c r="AR94" s="302"/>
      <c r="AS94" s="158"/>
      <c r="AT94" s="158"/>
      <c r="AU94" s="158"/>
      <c r="AV94" s="158"/>
      <c r="AW94" s="158"/>
      <c r="AX94" s="158"/>
      <c r="AY94" s="158"/>
    </row>
    <row r="95" spans="1:51">
      <c r="A95" s="158"/>
      <c r="B95" s="1174"/>
      <c r="C95" s="276"/>
      <c r="D95" s="276"/>
      <c r="E95" s="276"/>
      <c r="F95" s="276"/>
      <c r="G95" s="276"/>
      <c r="H95" s="276"/>
      <c r="I95" s="276"/>
      <c r="J95" s="276"/>
      <c r="K95" s="276"/>
      <c r="L95" s="276"/>
      <c r="M95" s="276"/>
      <c r="N95" s="276"/>
      <c r="O95" s="276"/>
      <c r="P95" s="276"/>
      <c r="Q95" s="276"/>
      <c r="R95" s="278"/>
      <c r="S95" s="278"/>
      <c r="T95" s="278"/>
      <c r="U95" s="278"/>
      <c r="V95" s="278"/>
      <c r="W95" s="278"/>
      <c r="X95" s="278"/>
      <c r="Y95" s="278"/>
      <c r="Z95" s="278"/>
      <c r="AA95" s="278"/>
      <c r="AB95" s="278"/>
      <c r="AC95" s="278"/>
      <c r="AD95" s="278"/>
      <c r="AE95" s="278"/>
      <c r="AF95" s="285"/>
      <c r="AG95" s="285"/>
      <c r="AH95" s="285"/>
      <c r="AI95" s="285"/>
      <c r="AJ95" s="285"/>
      <c r="AK95" s="285"/>
      <c r="AL95" s="278"/>
      <c r="AM95" s="276"/>
      <c r="AN95" s="276"/>
      <c r="AO95" s="276"/>
      <c r="AP95" s="276"/>
      <c r="AQ95" s="276"/>
      <c r="AR95" s="276"/>
      <c r="AS95" s="158"/>
      <c r="AT95" s="158"/>
      <c r="AU95" s="158"/>
      <c r="AV95" s="158"/>
      <c r="AW95" s="158"/>
      <c r="AX95" s="158"/>
      <c r="AY95" s="158"/>
    </row>
    <row r="96" spans="1:51">
      <c r="A96" s="158"/>
      <c r="B96" s="1174" t="s">
        <v>54</v>
      </c>
      <c r="C96" s="276"/>
      <c r="D96" s="276"/>
      <c r="E96" s="276"/>
      <c r="F96" s="276"/>
      <c r="G96" s="276"/>
      <c r="H96" s="276"/>
      <c r="I96" s="276"/>
      <c r="J96" s="276"/>
      <c r="K96" s="276"/>
      <c r="L96" s="276"/>
      <c r="M96" s="276"/>
      <c r="N96" s="276"/>
      <c r="O96" s="276"/>
      <c r="P96" s="276"/>
      <c r="Q96" s="276"/>
      <c r="R96" s="302">
        <f t="shared" ref="R96:AQ96" si="14">SUM(R97:R101)</f>
        <v>0</v>
      </c>
      <c r="S96" s="302">
        <f t="shared" si="14"/>
        <v>0</v>
      </c>
      <c r="T96" s="302">
        <f t="shared" si="14"/>
        <v>0</v>
      </c>
      <c r="U96" s="302">
        <f t="shared" si="14"/>
        <v>0</v>
      </c>
      <c r="V96" s="302">
        <f t="shared" si="14"/>
        <v>0</v>
      </c>
      <c r="W96" s="302">
        <f t="shared" si="14"/>
        <v>0</v>
      </c>
      <c r="X96" s="302">
        <f t="shared" si="14"/>
        <v>0</v>
      </c>
      <c r="Y96" s="302">
        <f t="shared" si="14"/>
        <v>0</v>
      </c>
      <c r="Z96" s="302">
        <f t="shared" si="14"/>
        <v>0</v>
      </c>
      <c r="AA96" s="302">
        <f t="shared" si="14"/>
        <v>0</v>
      </c>
      <c r="AB96" s="302">
        <f t="shared" si="14"/>
        <v>0</v>
      </c>
      <c r="AC96" s="302">
        <f t="shared" si="14"/>
        <v>0</v>
      </c>
      <c r="AD96" s="302">
        <f t="shared" si="14"/>
        <v>0</v>
      </c>
      <c r="AE96" s="302">
        <f t="shared" si="14"/>
        <v>0</v>
      </c>
      <c r="AF96" s="302">
        <f t="shared" si="14"/>
        <v>0</v>
      </c>
      <c r="AG96" s="302">
        <f t="shared" si="14"/>
        <v>0</v>
      </c>
      <c r="AH96" s="302">
        <f t="shared" si="14"/>
        <v>0</v>
      </c>
      <c r="AI96" s="302">
        <f t="shared" si="14"/>
        <v>0</v>
      </c>
      <c r="AJ96" s="302">
        <f t="shared" si="14"/>
        <v>0</v>
      </c>
      <c r="AK96" s="302">
        <f t="shared" si="14"/>
        <v>0</v>
      </c>
      <c r="AL96" s="302">
        <f t="shared" si="14"/>
        <v>0</v>
      </c>
      <c r="AM96" s="302">
        <f t="shared" si="14"/>
        <v>0</v>
      </c>
      <c r="AN96" s="302">
        <f t="shared" si="14"/>
        <v>0</v>
      </c>
      <c r="AO96" s="302">
        <f t="shared" si="14"/>
        <v>14019.25</v>
      </c>
      <c r="AP96" s="302">
        <f t="shared" si="14"/>
        <v>14143.711923896162</v>
      </c>
      <c r="AQ96" s="302">
        <f t="shared" si="14"/>
        <v>14652.68</v>
      </c>
      <c r="AR96" s="302"/>
      <c r="AS96" s="158"/>
      <c r="AT96" s="158"/>
      <c r="AU96" s="158"/>
      <c r="AV96" s="158"/>
      <c r="AW96" s="158"/>
      <c r="AX96" s="158"/>
      <c r="AY96" s="158"/>
    </row>
    <row r="97" spans="1:51" outlineLevel="1">
      <c r="A97" s="158"/>
      <c r="B97" s="1175" t="s">
        <v>1850</v>
      </c>
      <c r="C97" s="1176"/>
      <c r="D97" s="276"/>
      <c r="E97" s="276"/>
      <c r="F97" s="276"/>
      <c r="G97" s="276"/>
      <c r="H97" s="276"/>
      <c r="I97" s="276"/>
      <c r="J97" s="276"/>
      <c r="K97" s="276"/>
      <c r="L97" s="276"/>
      <c r="M97" s="276"/>
      <c r="N97" s="276"/>
      <c r="O97" s="276"/>
      <c r="P97" s="276"/>
      <c r="Q97" s="276"/>
      <c r="R97" s="278"/>
      <c r="S97" s="278"/>
      <c r="T97" s="278"/>
      <c r="U97" s="278"/>
      <c r="V97" s="278"/>
      <c r="W97" s="278"/>
      <c r="X97" s="278"/>
      <c r="Y97" s="278"/>
      <c r="Z97" s="278"/>
      <c r="AA97" s="278"/>
      <c r="AB97" s="278"/>
      <c r="AC97" s="278"/>
      <c r="AD97" s="278"/>
      <c r="AE97" s="278"/>
      <c r="AF97" s="278"/>
      <c r="AG97" s="278"/>
      <c r="AH97" s="278"/>
      <c r="AI97" s="278"/>
      <c r="AJ97" s="278"/>
      <c r="AK97" s="278"/>
      <c r="AL97" s="278"/>
      <c r="AM97" s="278"/>
      <c r="AN97" s="278"/>
      <c r="AO97" s="278"/>
      <c r="AP97" s="1177"/>
      <c r="AQ97" s="278"/>
      <c r="AR97" s="278"/>
      <c r="AS97" s="158"/>
      <c r="AT97" s="158"/>
      <c r="AU97" s="158"/>
      <c r="AV97" s="158"/>
      <c r="AW97" s="158"/>
      <c r="AX97" s="158"/>
      <c r="AY97" s="158"/>
    </row>
    <row r="98" spans="1:51" outlineLevel="1">
      <c r="A98" s="158"/>
      <c r="B98" s="1175" t="s">
        <v>1851</v>
      </c>
      <c r="C98" s="1176"/>
      <c r="D98" s="276"/>
      <c r="E98" s="276"/>
      <c r="F98" s="276"/>
      <c r="G98" s="276"/>
      <c r="H98" s="276"/>
      <c r="I98" s="276"/>
      <c r="J98" s="276"/>
      <c r="K98" s="276"/>
      <c r="L98" s="276"/>
      <c r="M98" s="276"/>
      <c r="N98" s="276"/>
      <c r="O98" s="276"/>
      <c r="P98" s="276"/>
      <c r="Q98" s="276"/>
      <c r="R98" s="278"/>
      <c r="S98" s="278"/>
      <c r="T98" s="278"/>
      <c r="U98" s="278"/>
      <c r="V98" s="278"/>
      <c r="W98" s="278"/>
      <c r="X98" s="278"/>
      <c r="Y98" s="278"/>
      <c r="Z98" s="278"/>
      <c r="AA98" s="278"/>
      <c r="AB98" s="278"/>
      <c r="AC98" s="278"/>
      <c r="AD98" s="278"/>
      <c r="AE98" s="278"/>
      <c r="AF98" s="278"/>
      <c r="AG98" s="278"/>
      <c r="AH98" s="278"/>
      <c r="AI98" s="278"/>
      <c r="AJ98" s="278"/>
      <c r="AK98" s="278"/>
      <c r="AL98" s="278"/>
      <c r="AM98" s="278"/>
      <c r="AN98" s="278"/>
      <c r="AO98" s="278">
        <v>2299.3200000000002</v>
      </c>
      <c r="AP98" s="1178">
        <v>2112.2399999999998</v>
      </c>
      <c r="AQ98" s="278">
        <v>2343.23</v>
      </c>
      <c r="AR98" s="278"/>
      <c r="AS98" s="158"/>
      <c r="AT98" s="158"/>
      <c r="AU98" s="158"/>
      <c r="AV98" s="158"/>
      <c r="AW98" s="158"/>
      <c r="AX98" s="158"/>
      <c r="AY98" s="158"/>
    </row>
    <row r="99" spans="1:51" outlineLevel="1">
      <c r="A99" s="158"/>
      <c r="B99" s="1175" t="s">
        <v>1852</v>
      </c>
      <c r="C99" s="1176"/>
      <c r="D99" s="276"/>
      <c r="E99" s="276"/>
      <c r="F99" s="276"/>
      <c r="G99" s="276"/>
      <c r="H99" s="276"/>
      <c r="I99" s="276"/>
      <c r="J99" s="276"/>
      <c r="K99" s="276"/>
      <c r="L99" s="276"/>
      <c r="M99" s="276"/>
      <c r="N99" s="276"/>
      <c r="O99" s="276"/>
      <c r="P99" s="276"/>
      <c r="Q99" s="276"/>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1177"/>
      <c r="AQ99" s="278"/>
      <c r="AR99" s="278"/>
      <c r="AS99" s="158"/>
      <c r="AT99" s="158"/>
      <c r="AU99" s="158"/>
      <c r="AV99" s="158"/>
      <c r="AW99" s="158"/>
      <c r="AX99" s="158"/>
      <c r="AY99" s="158"/>
    </row>
    <row r="100" spans="1:51" outlineLevel="1">
      <c r="A100" s="158"/>
      <c r="B100" s="1175" t="s">
        <v>1851</v>
      </c>
      <c r="C100" s="1176"/>
      <c r="D100" s="276"/>
      <c r="E100" s="276"/>
      <c r="F100" s="276"/>
      <c r="G100" s="276"/>
      <c r="H100" s="276"/>
      <c r="I100" s="276"/>
      <c r="J100" s="276"/>
      <c r="K100" s="276"/>
      <c r="L100" s="276"/>
      <c r="M100" s="276"/>
      <c r="N100" s="276"/>
      <c r="O100" s="276"/>
      <c r="P100" s="276"/>
      <c r="Q100" s="276"/>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v>11719.93</v>
      </c>
      <c r="AP100" s="1179">
        <v>12031.471923896162</v>
      </c>
      <c r="AQ100" s="278">
        <v>12309.45</v>
      </c>
      <c r="AR100" s="278"/>
      <c r="AS100" s="158"/>
      <c r="AT100" s="158"/>
      <c r="AU100" s="158"/>
      <c r="AV100" s="158"/>
      <c r="AW100" s="158"/>
      <c r="AX100" s="158"/>
      <c r="AY100" s="158"/>
    </row>
    <row r="101" spans="1:51" outlineLevel="1">
      <c r="A101" s="158"/>
      <c r="X101" s="1164"/>
      <c r="Y101" s="1164"/>
      <c r="Z101" s="1164"/>
      <c r="AA101" s="1164"/>
      <c r="AB101" s="1164"/>
      <c r="AC101" s="1164"/>
      <c r="AD101" s="1164"/>
      <c r="AE101" s="1164"/>
      <c r="AF101" s="1164"/>
      <c r="AJ101" s="1164"/>
      <c r="AO101" s="1180"/>
      <c r="AP101" s="1180"/>
      <c r="AQ101" s="1180"/>
      <c r="AR101" s="1180"/>
      <c r="AS101" s="158"/>
      <c r="AT101" s="158"/>
      <c r="AU101" s="158"/>
      <c r="AV101" s="158"/>
      <c r="AW101" s="158"/>
      <c r="AX101" s="158"/>
      <c r="AY101" s="158"/>
    </row>
    <row r="102" spans="1:51" ht="15">
      <c r="A102" s="158"/>
      <c r="B102" s="1181"/>
      <c r="C102" s="1182"/>
      <c r="D102" s="276"/>
      <c r="E102" s="276"/>
      <c r="F102" s="276"/>
      <c r="G102" s="276"/>
      <c r="H102" s="276"/>
      <c r="I102" s="276"/>
      <c r="J102" s="276"/>
      <c r="K102" s="276"/>
      <c r="L102" s="276"/>
      <c r="M102" s="276"/>
      <c r="N102" s="276"/>
      <c r="O102" s="276"/>
      <c r="P102" s="276"/>
      <c r="Q102" s="276"/>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843"/>
      <c r="AT102" s="843"/>
      <c r="AU102" s="843"/>
      <c r="AV102" s="843"/>
      <c r="AW102" s="843"/>
      <c r="AX102" s="843"/>
      <c r="AY102" s="843"/>
    </row>
    <row r="103" spans="1:51" ht="15">
      <c r="A103" s="158"/>
      <c r="B103" s="1183" t="s">
        <v>532</v>
      </c>
      <c r="C103" s="1182"/>
      <c r="D103" s="276"/>
      <c r="E103" s="276"/>
      <c r="F103" s="276"/>
      <c r="G103" s="276"/>
      <c r="H103" s="276"/>
      <c r="I103" s="276"/>
      <c r="J103" s="276"/>
      <c r="K103" s="276"/>
      <c r="L103" s="276"/>
      <c r="M103" s="276"/>
      <c r="N103" s="276"/>
      <c r="O103" s="276"/>
      <c r="P103" s="276"/>
      <c r="Q103" s="276"/>
      <c r="R103" s="302">
        <f t="shared" ref="R103:AN103" si="15">SUM(R104:R106)</f>
        <v>0</v>
      </c>
      <c r="S103" s="302">
        <f t="shared" si="15"/>
        <v>0</v>
      </c>
      <c r="T103" s="302">
        <f t="shared" si="15"/>
        <v>0</v>
      </c>
      <c r="U103" s="302">
        <f t="shared" si="15"/>
        <v>0</v>
      </c>
      <c r="V103" s="302">
        <f t="shared" si="15"/>
        <v>0</v>
      </c>
      <c r="W103" s="302">
        <f t="shared" si="15"/>
        <v>0</v>
      </c>
      <c r="X103" s="302">
        <f t="shared" si="15"/>
        <v>0</v>
      </c>
      <c r="Y103" s="302">
        <f t="shared" si="15"/>
        <v>0</v>
      </c>
      <c r="Z103" s="302">
        <f t="shared" si="15"/>
        <v>0</v>
      </c>
      <c r="AA103" s="302">
        <f t="shared" si="15"/>
        <v>0</v>
      </c>
      <c r="AB103" s="302">
        <f t="shared" si="15"/>
        <v>0</v>
      </c>
      <c r="AC103" s="302">
        <f t="shared" si="15"/>
        <v>0</v>
      </c>
      <c r="AD103" s="302">
        <f t="shared" si="15"/>
        <v>0</v>
      </c>
      <c r="AE103" s="302">
        <f t="shared" si="15"/>
        <v>0</v>
      </c>
      <c r="AF103" s="302">
        <f t="shared" si="15"/>
        <v>0</v>
      </c>
      <c r="AG103" s="302">
        <f t="shared" si="15"/>
        <v>0</v>
      </c>
      <c r="AH103" s="302">
        <f t="shared" si="15"/>
        <v>0</v>
      </c>
      <c r="AI103" s="302">
        <f t="shared" si="15"/>
        <v>0</v>
      </c>
      <c r="AJ103" s="302">
        <f t="shared" si="15"/>
        <v>0</v>
      </c>
      <c r="AK103" s="302">
        <f t="shared" si="15"/>
        <v>0</v>
      </c>
      <c r="AL103" s="302">
        <f t="shared" si="15"/>
        <v>0</v>
      </c>
      <c r="AM103" s="302">
        <f t="shared" si="15"/>
        <v>0</v>
      </c>
      <c r="AN103" s="302">
        <f t="shared" si="15"/>
        <v>0</v>
      </c>
      <c r="AO103" s="302">
        <f>SUM(AO106:AO108)</f>
        <v>4194.2599999999993</v>
      </c>
      <c r="AP103" s="302">
        <f t="shared" ref="AP103:AQ103" si="16">SUM(AP106:AP108)</f>
        <v>4176.4432909999996</v>
      </c>
      <c r="AQ103" s="302">
        <f t="shared" si="16"/>
        <v>5070.41</v>
      </c>
      <c r="AR103" s="302"/>
      <c r="AS103" s="843"/>
      <c r="AT103" s="843"/>
      <c r="AU103" s="843"/>
      <c r="AV103" s="843"/>
      <c r="AW103" s="843"/>
      <c r="AX103" s="843"/>
      <c r="AY103" s="843"/>
    </row>
    <row r="104" spans="1:51" ht="15">
      <c r="A104" s="158"/>
      <c r="B104" s="1181"/>
      <c r="C104" s="1182"/>
      <c r="D104" s="276"/>
      <c r="E104" s="276"/>
      <c r="F104" s="276"/>
      <c r="G104" s="276"/>
      <c r="H104" s="276"/>
      <c r="I104" s="276"/>
      <c r="J104" s="276"/>
      <c r="K104" s="276"/>
      <c r="L104" s="276"/>
      <c r="M104" s="276"/>
      <c r="N104" s="276"/>
      <c r="O104" s="276"/>
      <c r="P104" s="276"/>
      <c r="Q104" s="276"/>
      <c r="R104" s="278"/>
      <c r="S104" s="278"/>
      <c r="T104" s="278"/>
      <c r="U104" s="278"/>
      <c r="V104" s="278"/>
      <c r="W104" s="278"/>
      <c r="X104" s="278"/>
      <c r="Y104" s="278"/>
      <c r="Z104" s="278"/>
      <c r="AA104" s="278"/>
      <c r="AB104" s="278"/>
      <c r="AC104" s="278"/>
      <c r="AD104" s="278"/>
      <c r="AE104" s="278"/>
      <c r="AF104" s="285"/>
      <c r="AG104" s="285"/>
      <c r="AH104" s="285"/>
      <c r="AI104" s="285"/>
      <c r="AJ104" s="285"/>
      <c r="AK104" s="285"/>
      <c r="AL104" s="278"/>
      <c r="AM104" s="276"/>
      <c r="AN104" s="276"/>
      <c r="AO104" s="276"/>
      <c r="AP104" s="276"/>
      <c r="AQ104" s="276"/>
      <c r="AR104" s="276"/>
      <c r="AS104" s="843"/>
      <c r="AT104" s="843"/>
      <c r="AU104" s="843"/>
      <c r="AV104" s="843"/>
      <c r="AW104" s="843"/>
      <c r="AX104" s="843"/>
      <c r="AY104" s="843"/>
    </row>
    <row r="105" spans="1:51" ht="15">
      <c r="A105" s="158"/>
      <c r="B105" s="1175" t="s">
        <v>1853</v>
      </c>
      <c r="C105" s="1176"/>
      <c r="D105" s="276"/>
      <c r="E105" s="276"/>
      <c r="F105" s="276"/>
      <c r="G105" s="276"/>
      <c r="H105" s="276"/>
      <c r="I105" s="276"/>
      <c r="J105" s="276"/>
      <c r="K105" s="276"/>
      <c r="L105" s="276"/>
      <c r="M105" s="276"/>
      <c r="N105" s="276"/>
      <c r="O105" s="276"/>
      <c r="P105" s="276"/>
      <c r="Q105" s="276"/>
      <c r="R105" s="278"/>
      <c r="S105" s="278"/>
      <c r="T105" s="278"/>
      <c r="U105" s="278"/>
      <c r="V105" s="278"/>
      <c r="W105" s="278"/>
      <c r="X105" s="278"/>
      <c r="Y105" s="278"/>
      <c r="Z105" s="278"/>
      <c r="AA105" s="278"/>
      <c r="AB105" s="278"/>
      <c r="AC105" s="278"/>
      <c r="AD105" s="278"/>
      <c r="AE105" s="278"/>
      <c r="AF105" s="278"/>
      <c r="AG105" s="278"/>
      <c r="AH105" s="278"/>
      <c r="AI105" s="278"/>
      <c r="AJ105" s="278"/>
      <c r="AK105" s="278"/>
      <c r="AL105" s="278"/>
      <c r="AM105" s="278"/>
      <c r="AN105" s="278"/>
      <c r="AO105" s="278"/>
      <c r="AP105" s="1177"/>
      <c r="AQ105" s="278"/>
      <c r="AR105" s="278"/>
      <c r="AS105" s="843"/>
      <c r="AT105" s="843"/>
      <c r="AU105" s="843"/>
      <c r="AV105" s="843"/>
      <c r="AW105" s="843"/>
      <c r="AX105" s="843"/>
      <c r="AY105" s="843"/>
    </row>
    <row r="106" spans="1:51" ht="15">
      <c r="A106" s="158"/>
      <c r="B106" s="1175" t="s">
        <v>1854</v>
      </c>
      <c r="C106" s="1176"/>
      <c r="D106" s="276"/>
      <c r="E106" s="276"/>
      <c r="F106" s="276"/>
      <c r="G106" s="276"/>
      <c r="H106" s="276"/>
      <c r="I106" s="276"/>
      <c r="J106" s="276"/>
      <c r="K106" s="276"/>
      <c r="L106" s="276"/>
      <c r="M106" s="276"/>
      <c r="N106" s="276"/>
      <c r="O106" s="276"/>
      <c r="P106" s="276"/>
      <c r="Q106" s="276"/>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8"/>
      <c r="AM106" s="278"/>
      <c r="AN106" s="278"/>
      <c r="AO106" s="278">
        <v>97.36</v>
      </c>
      <c r="AP106" s="1184">
        <v>20.48</v>
      </c>
      <c r="AQ106" s="278">
        <v>1063.74</v>
      </c>
      <c r="AR106" s="278"/>
      <c r="AS106" s="843"/>
      <c r="AT106" s="843"/>
      <c r="AU106" s="843"/>
      <c r="AV106" s="843"/>
      <c r="AW106" s="843"/>
      <c r="AX106" s="843"/>
      <c r="AY106" s="843"/>
    </row>
    <row r="107" spans="1:51" ht="15">
      <c r="A107" s="158"/>
      <c r="B107" s="1181" t="s">
        <v>1855</v>
      </c>
      <c r="C107" s="1182"/>
      <c r="D107" s="276"/>
      <c r="E107" s="276"/>
      <c r="F107" s="276"/>
      <c r="G107" s="276"/>
      <c r="H107" s="276"/>
      <c r="I107" s="276"/>
      <c r="J107" s="276"/>
      <c r="K107" s="276"/>
      <c r="L107" s="276"/>
      <c r="M107" s="276"/>
      <c r="N107" s="276"/>
      <c r="O107" s="276"/>
      <c r="P107" s="276"/>
      <c r="Q107" s="276"/>
      <c r="R107" s="278"/>
      <c r="S107" s="278"/>
      <c r="T107" s="278"/>
      <c r="U107" s="278"/>
      <c r="V107" s="278"/>
      <c r="W107" s="278"/>
      <c r="X107" s="278"/>
      <c r="Y107" s="278"/>
      <c r="Z107" s="278"/>
      <c r="AA107" s="278"/>
      <c r="AB107" s="278"/>
      <c r="AC107" s="278"/>
      <c r="AD107" s="278"/>
      <c r="AE107" s="278"/>
      <c r="AF107" s="278"/>
      <c r="AG107" s="278"/>
      <c r="AH107" s="278"/>
      <c r="AI107" s="278"/>
      <c r="AJ107" s="278"/>
      <c r="AK107" s="278"/>
      <c r="AL107" s="278"/>
      <c r="AM107" s="278"/>
      <c r="AN107" s="278"/>
      <c r="AO107" s="278"/>
      <c r="AP107" s="1185"/>
      <c r="AQ107" s="278"/>
      <c r="AR107" s="278"/>
      <c r="AS107" s="843"/>
      <c r="AT107" s="843"/>
      <c r="AU107" s="843"/>
      <c r="AV107" s="843"/>
      <c r="AW107" s="843"/>
      <c r="AX107" s="843"/>
      <c r="AY107" s="843"/>
    </row>
    <row r="108" spans="1:51" ht="15">
      <c r="A108" s="158"/>
      <c r="B108" s="1181" t="s">
        <v>1856</v>
      </c>
      <c r="C108" s="1182"/>
      <c r="D108" s="276"/>
      <c r="E108" s="276"/>
      <c r="F108" s="276"/>
      <c r="G108" s="276"/>
      <c r="H108" s="276"/>
      <c r="I108" s="276"/>
      <c r="J108" s="276"/>
      <c r="K108" s="276"/>
      <c r="L108" s="276"/>
      <c r="M108" s="276"/>
      <c r="N108" s="276"/>
      <c r="O108" s="276"/>
      <c r="P108" s="276"/>
      <c r="Q108" s="276"/>
      <c r="R108" s="278"/>
      <c r="S108" s="278"/>
      <c r="T108" s="278"/>
      <c r="U108" s="278"/>
      <c r="V108" s="278"/>
      <c r="W108" s="278"/>
      <c r="X108" s="278"/>
      <c r="Y108" s="278"/>
      <c r="Z108" s="278"/>
      <c r="AA108" s="278"/>
      <c r="AB108" s="278"/>
      <c r="AC108" s="278"/>
      <c r="AD108" s="278"/>
      <c r="AE108" s="278"/>
      <c r="AF108" s="278"/>
      <c r="AG108" s="278"/>
      <c r="AH108" s="278"/>
      <c r="AI108" s="278"/>
      <c r="AJ108" s="278"/>
      <c r="AK108" s="278"/>
      <c r="AL108" s="278"/>
      <c r="AM108" s="278"/>
      <c r="AN108" s="278"/>
      <c r="AO108" s="278">
        <v>4096.8999999999996</v>
      </c>
      <c r="AP108" s="1186">
        <v>4155.963291</v>
      </c>
      <c r="AQ108" s="278">
        <v>4006.67</v>
      </c>
      <c r="AR108" s="278"/>
      <c r="AS108" s="843"/>
      <c r="AT108" s="843"/>
      <c r="AU108" s="843"/>
      <c r="AV108" s="843"/>
      <c r="AW108" s="843"/>
      <c r="AX108" s="843"/>
      <c r="AY108" s="843"/>
    </row>
    <row r="109" spans="1:51" ht="15">
      <c r="A109" s="158"/>
      <c r="B109" s="1187"/>
      <c r="C109" s="276"/>
      <c r="D109" s="276"/>
      <c r="E109" s="276"/>
      <c r="F109" s="276"/>
      <c r="G109" s="276"/>
      <c r="H109" s="276"/>
      <c r="I109" s="276"/>
      <c r="J109" s="276"/>
      <c r="K109" s="276"/>
      <c r="L109" s="276"/>
      <c r="M109" s="276"/>
      <c r="N109" s="276"/>
      <c r="O109" s="276"/>
      <c r="P109" s="276"/>
      <c r="Q109" s="276"/>
      <c r="R109" s="278"/>
      <c r="S109" s="278"/>
      <c r="T109" s="278"/>
      <c r="U109" s="278"/>
      <c r="V109" s="278"/>
      <c r="W109" s="278"/>
      <c r="X109" s="278"/>
      <c r="Y109" s="278"/>
      <c r="Z109" s="278"/>
      <c r="AA109" s="278"/>
      <c r="AB109" s="278"/>
      <c r="AC109" s="278"/>
      <c r="AD109" s="278"/>
      <c r="AE109" s="278"/>
      <c r="AF109" s="285"/>
      <c r="AG109" s="285"/>
      <c r="AH109" s="285"/>
      <c r="AI109" s="285"/>
      <c r="AJ109" s="285"/>
      <c r="AK109" s="285"/>
      <c r="AL109" s="278"/>
      <c r="AM109" s="276"/>
      <c r="AN109" s="276"/>
      <c r="AO109" s="278"/>
      <c r="AP109" s="278"/>
      <c r="AQ109" s="278"/>
      <c r="AR109" s="276"/>
      <c r="AS109" s="843"/>
      <c r="AT109" s="843"/>
      <c r="AU109" s="843"/>
      <c r="AV109" s="843"/>
      <c r="AW109" s="843"/>
      <c r="AX109" s="843"/>
      <c r="AY109" s="843"/>
    </row>
    <row r="110" spans="1:51" ht="15">
      <c r="A110" s="158"/>
      <c r="B110" s="1187" t="s">
        <v>78</v>
      </c>
      <c r="C110" s="285"/>
      <c r="D110" s="276"/>
      <c r="E110" s="276"/>
      <c r="F110" s="276"/>
      <c r="G110" s="276"/>
      <c r="H110" s="276"/>
      <c r="I110" s="276"/>
      <c r="J110" s="276"/>
      <c r="K110" s="276"/>
      <c r="L110" s="276"/>
      <c r="M110" s="276"/>
      <c r="N110" s="276"/>
      <c r="O110" s="276"/>
      <c r="P110" s="276"/>
      <c r="Q110" s="276"/>
      <c r="R110" s="302">
        <f t="shared" ref="R110:AQ110" si="17">SUM(R111:R111)</f>
        <v>0</v>
      </c>
      <c r="S110" s="302">
        <f t="shared" si="17"/>
        <v>0</v>
      </c>
      <c r="T110" s="302">
        <f t="shared" si="17"/>
        <v>0</v>
      </c>
      <c r="U110" s="302">
        <f t="shared" si="17"/>
        <v>0</v>
      </c>
      <c r="V110" s="302">
        <f t="shared" si="17"/>
        <v>0</v>
      </c>
      <c r="W110" s="302">
        <f t="shared" si="17"/>
        <v>0</v>
      </c>
      <c r="X110" s="302">
        <f t="shared" si="17"/>
        <v>0</v>
      </c>
      <c r="Y110" s="302">
        <f t="shared" si="17"/>
        <v>0</v>
      </c>
      <c r="Z110" s="302">
        <f t="shared" si="17"/>
        <v>0</v>
      </c>
      <c r="AA110" s="302">
        <f t="shared" si="17"/>
        <v>0</v>
      </c>
      <c r="AB110" s="302">
        <f t="shared" si="17"/>
        <v>0</v>
      </c>
      <c r="AC110" s="302">
        <f t="shared" si="17"/>
        <v>0</v>
      </c>
      <c r="AD110" s="302">
        <f t="shared" si="17"/>
        <v>0</v>
      </c>
      <c r="AE110" s="302">
        <f t="shared" si="17"/>
        <v>0</v>
      </c>
      <c r="AF110" s="302">
        <f t="shared" si="17"/>
        <v>0</v>
      </c>
      <c r="AG110" s="302">
        <f t="shared" si="17"/>
        <v>0</v>
      </c>
      <c r="AH110" s="302">
        <f t="shared" si="17"/>
        <v>0</v>
      </c>
      <c r="AI110" s="302">
        <f t="shared" si="17"/>
        <v>0</v>
      </c>
      <c r="AJ110" s="302">
        <f t="shared" si="17"/>
        <v>0</v>
      </c>
      <c r="AK110" s="302">
        <f t="shared" si="17"/>
        <v>0</v>
      </c>
      <c r="AL110" s="302">
        <f t="shared" si="17"/>
        <v>0</v>
      </c>
      <c r="AM110" s="302">
        <f t="shared" si="17"/>
        <v>0</v>
      </c>
      <c r="AN110" s="302">
        <f t="shared" si="17"/>
        <v>0</v>
      </c>
      <c r="AO110" s="302">
        <f t="shared" si="17"/>
        <v>0</v>
      </c>
      <c r="AP110" s="302">
        <f t="shared" si="17"/>
        <v>0</v>
      </c>
      <c r="AQ110" s="302">
        <f t="shared" si="17"/>
        <v>0</v>
      </c>
      <c r="AR110" s="302"/>
      <c r="AS110" s="843"/>
      <c r="AT110" s="843"/>
      <c r="AU110" s="843"/>
      <c r="AV110" s="843"/>
      <c r="AW110" s="843"/>
      <c r="AX110" s="843"/>
      <c r="AY110" s="843"/>
    </row>
    <row r="111" spans="1:51" ht="15">
      <c r="A111" s="158"/>
      <c r="B111" s="1174"/>
      <c r="C111" s="285"/>
      <c r="D111" s="276"/>
      <c r="E111" s="276"/>
      <c r="F111" s="276"/>
      <c r="G111" s="276"/>
      <c r="H111" s="276"/>
      <c r="I111" s="276"/>
      <c r="J111" s="276"/>
      <c r="K111" s="276"/>
      <c r="L111" s="276"/>
      <c r="M111" s="276"/>
      <c r="N111" s="276"/>
      <c r="O111" s="276"/>
      <c r="P111" s="276"/>
      <c r="Q111" s="276"/>
      <c r="R111" s="278"/>
      <c r="S111" s="278"/>
      <c r="T111" s="278"/>
      <c r="U111" s="278"/>
      <c r="V111" s="278"/>
      <c r="W111" s="278"/>
      <c r="X111" s="278"/>
      <c r="Y111" s="278"/>
      <c r="Z111" s="278"/>
      <c r="AA111" s="278"/>
      <c r="AB111" s="278"/>
      <c r="AC111" s="278"/>
      <c r="AD111" s="278"/>
      <c r="AE111" s="278"/>
      <c r="AF111" s="1188"/>
      <c r="AG111" s="1188"/>
      <c r="AH111" s="1188"/>
      <c r="AI111" s="1188"/>
      <c r="AJ111" s="1188"/>
      <c r="AK111" s="1188"/>
      <c r="AL111" s="1188"/>
      <c r="AM111" s="1188"/>
      <c r="AN111" s="1188"/>
      <c r="AO111" s="1189"/>
      <c r="AP111" s="1189"/>
      <c r="AQ111" s="1189"/>
      <c r="AR111" s="1188"/>
      <c r="AS111" s="843"/>
      <c r="AT111" s="843"/>
      <c r="AU111" s="843"/>
      <c r="AV111" s="843"/>
      <c r="AW111" s="843"/>
      <c r="AX111" s="843"/>
      <c r="AY111" s="843"/>
    </row>
    <row r="112" spans="1:51" s="1191" customFormat="1" ht="15.75">
      <c r="A112" s="311"/>
      <c r="B112" s="1190" t="s">
        <v>90</v>
      </c>
      <c r="C112" s="848"/>
      <c r="D112" s="276"/>
      <c r="E112" s="276"/>
      <c r="F112" s="276"/>
      <c r="G112" s="276"/>
      <c r="H112" s="276"/>
      <c r="I112" s="276"/>
      <c r="J112" s="276"/>
      <c r="K112" s="276"/>
      <c r="L112" s="276"/>
      <c r="M112" s="276"/>
      <c r="N112" s="276"/>
      <c r="O112" s="276"/>
      <c r="P112" s="276"/>
      <c r="Q112" s="276"/>
      <c r="R112" s="276"/>
      <c r="S112" s="276"/>
      <c r="T112" s="276"/>
      <c r="U112" s="276"/>
      <c r="V112" s="278"/>
      <c r="W112" s="278"/>
      <c r="X112" s="278"/>
      <c r="Y112" s="278"/>
      <c r="Z112" s="278"/>
      <c r="AA112" s="278"/>
      <c r="AB112" s="278"/>
      <c r="AC112" s="278"/>
      <c r="AD112" s="278"/>
      <c r="AE112" s="278"/>
      <c r="AF112" s="285"/>
      <c r="AG112" s="285"/>
      <c r="AH112" s="285"/>
      <c r="AI112" s="285"/>
      <c r="AJ112" s="285"/>
      <c r="AK112" s="285"/>
      <c r="AL112" s="278"/>
      <c r="AM112" s="276"/>
      <c r="AN112" s="276"/>
      <c r="AO112" s="278"/>
      <c r="AP112" s="278"/>
      <c r="AQ112" s="278"/>
      <c r="AR112" s="276"/>
      <c r="AS112" s="843"/>
      <c r="AT112" s="1164"/>
      <c r="AU112" s="1164"/>
    </row>
    <row r="113" spans="1:47" s="1191" customFormat="1" ht="15">
      <c r="A113" s="158"/>
      <c r="B113" s="1174" t="s">
        <v>91</v>
      </c>
      <c r="C113" s="1174"/>
      <c r="D113" s="1192"/>
      <c r="E113" s="1192"/>
      <c r="F113" s="1192"/>
      <c r="G113" s="1192"/>
      <c r="H113" s="1192"/>
      <c r="I113" s="1192"/>
      <c r="J113" s="1192"/>
      <c r="K113" s="1192"/>
      <c r="L113" s="1192"/>
      <c r="M113" s="1192"/>
      <c r="N113" s="1192"/>
      <c r="O113" s="1192"/>
      <c r="P113" s="1192"/>
      <c r="Q113" s="1192"/>
      <c r="R113" s="302" t="e">
        <f>SUM(#REF!,R116)</f>
        <v>#REF!</v>
      </c>
      <c r="S113" s="302" t="e">
        <f>SUM(#REF!,S116)</f>
        <v>#REF!</v>
      </c>
      <c r="T113" s="302" t="e">
        <f>SUM(#REF!,T116)</f>
        <v>#REF!</v>
      </c>
      <c r="U113" s="302" t="e">
        <f>SUM(#REF!,U116)</f>
        <v>#REF!</v>
      </c>
      <c r="V113" s="302" t="e">
        <f>SUM(#REF!,V116)</f>
        <v>#REF!</v>
      </c>
      <c r="W113" s="302" t="e">
        <f>SUM(#REF!,W116)</f>
        <v>#REF!</v>
      </c>
      <c r="X113" s="302" t="e">
        <f>SUM(#REF!,X116)</f>
        <v>#REF!</v>
      </c>
      <c r="Y113" s="302" t="e">
        <f>SUM(#REF!,Y116)</f>
        <v>#REF!</v>
      </c>
      <c r="Z113" s="302" t="e">
        <f>SUM(#REF!,Z116)</f>
        <v>#REF!</v>
      </c>
      <c r="AA113" s="302" t="e">
        <f>SUM(#REF!,AA116)</f>
        <v>#REF!</v>
      </c>
      <c r="AB113" s="302" t="e">
        <f>SUM(#REF!,AB116)</f>
        <v>#REF!</v>
      </c>
      <c r="AC113" s="302" t="e">
        <f>SUM(#REF!,AC116)</f>
        <v>#REF!</v>
      </c>
      <c r="AD113" s="302" t="e">
        <f>SUM(#REF!,AD116)</f>
        <v>#REF!</v>
      </c>
      <c r="AE113" s="302" t="e">
        <f>SUM(#REF!,AE116)</f>
        <v>#REF!</v>
      </c>
      <c r="AF113" s="302" t="e">
        <f>SUM(#REF!,AF116)</f>
        <v>#REF!</v>
      </c>
      <c r="AG113" s="302"/>
      <c r="AH113" s="302"/>
      <c r="AI113" s="302"/>
      <c r="AJ113" s="302"/>
      <c r="AK113" s="302"/>
      <c r="AL113" s="302"/>
      <c r="AM113" s="302"/>
      <c r="AN113" s="302"/>
      <c r="AO113" s="302">
        <f>AO115</f>
        <v>1716</v>
      </c>
      <c r="AP113" s="302">
        <f t="shared" ref="AP113:AQ113" si="18">AP115</f>
        <v>1757.9</v>
      </c>
      <c r="AQ113" s="302">
        <f t="shared" si="18"/>
        <v>1210.8399999999999</v>
      </c>
      <c r="AR113" s="302"/>
      <c r="AS113" s="843"/>
      <c r="AT113" s="1164"/>
      <c r="AU113" s="1164"/>
    </row>
    <row r="114" spans="1:47" s="1191" customFormat="1" ht="15">
      <c r="A114" s="158"/>
      <c r="B114" s="1174"/>
      <c r="C114" s="1174"/>
      <c r="D114" s="1192"/>
      <c r="E114" s="1192"/>
      <c r="F114" s="1192"/>
      <c r="G114" s="1192"/>
      <c r="H114" s="1192"/>
      <c r="I114" s="1192"/>
      <c r="J114" s="1192"/>
      <c r="K114" s="1192"/>
      <c r="L114" s="1192"/>
      <c r="M114" s="1192"/>
      <c r="N114" s="1192"/>
      <c r="O114" s="1192"/>
      <c r="P114" s="1192"/>
      <c r="Q114" s="1192"/>
      <c r="R114" s="278"/>
      <c r="S114" s="278"/>
      <c r="T114" s="278"/>
      <c r="U114" s="278"/>
      <c r="V114" s="278"/>
      <c r="W114" s="278"/>
      <c r="X114" s="278"/>
      <c r="Y114" s="278"/>
      <c r="Z114" s="278"/>
      <c r="AA114" s="278"/>
      <c r="AB114" s="278"/>
      <c r="AC114" s="278"/>
      <c r="AD114" s="278"/>
      <c r="AE114" s="278"/>
      <c r="AF114" s="278"/>
      <c r="AG114" s="278"/>
      <c r="AH114" s="278"/>
      <c r="AI114" s="278"/>
      <c r="AJ114" s="278"/>
      <c r="AK114" s="278"/>
      <c r="AL114" s="278"/>
      <c r="AM114" s="278"/>
      <c r="AN114" s="278"/>
      <c r="AO114" s="278"/>
      <c r="AP114" s="278"/>
      <c r="AQ114" s="278"/>
      <c r="AR114" s="278"/>
      <c r="AS114" s="843"/>
      <c r="AT114" s="1164"/>
      <c r="AU114" s="1164"/>
    </row>
    <row r="115" spans="1:47" s="1191" customFormat="1" ht="15">
      <c r="A115" s="158"/>
      <c r="B115" s="1175" t="s">
        <v>1857</v>
      </c>
      <c r="C115" s="1176"/>
      <c r="D115" s="276"/>
      <c r="E115" s="276"/>
      <c r="F115" s="276"/>
      <c r="G115" s="276"/>
      <c r="H115" s="276"/>
      <c r="I115" s="276"/>
      <c r="J115" s="276"/>
      <c r="K115" s="276"/>
      <c r="L115" s="276"/>
      <c r="M115" s="276"/>
      <c r="N115" s="276"/>
      <c r="O115" s="276"/>
      <c r="P115" s="276"/>
      <c r="Q115" s="276"/>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v>1716</v>
      </c>
      <c r="AP115" s="1184">
        <v>1757.9</v>
      </c>
      <c r="AQ115" s="278">
        <v>1210.8399999999999</v>
      </c>
      <c r="AR115" s="278"/>
      <c r="AS115" s="843"/>
      <c r="AT115" s="1164"/>
      <c r="AU115" s="1164"/>
    </row>
    <row r="116" spans="1:47" s="1191" customFormat="1" ht="15">
      <c r="A116" s="158"/>
      <c r="B116" s="1181"/>
      <c r="C116" s="1181"/>
      <c r="D116" s="1192"/>
      <c r="E116" s="1192"/>
      <c r="F116" s="1192"/>
      <c r="G116" s="1192"/>
      <c r="H116" s="1192"/>
      <c r="I116" s="1192"/>
      <c r="J116" s="1192"/>
      <c r="K116" s="1192"/>
      <c r="L116" s="1192"/>
      <c r="M116" s="1192"/>
      <c r="N116" s="1192"/>
      <c r="O116" s="1192"/>
      <c r="P116" s="1192"/>
      <c r="Q116" s="1192"/>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843"/>
      <c r="AT116" s="1164"/>
      <c r="AU116" s="1164"/>
    </row>
    <row r="117" spans="1:47" s="1191" customFormat="1" ht="15">
      <c r="A117" s="158"/>
      <c r="B117" s="1187"/>
      <c r="C117" s="1187"/>
      <c r="D117" s="1192"/>
      <c r="E117" s="1192"/>
      <c r="F117" s="1192"/>
      <c r="G117" s="1192"/>
      <c r="H117" s="1192"/>
      <c r="I117" s="1192"/>
      <c r="J117" s="1192"/>
      <c r="K117" s="1192"/>
      <c r="L117" s="1192"/>
      <c r="M117" s="1192"/>
      <c r="N117" s="1192"/>
      <c r="O117" s="1192"/>
      <c r="P117" s="1192"/>
      <c r="Q117" s="1192"/>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8"/>
      <c r="AP117" s="278"/>
      <c r="AQ117" s="278"/>
      <c r="AR117" s="278"/>
      <c r="AS117" s="843"/>
      <c r="AT117" s="1164"/>
      <c r="AU117" s="1164"/>
    </row>
    <row r="118" spans="1:47" s="1191" customFormat="1" ht="15">
      <c r="A118" s="158"/>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c r="AA118" s="563"/>
      <c r="AB118" s="563"/>
      <c r="AC118" s="563"/>
      <c r="AD118" s="563"/>
      <c r="AE118" s="563"/>
      <c r="AF118" s="563"/>
      <c r="AG118" s="563"/>
      <c r="AH118" s="563"/>
      <c r="AI118" s="563"/>
      <c r="AJ118" s="563"/>
      <c r="AK118" s="563"/>
      <c r="AL118" s="563"/>
      <c r="AM118" s="563"/>
      <c r="AN118" s="563"/>
      <c r="AO118" s="563"/>
      <c r="AP118" s="563"/>
      <c r="AQ118" s="563"/>
      <c r="AR118" s="563"/>
      <c r="AS118" s="843"/>
      <c r="AT118" s="1164"/>
      <c r="AU118" s="1164"/>
    </row>
    <row r="119" spans="1:47" s="1191" customFormat="1" ht="15">
      <c r="A119" s="158"/>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843"/>
      <c r="AR119" s="843"/>
      <c r="AS119" s="843"/>
      <c r="AT119" s="1164"/>
      <c r="AU119" s="1164"/>
    </row>
    <row r="120" spans="1:47" s="1191" customFormat="1" ht="15">
      <c r="A120" s="1193"/>
      <c r="B120" s="309" t="s">
        <v>1858</v>
      </c>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309"/>
      <c r="AI120" s="309"/>
      <c r="AJ120" s="309"/>
      <c r="AK120" s="309"/>
      <c r="AL120" s="276"/>
      <c r="AM120" s="276"/>
      <c r="AN120" s="276"/>
      <c r="AO120" s="276"/>
      <c r="AP120" s="276"/>
      <c r="AQ120" s="843"/>
      <c r="AR120" s="843"/>
      <c r="AS120" s="843"/>
      <c r="AT120" s="1164"/>
      <c r="AU120" s="1164"/>
    </row>
    <row r="121" spans="1:47" s="1191" customFormat="1" ht="15">
      <c r="A121" s="158"/>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276"/>
      <c r="AM121" s="276"/>
      <c r="AN121" s="276"/>
      <c r="AO121" s="276"/>
      <c r="AP121" s="276"/>
      <c r="AQ121" s="843"/>
      <c r="AR121" s="843"/>
      <c r="AS121" s="843"/>
      <c r="AT121" s="1164"/>
      <c r="AU121" s="1164"/>
    </row>
    <row r="122" spans="1:47" s="1191" customFormat="1" ht="15">
      <c r="A122" s="158"/>
      <c r="B122" s="1194" t="s">
        <v>1859</v>
      </c>
      <c r="C122" s="1195"/>
      <c r="D122" s="1196"/>
      <c r="E122" s="1197"/>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309"/>
      <c r="AI122" s="309"/>
      <c r="AJ122" s="309"/>
      <c r="AK122" s="309"/>
      <c r="AL122" s="276"/>
      <c r="AM122" s="276"/>
      <c r="AN122" s="276"/>
      <c r="AO122" s="276"/>
      <c r="AP122" s="276"/>
      <c r="AQ122" s="843"/>
      <c r="AR122" s="843"/>
      <c r="AS122" s="843"/>
      <c r="AT122" s="1164"/>
      <c r="AU122" s="1164"/>
    </row>
    <row r="123" spans="1:47" s="1191" customFormat="1" ht="15">
      <c r="A123" s="158"/>
      <c r="B123" s="1198" t="s">
        <v>1860</v>
      </c>
      <c r="C123" s="1198"/>
      <c r="D123" s="1198"/>
      <c r="E123" s="119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276"/>
      <c r="AM123" s="276"/>
      <c r="AN123" s="276"/>
      <c r="AO123" s="276"/>
      <c r="AP123" s="276"/>
      <c r="AQ123" s="843"/>
      <c r="AR123" s="843"/>
      <c r="AS123" s="843"/>
      <c r="AT123" s="1164"/>
      <c r="AU123" s="1164"/>
    </row>
    <row r="124" spans="1:47" s="1191" customFormat="1" ht="33.75" customHeight="1">
      <c r="A124" s="158"/>
      <c r="B124" s="1940" t="s">
        <v>1861</v>
      </c>
      <c r="C124" s="1941"/>
      <c r="D124" s="1941"/>
      <c r="E124" s="1941"/>
      <c r="F124" s="1941"/>
      <c r="G124" s="1941"/>
      <c r="H124" s="1941"/>
      <c r="I124" s="1941"/>
      <c r="J124" s="1941"/>
      <c r="K124" s="1941"/>
      <c r="L124" s="1941"/>
      <c r="M124" s="1941"/>
      <c r="N124" s="1941"/>
      <c r="O124" s="1941"/>
      <c r="P124" s="1941"/>
      <c r="Q124" s="1941"/>
      <c r="R124" s="1941"/>
      <c r="S124" s="1941"/>
      <c r="T124" s="1941"/>
      <c r="U124" s="1941"/>
      <c r="V124" s="1941"/>
      <c r="W124" s="1941"/>
      <c r="X124" s="1941"/>
      <c r="Y124" s="1941"/>
      <c r="Z124" s="1941"/>
      <c r="AA124" s="1941"/>
      <c r="AB124" s="1941"/>
      <c r="AC124" s="1941"/>
      <c r="AD124" s="1941"/>
      <c r="AE124" s="1941"/>
      <c r="AF124" s="1941"/>
      <c r="AG124" s="1941"/>
      <c r="AH124" s="1941"/>
      <c r="AI124" s="1941"/>
      <c r="AJ124" s="1941"/>
      <c r="AK124" s="1941"/>
      <c r="AL124" s="1941"/>
      <c r="AM124" s="1941"/>
      <c r="AN124" s="1941"/>
      <c r="AO124" s="1941"/>
      <c r="AP124" s="1941"/>
      <c r="AQ124" s="1941"/>
      <c r="AR124" s="1941"/>
      <c r="AS124" s="843"/>
      <c r="AT124" s="1164"/>
      <c r="AU124" s="1164"/>
    </row>
    <row r="125" spans="1:47" s="1191" customFormat="1" ht="15">
      <c r="A125" s="158"/>
      <c r="B125" s="1200" t="s">
        <v>1862</v>
      </c>
      <c r="C125" s="1200"/>
      <c r="D125" s="1200"/>
      <c r="E125" s="158"/>
      <c r="F125" s="158"/>
      <c r="G125" s="158"/>
      <c r="H125" s="158"/>
      <c r="I125" s="158"/>
      <c r="J125" s="158"/>
      <c r="K125" s="158"/>
      <c r="L125" s="158"/>
      <c r="M125" s="158"/>
      <c r="N125" s="158"/>
      <c r="O125" s="158"/>
      <c r="P125" s="158"/>
      <c r="Q125" s="158"/>
      <c r="R125" s="158"/>
      <c r="S125" s="158"/>
      <c r="T125" s="158"/>
      <c r="U125" s="158"/>
      <c r="V125" s="158"/>
      <c r="W125" s="158"/>
      <c r="X125" s="276"/>
      <c r="Y125" s="276"/>
      <c r="Z125" s="276"/>
      <c r="AA125" s="276"/>
      <c r="AB125" s="276"/>
      <c r="AC125" s="276"/>
      <c r="AD125" s="276"/>
      <c r="AE125" s="276"/>
      <c r="AF125" s="276"/>
      <c r="AG125" s="276"/>
      <c r="AH125" s="276"/>
      <c r="AI125" s="276"/>
      <c r="AJ125" s="276"/>
      <c r="AK125" s="276"/>
      <c r="AL125" s="158"/>
      <c r="AM125" s="158"/>
      <c r="AN125" s="158"/>
      <c r="AO125" s="158"/>
      <c r="AP125" s="158"/>
      <c r="AQ125" s="843"/>
      <c r="AR125" s="843"/>
      <c r="AS125" s="843"/>
      <c r="AT125" s="1164"/>
      <c r="AU125" s="1164"/>
    </row>
    <row r="126" spans="1:47" s="1191" customFormat="1" ht="15">
      <c r="A126" s="158"/>
      <c r="B126" s="1200" t="s">
        <v>1863</v>
      </c>
      <c r="C126" s="1200"/>
      <c r="D126" s="1200"/>
      <c r="E126" s="158"/>
      <c r="F126" s="158"/>
      <c r="G126" s="158"/>
      <c r="H126" s="158"/>
      <c r="I126" s="158"/>
      <c r="J126" s="158"/>
      <c r="K126" s="158"/>
      <c r="L126" s="158"/>
      <c r="M126" s="158"/>
      <c r="N126" s="158"/>
      <c r="O126" s="158"/>
      <c r="P126" s="158"/>
      <c r="Q126" s="158"/>
      <c r="R126" s="158"/>
      <c r="S126" s="158"/>
      <c r="T126" s="158"/>
      <c r="U126" s="158"/>
      <c r="V126" s="158"/>
      <c r="W126" s="158"/>
      <c r="X126" s="276"/>
      <c r="Y126" s="276"/>
      <c r="Z126" s="276"/>
      <c r="AA126" s="276"/>
      <c r="AB126" s="276"/>
      <c r="AC126" s="276"/>
      <c r="AD126" s="276"/>
      <c r="AE126" s="276"/>
      <c r="AF126" s="276"/>
      <c r="AG126" s="276"/>
      <c r="AH126" s="276"/>
      <c r="AI126" s="276"/>
      <c r="AJ126" s="276"/>
      <c r="AK126" s="276"/>
      <c r="AL126" s="158"/>
      <c r="AM126" s="158"/>
      <c r="AN126" s="158"/>
      <c r="AO126" s="158"/>
      <c r="AP126" s="158"/>
      <c r="AQ126" s="843"/>
      <c r="AR126" s="843"/>
      <c r="AS126" s="843"/>
      <c r="AT126" s="1164"/>
      <c r="AU126" s="1164"/>
    </row>
    <row r="127" spans="1:47" s="1191" customFormat="1" ht="15">
      <c r="A127" s="158"/>
      <c r="B127" s="1200" t="s">
        <v>1864</v>
      </c>
      <c r="C127" s="1200"/>
      <c r="D127" s="1200"/>
      <c r="E127" s="158"/>
      <c r="F127" s="158"/>
      <c r="G127" s="158"/>
      <c r="H127" s="158"/>
      <c r="I127" s="158"/>
      <c r="J127" s="158"/>
      <c r="K127" s="158"/>
      <c r="L127" s="158"/>
      <c r="M127" s="158"/>
      <c r="N127" s="158"/>
      <c r="O127" s="158"/>
      <c r="P127" s="158"/>
      <c r="Q127" s="158"/>
      <c r="R127" s="158"/>
      <c r="S127" s="158"/>
      <c r="T127" s="158"/>
      <c r="U127" s="158"/>
      <c r="V127" s="158"/>
      <c r="W127" s="158"/>
      <c r="X127" s="276"/>
      <c r="Y127" s="276"/>
      <c r="Z127" s="276"/>
      <c r="AA127" s="276"/>
      <c r="AB127" s="276"/>
      <c r="AC127" s="276"/>
      <c r="AD127" s="276"/>
      <c r="AE127" s="276"/>
      <c r="AF127" s="276"/>
      <c r="AG127" s="276"/>
      <c r="AH127" s="276"/>
      <c r="AI127" s="276"/>
      <c r="AJ127" s="276"/>
      <c r="AK127" s="276"/>
      <c r="AL127" s="158"/>
      <c r="AM127" s="158"/>
      <c r="AN127" s="158"/>
      <c r="AO127" s="158"/>
      <c r="AP127" s="158"/>
      <c r="AQ127" s="843"/>
      <c r="AR127" s="843"/>
      <c r="AS127" s="843"/>
      <c r="AT127" s="1164"/>
      <c r="AU127" s="1164"/>
    </row>
    <row r="128" spans="1:47" s="1191" customFormat="1" ht="15">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276"/>
      <c r="Y128" s="276"/>
      <c r="Z128" s="276"/>
      <c r="AA128" s="276"/>
      <c r="AB128" s="276"/>
      <c r="AC128" s="276"/>
      <c r="AD128" s="276"/>
      <c r="AE128" s="276"/>
      <c r="AF128" s="276"/>
      <c r="AG128" s="276"/>
      <c r="AH128" s="276"/>
      <c r="AI128" s="276"/>
      <c r="AJ128" s="276"/>
      <c r="AK128" s="276"/>
      <c r="AL128" s="158"/>
      <c r="AM128" s="158"/>
      <c r="AN128" s="158"/>
      <c r="AO128" s="158"/>
      <c r="AP128" s="158"/>
      <c r="AQ128" s="843"/>
      <c r="AR128" s="843"/>
      <c r="AS128" s="843"/>
      <c r="AT128" s="1164"/>
      <c r="AU128" s="1164"/>
    </row>
    <row r="129" spans="2:45" ht="15">
      <c r="B129" s="843"/>
      <c r="C129" s="843"/>
      <c r="D129" s="843"/>
      <c r="E129" s="843"/>
      <c r="F129" s="843"/>
      <c r="G129" s="843"/>
      <c r="H129" s="843"/>
      <c r="I129" s="843"/>
      <c r="J129" s="843"/>
      <c r="K129" s="843"/>
      <c r="L129" s="843"/>
      <c r="M129" s="843"/>
      <c r="N129" s="843"/>
      <c r="O129" s="843"/>
      <c r="P129" s="843"/>
      <c r="Q129" s="843"/>
      <c r="R129" s="843"/>
      <c r="S129" s="843"/>
      <c r="T129" s="843"/>
      <c r="U129" s="843"/>
      <c r="V129" s="843"/>
      <c r="W129" s="843"/>
      <c r="X129" s="843"/>
      <c r="Y129" s="843"/>
      <c r="Z129" s="843"/>
      <c r="AA129" s="843"/>
      <c r="AB129" s="843"/>
      <c r="AC129" s="843"/>
      <c r="AD129" s="843"/>
      <c r="AE129" s="843"/>
      <c r="AF129" s="843"/>
      <c r="AG129" s="843"/>
      <c r="AH129" s="843"/>
      <c r="AI129" s="843"/>
      <c r="AJ129" s="843"/>
      <c r="AK129" s="843"/>
      <c r="AL129" s="843"/>
      <c r="AM129" s="843"/>
      <c r="AN129" s="843"/>
      <c r="AO129" s="843"/>
      <c r="AP129" s="843"/>
      <c r="AQ129" s="843"/>
      <c r="AR129" s="843"/>
      <c r="AS129" s="843"/>
    </row>
    <row r="130" spans="2:45" ht="15">
      <c r="B130" s="843"/>
      <c r="C130" s="843"/>
      <c r="D130" s="843"/>
      <c r="E130" s="843"/>
      <c r="F130" s="843"/>
      <c r="G130" s="843"/>
      <c r="H130" s="843"/>
      <c r="I130" s="843"/>
      <c r="J130" s="843"/>
      <c r="K130" s="843"/>
      <c r="L130" s="843"/>
      <c r="M130" s="843"/>
      <c r="N130" s="843"/>
      <c r="O130" s="843"/>
      <c r="P130" s="843"/>
      <c r="Q130" s="843"/>
      <c r="R130" s="843"/>
      <c r="S130" s="843"/>
      <c r="T130" s="843"/>
      <c r="U130" s="843"/>
      <c r="V130" s="843"/>
      <c r="W130" s="843"/>
      <c r="X130" s="843"/>
      <c r="Y130" s="843"/>
      <c r="Z130" s="843"/>
      <c r="AA130" s="843"/>
      <c r="AB130" s="843"/>
      <c r="AC130" s="843"/>
      <c r="AD130" s="843"/>
      <c r="AE130" s="843"/>
      <c r="AF130" s="843"/>
      <c r="AG130" s="843"/>
      <c r="AH130" s="843"/>
      <c r="AI130" s="843"/>
      <c r="AJ130" s="843"/>
      <c r="AK130" s="843"/>
      <c r="AL130" s="843"/>
      <c r="AM130" s="843"/>
      <c r="AN130" s="843"/>
      <c r="AO130" s="843"/>
      <c r="AP130" s="843"/>
      <c r="AQ130" s="843"/>
      <c r="AR130" s="843"/>
      <c r="AS130" s="843"/>
    </row>
    <row r="131" spans="2:45" ht="15">
      <c r="B131" s="843"/>
      <c r="C131" s="843"/>
      <c r="D131" s="843"/>
      <c r="E131" s="843"/>
      <c r="F131" s="843"/>
      <c r="G131" s="843"/>
      <c r="H131" s="843"/>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843"/>
      <c r="AS131" s="843"/>
    </row>
    <row r="132" spans="2:45" ht="15">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c r="Z132" s="843"/>
      <c r="AA132" s="843"/>
      <c r="AB132" s="843"/>
      <c r="AC132" s="843"/>
      <c r="AD132" s="843"/>
      <c r="AE132" s="843"/>
      <c r="AF132" s="843"/>
      <c r="AG132" s="843"/>
      <c r="AH132" s="843"/>
      <c r="AI132" s="843"/>
      <c r="AJ132" s="843"/>
      <c r="AK132" s="843"/>
      <c r="AL132" s="843"/>
      <c r="AM132" s="843"/>
      <c r="AN132" s="843"/>
      <c r="AO132" s="843"/>
      <c r="AP132" s="843"/>
      <c r="AQ132" s="843"/>
      <c r="AR132" s="843"/>
      <c r="AS132" s="843"/>
    </row>
    <row r="133" spans="2:45" ht="15">
      <c r="B133" s="843"/>
      <c r="C133" s="843"/>
      <c r="D133" s="843"/>
      <c r="E133" s="843"/>
      <c r="F133" s="843"/>
      <c r="G133" s="843"/>
      <c r="H133" s="843"/>
      <c r="I133" s="843"/>
      <c r="J133" s="843"/>
      <c r="K133" s="843"/>
      <c r="L133" s="843"/>
      <c r="M133" s="843"/>
      <c r="N133" s="843"/>
      <c r="O133" s="843"/>
      <c r="P133" s="843"/>
      <c r="Q133" s="843"/>
      <c r="R133" s="843"/>
      <c r="S133" s="843"/>
      <c r="T133" s="843"/>
      <c r="U133" s="843"/>
      <c r="V133" s="843"/>
      <c r="W133" s="843"/>
      <c r="X133" s="843"/>
      <c r="Y133" s="843"/>
      <c r="Z133" s="843"/>
      <c r="AA133" s="843"/>
      <c r="AB133" s="843"/>
      <c r="AC133" s="843"/>
      <c r="AD133" s="843"/>
      <c r="AE133" s="843"/>
      <c r="AF133" s="843"/>
      <c r="AG133" s="843"/>
      <c r="AH133" s="843"/>
      <c r="AI133" s="843"/>
      <c r="AJ133" s="843"/>
      <c r="AK133" s="843"/>
      <c r="AL133" s="843"/>
      <c r="AM133" s="843"/>
      <c r="AN133" s="843"/>
      <c r="AO133" s="843"/>
      <c r="AP133" s="843"/>
      <c r="AQ133" s="843"/>
      <c r="AR133" s="843"/>
      <c r="AS133" s="843"/>
    </row>
    <row r="134" spans="2:45" ht="15">
      <c r="B134" s="843"/>
      <c r="C134" s="843"/>
      <c r="D134" s="843"/>
      <c r="E134" s="843"/>
      <c r="F134" s="843"/>
      <c r="G134" s="843"/>
      <c r="H134" s="843"/>
      <c r="I134" s="843"/>
      <c r="J134" s="843"/>
      <c r="K134" s="843"/>
      <c r="L134" s="843"/>
      <c r="M134" s="843"/>
      <c r="N134" s="843"/>
      <c r="O134" s="843"/>
      <c r="P134" s="843"/>
      <c r="Q134" s="843"/>
      <c r="R134" s="843"/>
      <c r="S134" s="843"/>
      <c r="T134" s="843"/>
      <c r="U134" s="843"/>
      <c r="V134" s="843"/>
      <c r="W134" s="843"/>
      <c r="X134" s="843"/>
      <c r="Y134" s="843"/>
      <c r="Z134" s="843"/>
      <c r="AA134" s="843"/>
      <c r="AB134" s="843"/>
      <c r="AC134" s="843"/>
      <c r="AD134" s="843"/>
      <c r="AE134" s="843"/>
      <c r="AF134" s="843"/>
      <c r="AG134" s="843"/>
      <c r="AH134" s="843"/>
      <c r="AI134" s="843"/>
      <c r="AJ134" s="843"/>
      <c r="AK134" s="843"/>
      <c r="AL134" s="843"/>
      <c r="AM134" s="843"/>
      <c r="AN134" s="843"/>
      <c r="AO134" s="843"/>
      <c r="AP134" s="843"/>
      <c r="AQ134" s="843"/>
      <c r="AR134" s="843"/>
      <c r="AS134" s="843"/>
    </row>
    <row r="135" spans="2:45" ht="15">
      <c r="B135" s="843"/>
      <c r="C135" s="843"/>
      <c r="D135" s="843"/>
      <c r="E135" s="843"/>
      <c r="F135" s="843"/>
      <c r="G135" s="843"/>
      <c r="H135" s="843"/>
      <c r="I135" s="843"/>
      <c r="J135" s="843"/>
      <c r="K135" s="843"/>
      <c r="L135" s="843"/>
      <c r="M135" s="843"/>
      <c r="N135" s="843"/>
      <c r="O135" s="843"/>
      <c r="P135" s="843"/>
      <c r="Q135" s="843"/>
      <c r="R135" s="843"/>
      <c r="S135" s="843"/>
      <c r="T135" s="843"/>
      <c r="U135" s="843"/>
      <c r="V135" s="843"/>
      <c r="W135" s="843"/>
      <c r="X135" s="843"/>
      <c r="Y135" s="843"/>
      <c r="Z135" s="843"/>
      <c r="AA135" s="843"/>
      <c r="AB135" s="843"/>
      <c r="AC135" s="843"/>
      <c r="AD135" s="843"/>
      <c r="AE135" s="843"/>
      <c r="AF135" s="843"/>
      <c r="AG135" s="843"/>
      <c r="AH135" s="843"/>
      <c r="AI135" s="843"/>
      <c r="AJ135" s="843"/>
      <c r="AK135" s="843"/>
      <c r="AL135" s="843"/>
      <c r="AM135" s="843"/>
      <c r="AN135" s="843"/>
      <c r="AO135" s="843"/>
      <c r="AP135" s="843"/>
      <c r="AQ135" s="843"/>
      <c r="AR135" s="843"/>
      <c r="AS135" s="843"/>
    </row>
    <row r="136" spans="2:45" ht="15">
      <c r="B136" s="843"/>
      <c r="C136" s="843"/>
      <c r="D136" s="843"/>
      <c r="E136" s="843"/>
      <c r="F136" s="843"/>
      <c r="G136" s="843"/>
      <c r="H136" s="843"/>
      <c r="I136" s="843"/>
      <c r="J136" s="843"/>
      <c r="K136" s="843"/>
      <c r="L136" s="843"/>
      <c r="M136" s="843"/>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3"/>
      <c r="AQ136" s="843"/>
      <c r="AR136" s="843"/>
      <c r="AS136" s="843"/>
    </row>
    <row r="137" spans="2:45" ht="15">
      <c r="B137" s="843"/>
      <c r="C137" s="843"/>
      <c r="D137" s="843"/>
      <c r="E137" s="843"/>
      <c r="F137" s="843"/>
      <c r="G137" s="843"/>
      <c r="H137" s="843"/>
      <c r="I137" s="843"/>
      <c r="J137" s="843"/>
      <c r="K137" s="843"/>
      <c r="L137" s="843"/>
      <c r="M137" s="843"/>
      <c r="N137" s="843"/>
      <c r="O137" s="843"/>
      <c r="P137" s="843"/>
      <c r="Q137" s="843"/>
      <c r="R137" s="843"/>
      <c r="S137" s="843"/>
      <c r="T137" s="843"/>
      <c r="U137" s="843"/>
      <c r="V137" s="843"/>
      <c r="W137" s="843"/>
      <c r="X137" s="843"/>
      <c r="Y137" s="843"/>
      <c r="Z137" s="843"/>
      <c r="AA137" s="843"/>
      <c r="AB137" s="843"/>
      <c r="AC137" s="843"/>
      <c r="AD137" s="843"/>
      <c r="AE137" s="843"/>
      <c r="AF137" s="843"/>
      <c r="AG137" s="843"/>
      <c r="AH137" s="843"/>
      <c r="AI137" s="843"/>
      <c r="AJ137" s="843"/>
      <c r="AK137" s="843"/>
      <c r="AL137" s="843"/>
      <c r="AM137" s="843"/>
      <c r="AN137" s="843"/>
      <c r="AO137" s="843"/>
      <c r="AP137" s="843"/>
      <c r="AQ137" s="843"/>
      <c r="AR137" s="843"/>
      <c r="AS137" s="843"/>
    </row>
    <row r="138" spans="2:45" ht="15">
      <c r="B138" s="843"/>
      <c r="C138" s="843"/>
      <c r="D138" s="843"/>
      <c r="E138" s="843"/>
      <c r="F138" s="843"/>
      <c r="G138" s="843"/>
      <c r="H138" s="843"/>
      <c r="I138" s="843"/>
      <c r="J138" s="843"/>
      <c r="K138" s="843"/>
      <c r="L138" s="843"/>
      <c r="M138" s="843"/>
      <c r="N138" s="843"/>
      <c r="O138" s="843"/>
      <c r="P138" s="843"/>
      <c r="Q138" s="843"/>
      <c r="R138" s="843"/>
      <c r="S138" s="843"/>
      <c r="T138" s="843"/>
      <c r="U138" s="843"/>
      <c r="V138" s="843"/>
      <c r="W138" s="843"/>
      <c r="X138" s="843"/>
      <c r="Y138" s="843"/>
      <c r="Z138" s="843"/>
      <c r="AA138" s="843"/>
      <c r="AB138" s="843"/>
      <c r="AC138" s="843"/>
      <c r="AD138" s="843"/>
      <c r="AE138" s="843"/>
      <c r="AF138" s="843"/>
      <c r="AG138" s="843"/>
      <c r="AH138" s="843"/>
      <c r="AI138" s="843"/>
      <c r="AJ138" s="843"/>
      <c r="AK138" s="843"/>
      <c r="AL138" s="843"/>
      <c r="AM138" s="843"/>
      <c r="AN138" s="843"/>
      <c r="AO138" s="843"/>
      <c r="AP138" s="843"/>
      <c r="AQ138" s="843"/>
      <c r="AR138" s="843"/>
      <c r="AS138" s="843"/>
    </row>
    <row r="139" spans="2:45" ht="15">
      <c r="B139" s="843"/>
      <c r="C139" s="843"/>
      <c r="D139" s="843"/>
      <c r="E139" s="843"/>
      <c r="F139" s="843"/>
      <c r="G139" s="843"/>
      <c r="H139" s="843"/>
      <c r="I139" s="843"/>
      <c r="J139" s="843"/>
      <c r="K139" s="843"/>
      <c r="L139" s="843"/>
      <c r="M139" s="843"/>
      <c r="N139" s="843"/>
      <c r="O139" s="843"/>
      <c r="P139" s="843"/>
      <c r="Q139" s="843"/>
      <c r="R139" s="843"/>
      <c r="S139" s="843"/>
      <c r="T139" s="843"/>
      <c r="U139" s="843"/>
      <c r="V139" s="843"/>
      <c r="W139" s="843"/>
      <c r="X139" s="843"/>
      <c r="Y139" s="843"/>
      <c r="Z139" s="843"/>
      <c r="AA139" s="843"/>
      <c r="AB139" s="843"/>
      <c r="AC139" s="843"/>
      <c r="AD139" s="843"/>
      <c r="AE139" s="843"/>
      <c r="AF139" s="843"/>
      <c r="AG139" s="843"/>
      <c r="AH139" s="843"/>
      <c r="AI139" s="843"/>
      <c r="AJ139" s="843"/>
      <c r="AK139" s="843"/>
      <c r="AL139" s="843"/>
      <c r="AM139" s="843"/>
      <c r="AN139" s="843"/>
      <c r="AO139" s="843"/>
      <c r="AP139" s="843"/>
      <c r="AQ139" s="843"/>
      <c r="AR139" s="843"/>
      <c r="AS139" s="843"/>
    </row>
    <row r="140" spans="2:45" ht="15">
      <c r="B140" s="843"/>
      <c r="C140" s="843"/>
      <c r="D140" s="843"/>
      <c r="E140" s="843"/>
      <c r="F140" s="843"/>
      <c r="G140" s="843"/>
      <c r="H140" s="843"/>
      <c r="I140" s="843"/>
      <c r="J140" s="843"/>
      <c r="K140" s="843"/>
      <c r="L140" s="843"/>
      <c r="M140" s="843"/>
      <c r="N140" s="843"/>
      <c r="O140" s="843"/>
      <c r="P140" s="843"/>
      <c r="Q140" s="843"/>
      <c r="R140" s="843"/>
      <c r="S140" s="843"/>
      <c r="T140" s="843"/>
      <c r="U140" s="843"/>
      <c r="V140" s="843"/>
      <c r="W140" s="843"/>
      <c r="X140" s="843"/>
      <c r="Y140" s="843"/>
      <c r="Z140" s="843"/>
      <c r="AA140" s="843"/>
      <c r="AB140" s="843"/>
      <c r="AC140" s="843"/>
      <c r="AD140" s="843"/>
      <c r="AE140" s="843"/>
      <c r="AF140" s="843"/>
      <c r="AG140" s="843"/>
      <c r="AH140" s="843"/>
      <c r="AI140" s="843"/>
      <c r="AJ140" s="843"/>
      <c r="AK140" s="843"/>
      <c r="AL140" s="843"/>
      <c r="AM140" s="843"/>
      <c r="AN140" s="843"/>
      <c r="AO140" s="843"/>
      <c r="AP140" s="843"/>
      <c r="AQ140" s="843"/>
      <c r="AR140" s="843"/>
      <c r="AS140" s="843"/>
    </row>
    <row r="141" spans="2:45" ht="15">
      <c r="B141" s="843"/>
      <c r="C141" s="843"/>
      <c r="D141" s="843"/>
      <c r="E141" s="843"/>
      <c r="F141" s="843"/>
      <c r="G141" s="843"/>
      <c r="H141" s="843"/>
      <c r="I141" s="843"/>
      <c r="J141" s="843"/>
      <c r="K141" s="843"/>
      <c r="L141" s="843"/>
      <c r="M141" s="843"/>
      <c r="N141" s="843"/>
      <c r="O141" s="843"/>
      <c r="P141" s="843"/>
      <c r="Q141" s="843"/>
      <c r="R141" s="843"/>
      <c r="S141" s="843"/>
      <c r="T141" s="843"/>
      <c r="U141" s="843"/>
      <c r="V141" s="843"/>
      <c r="W141" s="843"/>
      <c r="X141" s="843"/>
      <c r="Y141" s="843"/>
      <c r="Z141" s="843"/>
      <c r="AA141" s="843"/>
      <c r="AB141" s="843"/>
      <c r="AC141" s="843"/>
      <c r="AD141" s="843"/>
      <c r="AE141" s="843"/>
      <c r="AF141" s="843"/>
      <c r="AG141" s="843"/>
      <c r="AH141" s="843"/>
      <c r="AI141" s="843"/>
      <c r="AJ141" s="843"/>
      <c r="AK141" s="843"/>
      <c r="AL141" s="843"/>
      <c r="AM141" s="843"/>
      <c r="AN141" s="843"/>
      <c r="AO141" s="843"/>
      <c r="AP141" s="843"/>
      <c r="AQ141" s="843"/>
      <c r="AR141" s="843"/>
      <c r="AS141" s="843"/>
    </row>
    <row r="142" spans="2:45" ht="15">
      <c r="B142" s="843"/>
      <c r="C142" s="843"/>
      <c r="D142" s="843"/>
      <c r="E142" s="843"/>
      <c r="F142" s="843"/>
      <c r="G142" s="843"/>
      <c r="H142" s="843"/>
      <c r="I142" s="843"/>
      <c r="J142" s="843"/>
      <c r="K142" s="843"/>
      <c r="L142" s="843"/>
      <c r="M142" s="843"/>
      <c r="N142" s="843"/>
      <c r="O142" s="843"/>
      <c r="P142" s="843"/>
      <c r="Q142" s="843"/>
      <c r="R142" s="843"/>
      <c r="S142" s="843"/>
      <c r="T142" s="843"/>
      <c r="U142" s="843"/>
      <c r="V142" s="843"/>
      <c r="W142" s="843"/>
      <c r="X142" s="843"/>
      <c r="Y142" s="843"/>
      <c r="Z142" s="843"/>
      <c r="AA142" s="843"/>
      <c r="AB142" s="843"/>
      <c r="AC142" s="843"/>
      <c r="AD142" s="843"/>
      <c r="AE142" s="843"/>
      <c r="AF142" s="843"/>
      <c r="AG142" s="843"/>
      <c r="AH142" s="843"/>
      <c r="AI142" s="843"/>
      <c r="AJ142" s="843"/>
      <c r="AK142" s="843"/>
      <c r="AL142" s="843"/>
      <c r="AM142" s="843"/>
      <c r="AN142" s="843"/>
      <c r="AO142" s="843"/>
      <c r="AP142" s="843"/>
      <c r="AQ142" s="843"/>
      <c r="AR142" s="843"/>
      <c r="AS142" s="843"/>
    </row>
    <row r="143" spans="2:45" ht="15">
      <c r="B143" s="843"/>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3"/>
      <c r="AL143" s="843"/>
      <c r="AM143" s="843"/>
      <c r="AN143" s="843"/>
      <c r="AO143" s="843"/>
      <c r="AP143" s="843"/>
      <c r="AQ143" s="843"/>
      <c r="AR143" s="843"/>
      <c r="AS143" s="843"/>
    </row>
    <row r="144" spans="2:45" ht="15">
      <c r="B144" s="843"/>
      <c r="C144" s="843"/>
      <c r="D144" s="843"/>
      <c r="E144" s="843"/>
      <c r="F144" s="843"/>
      <c r="G144" s="843"/>
      <c r="H144" s="843"/>
      <c r="I144" s="843"/>
      <c r="J144" s="843"/>
      <c r="K144" s="843"/>
      <c r="L144" s="843"/>
      <c r="M144" s="843"/>
      <c r="N144" s="843"/>
      <c r="O144" s="843"/>
      <c r="P144" s="843"/>
      <c r="Q144" s="843"/>
      <c r="R144" s="843"/>
      <c r="S144" s="843"/>
      <c r="T144" s="843"/>
      <c r="U144" s="843"/>
      <c r="V144" s="843"/>
      <c r="W144" s="843"/>
      <c r="X144" s="843"/>
      <c r="Y144" s="843"/>
      <c r="Z144" s="843"/>
      <c r="AA144" s="843"/>
      <c r="AB144" s="843"/>
      <c r="AC144" s="843"/>
      <c r="AD144" s="843"/>
      <c r="AE144" s="843"/>
      <c r="AF144" s="843"/>
      <c r="AG144" s="843"/>
      <c r="AH144" s="843"/>
      <c r="AI144" s="843"/>
      <c r="AJ144" s="843"/>
      <c r="AK144" s="843"/>
      <c r="AL144" s="843"/>
      <c r="AM144" s="843"/>
      <c r="AN144" s="843"/>
      <c r="AO144" s="843"/>
      <c r="AP144" s="843"/>
      <c r="AQ144" s="843"/>
      <c r="AR144" s="843"/>
      <c r="AS144" s="843"/>
    </row>
    <row r="145" spans="2:45" ht="15">
      <c r="B145" s="843"/>
      <c r="C145" s="843"/>
      <c r="D145" s="843"/>
      <c r="E145" s="843"/>
      <c r="F145" s="843"/>
      <c r="G145" s="843"/>
      <c r="H145" s="843"/>
      <c r="I145" s="843"/>
      <c r="J145" s="843"/>
      <c r="K145" s="843"/>
      <c r="L145" s="843"/>
      <c r="M145" s="843"/>
      <c r="N145" s="843"/>
      <c r="O145" s="843"/>
      <c r="P145" s="843"/>
      <c r="Q145" s="843"/>
      <c r="R145" s="843"/>
      <c r="S145" s="843"/>
      <c r="T145" s="843"/>
      <c r="U145" s="843"/>
      <c r="V145" s="843"/>
      <c r="W145" s="843"/>
      <c r="X145" s="843"/>
      <c r="Y145" s="843"/>
      <c r="Z145" s="843"/>
      <c r="AA145" s="843"/>
      <c r="AB145" s="843"/>
      <c r="AC145" s="843"/>
      <c r="AD145" s="843"/>
      <c r="AE145" s="843"/>
      <c r="AF145" s="843"/>
      <c r="AG145" s="843"/>
      <c r="AH145" s="843"/>
      <c r="AI145" s="843"/>
      <c r="AJ145" s="843"/>
      <c r="AK145" s="843"/>
      <c r="AL145" s="843"/>
      <c r="AM145" s="843"/>
      <c r="AN145" s="843"/>
      <c r="AO145" s="843"/>
      <c r="AP145" s="843"/>
      <c r="AQ145" s="843"/>
      <c r="AR145" s="843"/>
      <c r="AS145" s="843"/>
    </row>
    <row r="146" spans="2:45" ht="15">
      <c r="B146" s="843"/>
      <c r="C146" s="843"/>
      <c r="D146" s="843"/>
      <c r="E146" s="843"/>
      <c r="F146" s="843"/>
      <c r="G146" s="843"/>
      <c r="H146" s="843"/>
      <c r="I146" s="843"/>
      <c r="J146" s="843"/>
      <c r="K146" s="843"/>
      <c r="L146" s="843"/>
      <c r="M146" s="843"/>
      <c r="N146" s="843"/>
      <c r="O146" s="843"/>
      <c r="P146" s="843"/>
      <c r="Q146" s="843"/>
      <c r="R146" s="843"/>
      <c r="S146" s="843"/>
      <c r="T146" s="843"/>
      <c r="U146" s="843"/>
      <c r="V146" s="843"/>
      <c r="W146" s="843"/>
      <c r="X146" s="843"/>
      <c r="Y146" s="843"/>
      <c r="Z146" s="843"/>
      <c r="AA146" s="843"/>
      <c r="AB146" s="843"/>
      <c r="AC146" s="843"/>
      <c r="AD146" s="843"/>
      <c r="AE146" s="843"/>
      <c r="AF146" s="843"/>
      <c r="AG146" s="843"/>
      <c r="AH146" s="843"/>
      <c r="AI146" s="843"/>
      <c r="AJ146" s="843"/>
      <c r="AK146" s="843"/>
      <c r="AL146" s="843"/>
      <c r="AM146" s="843"/>
      <c r="AN146" s="843"/>
      <c r="AO146" s="843"/>
      <c r="AP146" s="843"/>
      <c r="AQ146" s="843"/>
      <c r="AR146" s="843"/>
      <c r="AS146" s="843"/>
    </row>
    <row r="147" spans="2:45" ht="15">
      <c r="B147" s="843"/>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843"/>
      <c r="AL147" s="843"/>
      <c r="AM147" s="843"/>
      <c r="AN147" s="843"/>
      <c r="AO147" s="843"/>
      <c r="AP147" s="843"/>
      <c r="AQ147" s="843"/>
      <c r="AR147" s="843"/>
      <c r="AS147" s="843"/>
    </row>
    <row r="148" spans="2:45" ht="15">
      <c r="B148" s="843"/>
      <c r="C148" s="843"/>
      <c r="D148" s="843"/>
      <c r="E148" s="843"/>
      <c r="F148" s="843"/>
      <c r="G148" s="843"/>
      <c r="H148" s="843"/>
      <c r="I148" s="843"/>
      <c r="J148" s="843"/>
      <c r="K148" s="843"/>
      <c r="L148" s="843"/>
      <c r="M148" s="843"/>
      <c r="N148" s="843"/>
      <c r="O148" s="843"/>
      <c r="P148" s="843"/>
      <c r="Q148" s="843"/>
      <c r="R148" s="843"/>
      <c r="S148" s="843"/>
      <c r="T148" s="843"/>
      <c r="U148" s="843"/>
      <c r="V148" s="843"/>
      <c r="W148" s="843"/>
      <c r="X148" s="843"/>
      <c r="Y148" s="843"/>
      <c r="Z148" s="843"/>
      <c r="AA148" s="843"/>
      <c r="AB148" s="843"/>
      <c r="AC148" s="843"/>
      <c r="AD148" s="843"/>
      <c r="AE148" s="843"/>
      <c r="AF148" s="843"/>
      <c r="AG148" s="843"/>
      <c r="AH148" s="843"/>
      <c r="AI148" s="843"/>
      <c r="AJ148" s="843"/>
      <c r="AK148" s="843"/>
      <c r="AL148" s="843"/>
      <c r="AM148" s="843"/>
      <c r="AN148" s="843"/>
      <c r="AO148" s="843"/>
      <c r="AP148" s="843"/>
      <c r="AQ148" s="843"/>
      <c r="AR148" s="843"/>
      <c r="AS148" s="843"/>
    </row>
    <row r="149" spans="2:45" ht="15">
      <c r="B149" s="843"/>
      <c r="C149" s="843"/>
      <c r="D149" s="843"/>
      <c r="E149" s="843"/>
      <c r="F149" s="843"/>
      <c r="G149" s="843"/>
      <c r="H149" s="843"/>
      <c r="I149" s="843"/>
      <c r="J149" s="843"/>
      <c r="K149" s="843"/>
      <c r="L149" s="843"/>
      <c r="M149" s="843"/>
      <c r="N149" s="843"/>
      <c r="O149" s="843"/>
      <c r="P149" s="843"/>
      <c r="Q149" s="843"/>
      <c r="R149" s="843"/>
      <c r="S149" s="843"/>
      <c r="T149" s="843"/>
      <c r="U149" s="843"/>
      <c r="V149" s="843"/>
      <c r="W149" s="843"/>
      <c r="X149" s="843"/>
      <c r="Y149" s="843"/>
      <c r="Z149" s="843"/>
      <c r="AA149" s="843"/>
      <c r="AB149" s="843"/>
      <c r="AC149" s="843"/>
      <c r="AD149" s="843"/>
      <c r="AE149" s="843"/>
      <c r="AF149" s="843"/>
      <c r="AG149" s="843"/>
      <c r="AH149" s="843"/>
      <c r="AI149" s="843"/>
      <c r="AJ149" s="843"/>
      <c r="AK149" s="843"/>
      <c r="AL149" s="843"/>
      <c r="AM149" s="843"/>
      <c r="AN149" s="843"/>
      <c r="AO149" s="843"/>
      <c r="AP149" s="843"/>
      <c r="AQ149" s="843"/>
      <c r="AR149" s="843"/>
      <c r="AS149" s="843"/>
    </row>
    <row r="150" spans="2:45" ht="15">
      <c r="B150" s="843"/>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843"/>
      <c r="Z150" s="843"/>
      <c r="AA150" s="843"/>
      <c r="AB150" s="843"/>
      <c r="AC150" s="843"/>
      <c r="AD150" s="843"/>
      <c r="AE150" s="843"/>
      <c r="AF150" s="843"/>
      <c r="AG150" s="843"/>
      <c r="AH150" s="843"/>
      <c r="AI150" s="843"/>
      <c r="AJ150" s="843"/>
      <c r="AK150" s="843"/>
      <c r="AL150" s="843"/>
      <c r="AM150" s="843"/>
      <c r="AN150" s="843"/>
      <c r="AO150" s="843"/>
      <c r="AP150" s="843"/>
      <c r="AQ150" s="843"/>
      <c r="AR150" s="843"/>
      <c r="AS150" s="843"/>
    </row>
    <row r="151" spans="2:45" ht="15">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c r="Z151" s="843"/>
      <c r="AA151" s="843"/>
      <c r="AB151" s="843"/>
      <c r="AC151" s="843"/>
      <c r="AD151" s="843"/>
      <c r="AE151" s="843"/>
      <c r="AF151" s="843"/>
      <c r="AG151" s="843"/>
      <c r="AH151" s="843"/>
      <c r="AI151" s="843"/>
      <c r="AJ151" s="843"/>
      <c r="AK151" s="843"/>
      <c r="AL151" s="843"/>
      <c r="AM151" s="843"/>
      <c r="AN151" s="843"/>
      <c r="AO151" s="843"/>
      <c r="AP151" s="843"/>
      <c r="AQ151" s="843"/>
      <c r="AR151" s="843"/>
      <c r="AS151" s="843"/>
    </row>
    <row r="152" spans="2:45" ht="15">
      <c r="B152" s="843"/>
      <c r="C152" s="843"/>
      <c r="D152" s="843"/>
      <c r="E152" s="843"/>
      <c r="F152" s="843"/>
      <c r="G152" s="843"/>
      <c r="H152" s="843"/>
      <c r="I152" s="843"/>
      <c r="J152" s="843"/>
      <c r="K152" s="843"/>
      <c r="L152" s="843"/>
      <c r="M152" s="843"/>
      <c r="N152" s="843"/>
      <c r="O152" s="843"/>
      <c r="P152" s="843"/>
      <c r="Q152" s="843"/>
      <c r="R152" s="843"/>
      <c r="S152" s="843"/>
      <c r="T152" s="843"/>
      <c r="U152" s="843"/>
      <c r="V152" s="843"/>
      <c r="W152" s="843"/>
      <c r="X152" s="843"/>
      <c r="Y152" s="843"/>
      <c r="Z152" s="843"/>
      <c r="AA152" s="843"/>
      <c r="AB152" s="843"/>
      <c r="AC152" s="843"/>
      <c r="AD152" s="843"/>
      <c r="AE152" s="843"/>
      <c r="AF152" s="843"/>
      <c r="AG152" s="843"/>
      <c r="AH152" s="843"/>
      <c r="AI152" s="843"/>
      <c r="AJ152" s="843"/>
      <c r="AK152" s="843"/>
      <c r="AL152" s="843"/>
      <c r="AM152" s="843"/>
      <c r="AN152" s="843"/>
      <c r="AO152" s="843"/>
      <c r="AP152" s="843"/>
      <c r="AQ152" s="843"/>
      <c r="AR152" s="843"/>
      <c r="AS152" s="843"/>
    </row>
    <row r="153" spans="2:45" ht="15">
      <c r="B153" s="843"/>
      <c r="C153" s="843"/>
      <c r="D153" s="843"/>
      <c r="E153" s="843"/>
      <c r="F153" s="843"/>
      <c r="G153" s="843"/>
      <c r="H153" s="843"/>
      <c r="I153" s="843"/>
      <c r="J153" s="843"/>
      <c r="K153" s="843"/>
      <c r="L153" s="843"/>
      <c r="M153" s="843"/>
      <c r="N153" s="843"/>
      <c r="O153" s="843"/>
      <c r="P153" s="843"/>
      <c r="Q153" s="843"/>
      <c r="R153" s="843"/>
      <c r="S153" s="843"/>
      <c r="T153" s="843"/>
      <c r="U153" s="843"/>
      <c r="V153" s="843"/>
      <c r="W153" s="843"/>
      <c r="X153" s="843"/>
      <c r="Y153" s="843"/>
      <c r="Z153" s="843"/>
      <c r="AA153" s="843"/>
      <c r="AB153" s="843"/>
      <c r="AC153" s="843"/>
      <c r="AD153" s="843"/>
      <c r="AE153" s="843"/>
      <c r="AF153" s="843"/>
      <c r="AG153" s="843"/>
      <c r="AH153" s="843"/>
      <c r="AI153" s="843"/>
      <c r="AJ153" s="843"/>
      <c r="AK153" s="843"/>
      <c r="AL153" s="843"/>
      <c r="AM153" s="843"/>
      <c r="AN153" s="843"/>
      <c r="AO153" s="843"/>
      <c r="AP153" s="843"/>
      <c r="AQ153" s="843"/>
      <c r="AR153" s="843"/>
      <c r="AS153" s="843"/>
    </row>
    <row r="154" spans="2:45" ht="15">
      <c r="B154" s="843"/>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843"/>
      <c r="Z154" s="843"/>
      <c r="AA154" s="843"/>
      <c r="AB154" s="843"/>
      <c r="AC154" s="843"/>
      <c r="AD154" s="843"/>
      <c r="AE154" s="843"/>
      <c r="AF154" s="843"/>
      <c r="AG154" s="843"/>
      <c r="AH154" s="843"/>
      <c r="AI154" s="843"/>
      <c r="AJ154" s="843"/>
      <c r="AK154" s="843"/>
      <c r="AL154" s="843"/>
      <c r="AM154" s="843"/>
      <c r="AN154" s="843"/>
      <c r="AO154" s="843"/>
      <c r="AP154" s="843"/>
      <c r="AQ154" s="843"/>
      <c r="AR154" s="843"/>
      <c r="AS154" s="843"/>
    </row>
    <row r="155" spans="2:45" ht="15">
      <c r="B155" s="843"/>
      <c r="C155" s="843"/>
      <c r="D155" s="843"/>
      <c r="E155" s="843"/>
      <c r="F155" s="843"/>
      <c r="G155" s="843"/>
      <c r="H155" s="843"/>
      <c r="I155" s="843"/>
      <c r="J155" s="843"/>
      <c r="K155" s="843"/>
      <c r="L155" s="843"/>
      <c r="M155" s="843"/>
      <c r="N155" s="843"/>
      <c r="O155" s="843"/>
      <c r="P155" s="843"/>
      <c r="Q155" s="843"/>
      <c r="R155" s="843"/>
      <c r="S155" s="843"/>
      <c r="T155" s="843"/>
      <c r="U155" s="843"/>
      <c r="V155" s="843"/>
      <c r="W155" s="843"/>
      <c r="X155" s="843"/>
      <c r="Y155" s="843"/>
      <c r="Z155" s="843"/>
      <c r="AA155" s="843"/>
      <c r="AB155" s="843"/>
      <c r="AC155" s="843"/>
      <c r="AD155" s="843"/>
      <c r="AE155" s="843"/>
      <c r="AF155" s="843"/>
      <c r="AG155" s="843"/>
      <c r="AH155" s="843"/>
      <c r="AI155" s="843"/>
      <c r="AJ155" s="843"/>
      <c r="AK155" s="843"/>
      <c r="AL155" s="843"/>
      <c r="AM155" s="843"/>
      <c r="AN155" s="843"/>
      <c r="AO155" s="843"/>
      <c r="AP155" s="843"/>
      <c r="AQ155" s="843"/>
      <c r="AR155" s="843"/>
      <c r="AS155" s="843"/>
    </row>
    <row r="156" spans="2:45" ht="15">
      <c r="B156" s="843"/>
      <c r="C156" s="843"/>
      <c r="D156" s="843"/>
      <c r="E156" s="843"/>
      <c r="F156" s="843"/>
      <c r="G156" s="843"/>
      <c r="H156" s="843"/>
      <c r="I156" s="843"/>
      <c r="J156" s="843"/>
      <c r="K156" s="843"/>
      <c r="L156" s="843"/>
      <c r="M156" s="843"/>
      <c r="N156" s="843"/>
      <c r="O156" s="843"/>
      <c r="P156" s="843"/>
      <c r="Q156" s="843"/>
      <c r="R156" s="843"/>
      <c r="S156" s="843"/>
      <c r="T156" s="843"/>
      <c r="U156" s="843"/>
      <c r="V156" s="843"/>
      <c r="W156" s="843"/>
      <c r="X156" s="843"/>
      <c r="Y156" s="843"/>
      <c r="Z156" s="843"/>
      <c r="AA156" s="843"/>
      <c r="AB156" s="843"/>
      <c r="AC156" s="843"/>
      <c r="AD156" s="843"/>
      <c r="AE156" s="843"/>
      <c r="AF156" s="843"/>
      <c r="AG156" s="843"/>
      <c r="AH156" s="843"/>
      <c r="AI156" s="843"/>
      <c r="AJ156" s="843"/>
      <c r="AK156" s="843"/>
      <c r="AL156" s="843"/>
      <c r="AM156" s="843"/>
      <c r="AN156" s="843"/>
      <c r="AO156" s="843"/>
      <c r="AP156" s="843"/>
      <c r="AQ156" s="843"/>
      <c r="AR156" s="843"/>
      <c r="AS156" s="843"/>
    </row>
    <row r="157" spans="2:45" ht="15">
      <c r="B157" s="843"/>
      <c r="C157" s="843"/>
      <c r="D157" s="843"/>
      <c r="E157" s="843"/>
      <c r="F157" s="843"/>
      <c r="G157" s="843"/>
      <c r="H157" s="843"/>
      <c r="I157" s="843"/>
      <c r="J157" s="843"/>
      <c r="K157" s="843"/>
      <c r="L157" s="843"/>
      <c r="M157" s="843"/>
      <c r="N157" s="843"/>
      <c r="O157" s="843"/>
      <c r="P157" s="843"/>
      <c r="Q157" s="843"/>
      <c r="R157" s="843"/>
      <c r="S157" s="843"/>
      <c r="T157" s="843"/>
      <c r="U157" s="843"/>
      <c r="V157" s="843"/>
      <c r="W157" s="843"/>
      <c r="X157" s="843"/>
      <c r="Y157" s="843"/>
      <c r="Z157" s="843"/>
      <c r="AA157" s="843"/>
      <c r="AB157" s="843"/>
      <c r="AC157" s="843"/>
      <c r="AD157" s="843"/>
      <c r="AE157" s="843"/>
      <c r="AF157" s="843"/>
      <c r="AG157" s="843"/>
      <c r="AH157" s="843"/>
      <c r="AI157" s="843"/>
      <c r="AJ157" s="843"/>
      <c r="AK157" s="843"/>
      <c r="AL157" s="843"/>
      <c r="AM157" s="843"/>
      <c r="AN157" s="843"/>
      <c r="AO157" s="843"/>
      <c r="AP157" s="843"/>
      <c r="AQ157" s="843"/>
      <c r="AR157" s="843"/>
      <c r="AS157" s="843"/>
    </row>
    <row r="158" spans="2:45" ht="15">
      <c r="B158" s="843"/>
      <c r="C158" s="843"/>
      <c r="D158" s="843"/>
      <c r="E158" s="843"/>
      <c r="F158" s="843"/>
      <c r="G158" s="843"/>
      <c r="H158" s="843"/>
      <c r="I158" s="843"/>
      <c r="J158" s="843"/>
      <c r="K158" s="843"/>
      <c r="L158" s="843"/>
      <c r="M158" s="843"/>
      <c r="N158" s="843"/>
      <c r="O158" s="843"/>
      <c r="P158" s="843"/>
      <c r="Q158" s="843"/>
      <c r="R158" s="843"/>
      <c r="S158" s="843"/>
      <c r="T158" s="843"/>
      <c r="U158" s="843"/>
      <c r="V158" s="843"/>
      <c r="W158" s="843"/>
      <c r="X158" s="843"/>
      <c r="Y158" s="843"/>
      <c r="Z158" s="843"/>
      <c r="AA158" s="843"/>
      <c r="AB158" s="843"/>
      <c r="AC158" s="843"/>
      <c r="AD158" s="843"/>
      <c r="AE158" s="843"/>
      <c r="AF158" s="843"/>
      <c r="AG158" s="843"/>
      <c r="AH158" s="843"/>
      <c r="AI158" s="843"/>
      <c r="AJ158" s="843"/>
      <c r="AK158" s="843"/>
      <c r="AL158" s="843"/>
      <c r="AM158" s="843"/>
      <c r="AN158" s="843"/>
      <c r="AO158" s="843"/>
      <c r="AP158" s="843"/>
      <c r="AQ158" s="843"/>
      <c r="AR158" s="843"/>
      <c r="AS158" s="843"/>
    </row>
    <row r="159" spans="2:45" ht="15">
      <c r="B159" s="843"/>
      <c r="C159" s="843"/>
      <c r="D159" s="843"/>
      <c r="E159" s="843"/>
      <c r="F159" s="843"/>
      <c r="G159" s="843"/>
      <c r="H159" s="843"/>
      <c r="I159" s="843"/>
      <c r="J159" s="843"/>
      <c r="K159" s="843"/>
      <c r="L159" s="843"/>
      <c r="M159" s="843"/>
      <c r="N159" s="843"/>
      <c r="O159" s="843"/>
      <c r="P159" s="843"/>
      <c r="Q159" s="843"/>
      <c r="R159" s="843"/>
      <c r="S159" s="843"/>
      <c r="T159" s="843"/>
      <c r="U159" s="843"/>
      <c r="V159" s="843"/>
      <c r="W159" s="843"/>
      <c r="X159" s="843"/>
      <c r="Y159" s="843"/>
      <c r="Z159" s="843"/>
      <c r="AA159" s="843"/>
      <c r="AB159" s="843"/>
      <c r="AC159" s="843"/>
      <c r="AD159" s="843"/>
      <c r="AE159" s="843"/>
      <c r="AF159" s="843"/>
      <c r="AG159" s="843"/>
      <c r="AH159" s="843"/>
      <c r="AI159" s="843"/>
      <c r="AJ159" s="843"/>
      <c r="AK159" s="843"/>
      <c r="AL159" s="843"/>
      <c r="AM159" s="843"/>
      <c r="AN159" s="843"/>
      <c r="AO159" s="843"/>
      <c r="AP159" s="843"/>
      <c r="AQ159" s="843"/>
      <c r="AR159" s="843"/>
      <c r="AS159" s="843"/>
    </row>
    <row r="160" spans="2:45" ht="15">
      <c r="B160" s="843"/>
      <c r="C160" s="843"/>
      <c r="D160" s="843"/>
      <c r="E160" s="843"/>
      <c r="F160" s="843"/>
      <c r="G160" s="843"/>
      <c r="H160" s="843"/>
      <c r="I160" s="843"/>
      <c r="J160" s="843"/>
      <c r="K160" s="843"/>
      <c r="L160" s="843"/>
      <c r="M160" s="843"/>
      <c r="N160" s="843"/>
      <c r="O160" s="843"/>
      <c r="P160" s="843"/>
      <c r="Q160" s="843"/>
      <c r="R160" s="843"/>
      <c r="S160" s="843"/>
      <c r="T160" s="843"/>
      <c r="U160" s="843"/>
      <c r="V160" s="843"/>
      <c r="W160" s="843"/>
      <c r="X160" s="843"/>
      <c r="Y160" s="843"/>
      <c r="Z160" s="843"/>
      <c r="AA160" s="843"/>
      <c r="AB160" s="843"/>
      <c r="AC160" s="843"/>
      <c r="AD160" s="843"/>
      <c r="AE160" s="843"/>
      <c r="AF160" s="843"/>
      <c r="AG160" s="843"/>
      <c r="AH160" s="843"/>
      <c r="AI160" s="843"/>
      <c r="AJ160" s="843"/>
      <c r="AK160" s="843"/>
      <c r="AL160" s="843"/>
      <c r="AM160" s="843"/>
      <c r="AN160" s="843"/>
      <c r="AO160" s="843"/>
      <c r="AP160" s="843"/>
      <c r="AQ160" s="843"/>
      <c r="AR160" s="843"/>
      <c r="AS160" s="843"/>
    </row>
    <row r="161" spans="2:45" ht="15">
      <c r="B161" s="843"/>
      <c r="C161" s="843"/>
      <c r="D161" s="843"/>
      <c r="E161" s="843"/>
      <c r="F161" s="843"/>
      <c r="G161" s="843"/>
      <c r="H161" s="843"/>
      <c r="I161" s="843"/>
      <c r="J161" s="843"/>
      <c r="K161" s="843"/>
      <c r="L161" s="843"/>
      <c r="M161" s="843"/>
      <c r="N161" s="843"/>
      <c r="O161" s="843"/>
      <c r="P161" s="843"/>
      <c r="Q161" s="843"/>
      <c r="R161" s="843"/>
      <c r="S161" s="843"/>
      <c r="T161" s="843"/>
      <c r="U161" s="843"/>
      <c r="V161" s="843"/>
      <c r="W161" s="843"/>
      <c r="X161" s="843"/>
      <c r="Y161" s="843"/>
      <c r="Z161" s="843"/>
      <c r="AA161" s="843"/>
      <c r="AB161" s="843"/>
      <c r="AC161" s="843"/>
      <c r="AD161" s="843"/>
      <c r="AE161" s="843"/>
      <c r="AF161" s="843"/>
      <c r="AG161" s="843"/>
      <c r="AH161" s="843"/>
      <c r="AI161" s="843"/>
      <c r="AJ161" s="843"/>
      <c r="AK161" s="843"/>
      <c r="AL161" s="843"/>
      <c r="AM161" s="843"/>
      <c r="AN161" s="843"/>
      <c r="AO161" s="843"/>
      <c r="AP161" s="843"/>
      <c r="AQ161" s="843"/>
      <c r="AR161" s="843"/>
      <c r="AS161" s="843"/>
    </row>
    <row r="162" spans="2:45" ht="15">
      <c r="B162" s="843"/>
      <c r="C162" s="843"/>
      <c r="D162" s="843"/>
      <c r="E162" s="843"/>
      <c r="F162" s="843"/>
      <c r="G162" s="843"/>
      <c r="H162" s="843"/>
      <c r="I162" s="843"/>
      <c r="J162" s="843"/>
      <c r="K162" s="843"/>
      <c r="L162" s="843"/>
      <c r="M162" s="843"/>
      <c r="N162" s="843"/>
      <c r="O162" s="843"/>
      <c r="P162" s="843"/>
      <c r="Q162" s="843"/>
      <c r="R162" s="843"/>
      <c r="S162" s="843"/>
      <c r="T162" s="843"/>
      <c r="U162" s="843"/>
      <c r="V162" s="843"/>
      <c r="W162" s="843"/>
      <c r="X162" s="843"/>
      <c r="Y162" s="843"/>
      <c r="Z162" s="843"/>
      <c r="AA162" s="843"/>
      <c r="AB162" s="843"/>
      <c r="AC162" s="843"/>
      <c r="AD162" s="843"/>
      <c r="AE162" s="843"/>
      <c r="AF162" s="843"/>
      <c r="AG162" s="843"/>
      <c r="AH162" s="843"/>
      <c r="AI162" s="843"/>
      <c r="AJ162" s="843"/>
      <c r="AK162" s="843"/>
      <c r="AL162" s="843"/>
      <c r="AM162" s="843"/>
      <c r="AN162" s="843"/>
      <c r="AO162" s="843"/>
      <c r="AP162" s="843"/>
      <c r="AQ162" s="843"/>
      <c r="AR162" s="843"/>
      <c r="AS162" s="843"/>
    </row>
    <row r="163" spans="2:45" ht="15">
      <c r="B163" s="843"/>
      <c r="C163" s="843"/>
      <c r="D163" s="843"/>
      <c r="E163" s="843"/>
      <c r="F163" s="843"/>
      <c r="G163" s="843"/>
      <c r="H163" s="843"/>
      <c r="I163" s="843"/>
      <c r="J163" s="843"/>
      <c r="K163" s="843"/>
      <c r="L163" s="843"/>
      <c r="M163" s="843"/>
      <c r="N163" s="843"/>
      <c r="O163" s="843"/>
      <c r="P163" s="843"/>
      <c r="Q163" s="843"/>
      <c r="R163" s="843"/>
      <c r="S163" s="843"/>
      <c r="T163" s="843"/>
      <c r="U163" s="843"/>
      <c r="V163" s="843"/>
      <c r="W163" s="843"/>
      <c r="X163" s="843"/>
      <c r="Y163" s="843"/>
      <c r="Z163" s="843"/>
      <c r="AA163" s="843"/>
      <c r="AB163" s="843"/>
      <c r="AC163" s="843"/>
      <c r="AD163" s="843"/>
      <c r="AE163" s="843"/>
      <c r="AF163" s="843"/>
      <c r="AG163" s="843"/>
      <c r="AH163" s="843"/>
      <c r="AI163" s="843"/>
      <c r="AJ163" s="843"/>
      <c r="AK163" s="843"/>
      <c r="AL163" s="843"/>
      <c r="AM163" s="843"/>
      <c r="AN163" s="843"/>
      <c r="AO163" s="843"/>
      <c r="AP163" s="843"/>
      <c r="AQ163" s="843"/>
      <c r="AR163" s="843"/>
      <c r="AS163" s="843"/>
    </row>
    <row r="164" spans="2:45" ht="15">
      <c r="B164" s="843"/>
      <c r="C164" s="843"/>
      <c r="D164" s="843"/>
      <c r="E164" s="843"/>
      <c r="F164" s="843"/>
      <c r="G164" s="843"/>
      <c r="H164" s="843"/>
      <c r="I164" s="843"/>
      <c r="J164" s="843"/>
      <c r="K164" s="843"/>
      <c r="L164" s="843"/>
      <c r="M164" s="843"/>
      <c r="N164" s="843"/>
      <c r="O164" s="843"/>
      <c r="P164" s="843"/>
      <c r="Q164" s="843"/>
      <c r="R164" s="843"/>
      <c r="S164" s="843"/>
      <c r="T164" s="843"/>
      <c r="U164" s="843"/>
      <c r="V164" s="843"/>
      <c r="W164" s="843"/>
      <c r="X164" s="843"/>
      <c r="Y164" s="843"/>
      <c r="Z164" s="843"/>
      <c r="AA164" s="843"/>
      <c r="AB164" s="843"/>
      <c r="AC164" s="843"/>
      <c r="AD164" s="843"/>
      <c r="AE164" s="843"/>
      <c r="AF164" s="843"/>
      <c r="AG164" s="843"/>
      <c r="AH164" s="843"/>
      <c r="AI164" s="843"/>
      <c r="AJ164" s="843"/>
      <c r="AK164" s="843"/>
      <c r="AL164" s="843"/>
      <c r="AM164" s="843"/>
      <c r="AN164" s="843"/>
      <c r="AO164" s="843"/>
      <c r="AP164" s="843"/>
      <c r="AQ164" s="843"/>
      <c r="AR164" s="843"/>
      <c r="AS164" s="843"/>
    </row>
    <row r="165" spans="2:45" ht="15">
      <c r="B165" s="843"/>
      <c r="C165" s="843"/>
      <c r="D165" s="843"/>
      <c r="E165" s="843"/>
      <c r="F165" s="843"/>
      <c r="G165" s="843"/>
      <c r="H165" s="843"/>
      <c r="I165" s="843"/>
      <c r="J165" s="843"/>
      <c r="K165" s="843"/>
      <c r="L165" s="843"/>
      <c r="M165" s="843"/>
      <c r="N165" s="843"/>
      <c r="O165" s="843"/>
      <c r="P165" s="843"/>
      <c r="Q165" s="843"/>
      <c r="R165" s="843"/>
      <c r="S165" s="843"/>
      <c r="T165" s="843"/>
      <c r="U165" s="843"/>
      <c r="V165" s="843"/>
      <c r="W165" s="843"/>
      <c r="X165" s="843"/>
      <c r="Y165" s="843"/>
      <c r="Z165" s="843"/>
      <c r="AA165" s="843"/>
      <c r="AB165" s="843"/>
      <c r="AC165" s="843"/>
      <c r="AD165" s="843"/>
      <c r="AE165" s="843"/>
      <c r="AF165" s="843"/>
      <c r="AG165" s="843"/>
      <c r="AH165" s="843"/>
      <c r="AI165" s="843"/>
      <c r="AJ165" s="843"/>
      <c r="AK165" s="843"/>
      <c r="AL165" s="843"/>
      <c r="AM165" s="843"/>
      <c r="AN165" s="843"/>
      <c r="AO165" s="843"/>
      <c r="AP165" s="843"/>
      <c r="AQ165" s="843"/>
      <c r="AR165" s="843"/>
      <c r="AS165" s="843"/>
    </row>
    <row r="166" spans="2:45" ht="15">
      <c r="B166" s="843"/>
      <c r="C166" s="843"/>
      <c r="D166" s="843"/>
      <c r="E166" s="843"/>
      <c r="F166" s="843"/>
      <c r="G166" s="843"/>
      <c r="H166" s="843"/>
      <c r="I166" s="843"/>
      <c r="J166" s="843"/>
      <c r="K166" s="843"/>
      <c r="L166" s="843"/>
      <c r="M166" s="843"/>
      <c r="N166" s="843"/>
      <c r="O166" s="843"/>
      <c r="P166" s="843"/>
      <c r="Q166" s="843"/>
      <c r="R166" s="843"/>
      <c r="S166" s="843"/>
      <c r="T166" s="843"/>
      <c r="U166" s="843"/>
      <c r="V166" s="843"/>
      <c r="W166" s="843"/>
      <c r="X166" s="843"/>
      <c r="Y166" s="843"/>
      <c r="Z166" s="843"/>
      <c r="AA166" s="843"/>
      <c r="AB166" s="843"/>
      <c r="AC166" s="843"/>
      <c r="AD166" s="843"/>
      <c r="AE166" s="843"/>
      <c r="AF166" s="843"/>
      <c r="AG166" s="843"/>
      <c r="AH166" s="843"/>
      <c r="AI166" s="843"/>
      <c r="AJ166" s="843"/>
      <c r="AK166" s="843"/>
      <c r="AL166" s="843"/>
      <c r="AM166" s="843"/>
      <c r="AN166" s="843"/>
      <c r="AO166" s="843"/>
      <c r="AP166" s="843"/>
      <c r="AQ166" s="843"/>
      <c r="AR166" s="843"/>
      <c r="AS166" s="843"/>
    </row>
    <row r="167" spans="2:45" ht="15">
      <c r="B167" s="843"/>
      <c r="C167" s="843"/>
      <c r="D167" s="843"/>
      <c r="E167" s="843"/>
      <c r="F167" s="843"/>
      <c r="G167" s="843"/>
      <c r="H167" s="843"/>
      <c r="I167" s="843"/>
      <c r="J167" s="843"/>
      <c r="K167" s="843"/>
      <c r="L167" s="843"/>
      <c r="M167" s="843"/>
      <c r="N167" s="843"/>
      <c r="O167" s="843"/>
      <c r="P167" s="843"/>
      <c r="Q167" s="843"/>
      <c r="R167" s="843"/>
      <c r="S167" s="843"/>
      <c r="T167" s="843"/>
      <c r="U167" s="843"/>
      <c r="V167" s="843"/>
      <c r="W167" s="843"/>
      <c r="X167" s="843"/>
      <c r="Y167" s="843"/>
      <c r="Z167" s="843"/>
      <c r="AA167" s="843"/>
      <c r="AB167" s="843"/>
      <c r="AC167" s="843"/>
      <c r="AD167" s="843"/>
      <c r="AE167" s="843"/>
      <c r="AF167" s="843"/>
      <c r="AG167" s="843"/>
      <c r="AH167" s="843"/>
      <c r="AI167" s="843"/>
      <c r="AJ167" s="843"/>
      <c r="AK167" s="843"/>
      <c r="AL167" s="843"/>
      <c r="AM167" s="843"/>
      <c r="AN167" s="843"/>
      <c r="AO167" s="843"/>
      <c r="AP167" s="843"/>
      <c r="AQ167" s="843"/>
      <c r="AR167" s="843"/>
      <c r="AS167" s="843"/>
    </row>
    <row r="168" spans="2:45" ht="15">
      <c r="B168" s="843"/>
      <c r="C168" s="843"/>
      <c r="D168" s="843"/>
      <c r="E168" s="843"/>
      <c r="F168" s="843"/>
      <c r="G168" s="843"/>
      <c r="H168" s="843"/>
      <c r="I168" s="843"/>
      <c r="J168" s="843"/>
      <c r="K168" s="843"/>
      <c r="L168" s="843"/>
      <c r="M168" s="843"/>
      <c r="N168" s="843"/>
      <c r="O168" s="843"/>
      <c r="P168" s="843"/>
      <c r="Q168" s="843"/>
      <c r="R168" s="843"/>
      <c r="S168" s="843"/>
      <c r="T168" s="843"/>
      <c r="U168" s="843"/>
      <c r="V168" s="843"/>
      <c r="W168" s="843"/>
      <c r="X168" s="843"/>
      <c r="Y168" s="843"/>
      <c r="Z168" s="843"/>
      <c r="AA168" s="843"/>
      <c r="AB168" s="843"/>
      <c r="AC168" s="843"/>
      <c r="AD168" s="843"/>
      <c r="AE168" s="843"/>
      <c r="AF168" s="843"/>
      <c r="AG168" s="843"/>
      <c r="AH168" s="843"/>
      <c r="AI168" s="843"/>
      <c r="AJ168" s="843"/>
      <c r="AK168" s="843"/>
      <c r="AL168" s="843"/>
      <c r="AM168" s="843"/>
      <c r="AN168" s="843"/>
      <c r="AO168" s="843"/>
      <c r="AP168" s="843"/>
      <c r="AQ168" s="843"/>
      <c r="AR168" s="843"/>
      <c r="AS168" s="843"/>
    </row>
    <row r="169" spans="2:45" ht="15">
      <c r="B169" s="843"/>
      <c r="C169" s="843"/>
      <c r="D169" s="843"/>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843"/>
      <c r="AL169" s="843"/>
      <c r="AM169" s="843"/>
      <c r="AN169" s="843"/>
      <c r="AO169" s="843"/>
      <c r="AP169" s="843"/>
      <c r="AQ169" s="843"/>
      <c r="AR169" s="843"/>
      <c r="AS169" s="843"/>
    </row>
    <row r="170" spans="2:45" ht="15">
      <c r="B170" s="843"/>
      <c r="C170" s="843"/>
      <c r="D170" s="843"/>
      <c r="E170" s="843"/>
      <c r="F170" s="843"/>
      <c r="G170" s="843"/>
      <c r="H170" s="843"/>
      <c r="I170" s="843"/>
      <c r="J170" s="843"/>
      <c r="K170" s="843"/>
      <c r="L170" s="843"/>
      <c r="M170" s="843"/>
      <c r="N170" s="843"/>
      <c r="O170" s="843"/>
      <c r="P170" s="843"/>
      <c r="Q170" s="843"/>
      <c r="R170" s="843"/>
      <c r="S170" s="843"/>
      <c r="T170" s="843"/>
      <c r="U170" s="843"/>
      <c r="V170" s="843"/>
      <c r="W170" s="843"/>
      <c r="X170" s="843"/>
      <c r="Y170" s="843"/>
      <c r="Z170" s="843"/>
      <c r="AA170" s="843"/>
      <c r="AB170" s="843"/>
      <c r="AC170" s="843"/>
      <c r="AD170" s="843"/>
      <c r="AE170" s="843"/>
      <c r="AF170" s="843"/>
      <c r="AG170" s="843"/>
      <c r="AH170" s="843"/>
      <c r="AI170" s="843"/>
      <c r="AJ170" s="843"/>
      <c r="AK170" s="843"/>
      <c r="AL170" s="843"/>
      <c r="AM170" s="843"/>
      <c r="AN170" s="843"/>
      <c r="AO170" s="843"/>
      <c r="AP170" s="843"/>
      <c r="AQ170" s="843"/>
      <c r="AR170" s="843"/>
      <c r="AS170" s="843"/>
    </row>
    <row r="171" spans="2:45" ht="15">
      <c r="B171" s="843"/>
      <c r="C171" s="843"/>
      <c r="D171" s="843"/>
      <c r="E171" s="843"/>
      <c r="F171" s="843"/>
      <c r="G171" s="843"/>
      <c r="H171" s="843"/>
      <c r="I171" s="843"/>
      <c r="J171" s="843"/>
      <c r="K171" s="843"/>
      <c r="L171" s="843"/>
      <c r="M171" s="843"/>
      <c r="N171" s="843"/>
      <c r="O171" s="843"/>
      <c r="P171" s="843"/>
      <c r="Q171" s="843"/>
      <c r="R171" s="843"/>
      <c r="S171" s="843"/>
      <c r="T171" s="843"/>
      <c r="U171" s="843"/>
      <c r="V171" s="843"/>
      <c r="W171" s="843"/>
      <c r="X171" s="843"/>
      <c r="Y171" s="843"/>
      <c r="Z171" s="843"/>
      <c r="AA171" s="843"/>
      <c r="AB171" s="843"/>
      <c r="AC171" s="843"/>
      <c r="AD171" s="843"/>
      <c r="AE171" s="843"/>
      <c r="AF171" s="843"/>
      <c r="AG171" s="843"/>
      <c r="AH171" s="843"/>
      <c r="AI171" s="843"/>
      <c r="AJ171" s="843"/>
      <c r="AK171" s="843"/>
      <c r="AL171" s="843"/>
      <c r="AM171" s="843"/>
      <c r="AN171" s="843"/>
      <c r="AO171" s="843"/>
      <c r="AP171" s="843"/>
      <c r="AQ171" s="843"/>
      <c r="AR171" s="843"/>
      <c r="AS171" s="843"/>
    </row>
    <row r="172" spans="2:45" ht="15">
      <c r="B172" s="843"/>
      <c r="C172" s="843"/>
      <c r="D172" s="843"/>
      <c r="E172" s="843"/>
      <c r="F172" s="843"/>
      <c r="G172" s="843"/>
      <c r="H172" s="843"/>
      <c r="I172" s="843"/>
      <c r="J172" s="843"/>
      <c r="K172" s="843"/>
      <c r="L172" s="843"/>
      <c r="M172" s="843"/>
      <c r="N172" s="843"/>
      <c r="O172" s="843"/>
      <c r="P172" s="843"/>
      <c r="Q172" s="843"/>
      <c r="R172" s="843"/>
      <c r="S172" s="843"/>
      <c r="T172" s="843"/>
      <c r="U172" s="843"/>
      <c r="V172" s="843"/>
      <c r="W172" s="843"/>
      <c r="X172" s="843"/>
      <c r="Y172" s="843"/>
      <c r="Z172" s="843"/>
      <c r="AA172" s="843"/>
      <c r="AB172" s="843"/>
      <c r="AC172" s="843"/>
      <c r="AD172" s="843"/>
      <c r="AE172" s="843"/>
      <c r="AF172" s="843"/>
      <c r="AG172" s="843"/>
      <c r="AH172" s="843"/>
      <c r="AI172" s="843"/>
      <c r="AJ172" s="843"/>
      <c r="AK172" s="843"/>
      <c r="AL172" s="843"/>
      <c r="AM172" s="843"/>
      <c r="AN172" s="843"/>
      <c r="AO172" s="843"/>
      <c r="AP172" s="843"/>
      <c r="AQ172" s="843"/>
      <c r="AR172" s="843"/>
      <c r="AS172" s="843"/>
    </row>
    <row r="173" spans="2:45" ht="15">
      <c r="B173" s="843"/>
      <c r="C173" s="843"/>
      <c r="D173" s="843"/>
      <c r="E173" s="843"/>
      <c r="F173" s="843"/>
      <c r="G173" s="843"/>
      <c r="H173" s="843"/>
      <c r="I173" s="843"/>
      <c r="J173" s="843"/>
      <c r="K173" s="843"/>
      <c r="L173" s="843"/>
      <c r="M173" s="843"/>
      <c r="N173" s="843"/>
      <c r="O173" s="843"/>
      <c r="P173" s="843"/>
      <c r="Q173" s="843"/>
      <c r="R173" s="843"/>
      <c r="S173" s="843"/>
      <c r="T173" s="843"/>
      <c r="U173" s="843"/>
      <c r="V173" s="843"/>
      <c r="W173" s="843"/>
      <c r="X173" s="843"/>
      <c r="Y173" s="843"/>
      <c r="Z173" s="843"/>
      <c r="AA173" s="843"/>
      <c r="AB173" s="843"/>
      <c r="AC173" s="843"/>
      <c r="AD173" s="843"/>
      <c r="AE173" s="843"/>
      <c r="AF173" s="843"/>
      <c r="AG173" s="843"/>
      <c r="AH173" s="843"/>
      <c r="AI173" s="843"/>
      <c r="AJ173" s="843"/>
      <c r="AK173" s="843"/>
      <c r="AL173" s="843"/>
      <c r="AM173" s="843"/>
      <c r="AN173" s="843"/>
      <c r="AO173" s="843"/>
      <c r="AP173" s="843"/>
      <c r="AQ173" s="843"/>
      <c r="AR173" s="843"/>
      <c r="AS173" s="843"/>
    </row>
    <row r="174" spans="2:45" ht="15">
      <c r="B174" s="843"/>
      <c r="C174" s="843"/>
      <c r="D174" s="843"/>
      <c r="E174" s="843"/>
      <c r="F174" s="843"/>
      <c r="G174" s="843"/>
      <c r="H174" s="843"/>
      <c r="I174" s="843"/>
      <c r="J174" s="843"/>
      <c r="K174" s="843"/>
      <c r="L174" s="843"/>
      <c r="M174" s="843"/>
      <c r="N174" s="843"/>
      <c r="O174" s="843"/>
      <c r="P174" s="843"/>
      <c r="Q174" s="843"/>
      <c r="R174" s="843"/>
      <c r="S174" s="843"/>
      <c r="T174" s="843"/>
      <c r="U174" s="843"/>
      <c r="V174" s="843"/>
      <c r="W174" s="843"/>
      <c r="X174" s="843"/>
      <c r="Y174" s="843"/>
      <c r="Z174" s="843"/>
      <c r="AA174" s="843"/>
      <c r="AB174" s="843"/>
      <c r="AC174" s="843"/>
      <c r="AD174" s="843"/>
      <c r="AE174" s="843"/>
      <c r="AF174" s="843"/>
      <c r="AG174" s="843"/>
      <c r="AH174" s="843"/>
      <c r="AI174" s="843"/>
      <c r="AJ174" s="843"/>
      <c r="AK174" s="843"/>
      <c r="AL174" s="843"/>
      <c r="AM174" s="843"/>
      <c r="AN174" s="843"/>
      <c r="AO174" s="843"/>
      <c r="AP174" s="843"/>
      <c r="AQ174" s="843"/>
      <c r="AR174" s="843"/>
    </row>
    <row r="175" spans="2:45" ht="15">
      <c r="B175" s="843"/>
      <c r="C175" s="843"/>
      <c r="D175" s="843"/>
      <c r="E175" s="843"/>
      <c r="F175" s="843"/>
      <c r="G175" s="843"/>
      <c r="H175" s="843"/>
      <c r="I175" s="843"/>
      <c r="J175" s="843"/>
      <c r="K175" s="843"/>
      <c r="L175" s="843"/>
      <c r="M175" s="843"/>
      <c r="N175" s="843"/>
      <c r="O175" s="843"/>
      <c r="P175" s="843"/>
      <c r="Q175" s="843"/>
      <c r="R175" s="843"/>
      <c r="S175" s="843"/>
      <c r="T175" s="843"/>
      <c r="U175" s="843"/>
      <c r="V175" s="843"/>
      <c r="W175" s="843"/>
      <c r="X175" s="843"/>
      <c r="Y175" s="843"/>
      <c r="Z175" s="843"/>
      <c r="AA175" s="843"/>
      <c r="AB175" s="843"/>
      <c r="AC175" s="843"/>
      <c r="AD175" s="843"/>
      <c r="AE175" s="843"/>
      <c r="AF175" s="843"/>
      <c r="AG175" s="843"/>
      <c r="AH175" s="843"/>
      <c r="AI175" s="843"/>
      <c r="AJ175" s="843"/>
      <c r="AK175" s="843"/>
      <c r="AL175" s="843"/>
      <c r="AM175" s="843"/>
      <c r="AN175" s="843"/>
      <c r="AO175" s="843"/>
      <c r="AP175" s="843"/>
      <c r="AQ175" s="843"/>
      <c r="AR175" s="843"/>
    </row>
    <row r="176" spans="2:45" ht="15">
      <c r="B176" s="843"/>
      <c r="C176" s="843"/>
      <c r="D176" s="843"/>
      <c r="E176" s="843"/>
      <c r="F176" s="843"/>
      <c r="G176" s="843"/>
      <c r="H176" s="843"/>
      <c r="I176" s="843"/>
      <c r="J176" s="843"/>
      <c r="K176" s="843"/>
      <c r="L176" s="843"/>
      <c r="M176" s="843"/>
      <c r="N176" s="843"/>
      <c r="O176" s="843"/>
      <c r="P176" s="843"/>
      <c r="Q176" s="843"/>
      <c r="R176" s="843"/>
      <c r="S176" s="843"/>
      <c r="T176" s="843"/>
      <c r="U176" s="843"/>
      <c r="V176" s="843"/>
      <c r="W176" s="843"/>
      <c r="X176" s="843"/>
      <c r="Y176" s="843"/>
      <c r="Z176" s="843"/>
      <c r="AA176" s="843"/>
      <c r="AB176" s="843"/>
      <c r="AC176" s="843"/>
      <c r="AD176" s="843"/>
      <c r="AE176" s="843"/>
      <c r="AF176" s="843"/>
      <c r="AG176" s="843"/>
      <c r="AH176" s="843"/>
      <c r="AI176" s="843"/>
      <c r="AJ176" s="843"/>
      <c r="AK176" s="843"/>
      <c r="AL176" s="843"/>
      <c r="AM176" s="843"/>
      <c r="AN176" s="843"/>
      <c r="AO176" s="843"/>
      <c r="AP176" s="843"/>
      <c r="AQ176" s="843"/>
      <c r="AR176" s="843"/>
    </row>
    <row r="177" spans="1:45" ht="15">
      <c r="B177" s="843"/>
      <c r="C177" s="843"/>
      <c r="D177" s="843"/>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3"/>
      <c r="AQ177" s="843"/>
      <c r="AR177" s="843"/>
    </row>
    <row r="178" spans="1:45" ht="15">
      <c r="B178" s="843"/>
      <c r="C178" s="843"/>
      <c r="D178" s="843"/>
      <c r="E178" s="843"/>
      <c r="F178" s="843"/>
      <c r="G178" s="843"/>
      <c r="H178" s="843"/>
      <c r="I178" s="843"/>
      <c r="J178" s="843"/>
      <c r="K178" s="843"/>
      <c r="L178" s="843"/>
      <c r="M178" s="843"/>
      <c r="N178" s="843"/>
      <c r="O178" s="843"/>
      <c r="P178" s="843"/>
      <c r="Q178" s="843"/>
      <c r="R178" s="843"/>
      <c r="S178" s="843"/>
      <c r="T178" s="843"/>
      <c r="U178" s="843"/>
      <c r="V178" s="843"/>
      <c r="W178" s="843"/>
      <c r="X178" s="843"/>
      <c r="Y178" s="843"/>
      <c r="Z178" s="843"/>
      <c r="AA178" s="843"/>
      <c r="AB178" s="843"/>
      <c r="AC178" s="843"/>
      <c r="AD178" s="843"/>
      <c r="AE178" s="843"/>
      <c r="AF178" s="843"/>
      <c r="AG178" s="843"/>
      <c r="AH178" s="843"/>
      <c r="AI178" s="843"/>
      <c r="AJ178" s="843"/>
      <c r="AK178" s="843"/>
      <c r="AL178" s="843"/>
      <c r="AM178" s="843"/>
      <c r="AN178" s="843"/>
      <c r="AO178" s="843"/>
      <c r="AP178" s="843"/>
      <c r="AQ178" s="843"/>
      <c r="AR178" s="843"/>
    </row>
    <row r="179" spans="1:45" ht="15">
      <c r="B179" s="843"/>
      <c r="C179" s="843"/>
      <c r="D179" s="843"/>
      <c r="E179" s="843"/>
      <c r="F179" s="843"/>
      <c r="G179" s="843"/>
      <c r="H179" s="843"/>
      <c r="I179" s="843"/>
      <c r="J179" s="843"/>
      <c r="K179" s="843"/>
      <c r="L179" s="843"/>
      <c r="M179" s="843"/>
      <c r="N179" s="843"/>
      <c r="O179" s="843"/>
      <c r="P179" s="843"/>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3"/>
      <c r="AQ179" s="843"/>
      <c r="AR179" s="843"/>
    </row>
    <row r="180" spans="1:45" ht="15">
      <c r="B180" s="843"/>
      <c r="C180" s="843"/>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c r="AB180" s="843"/>
      <c r="AC180" s="843"/>
      <c r="AD180" s="843"/>
      <c r="AE180" s="843"/>
      <c r="AF180" s="843"/>
      <c r="AG180" s="843"/>
      <c r="AH180" s="843"/>
      <c r="AI180" s="843"/>
      <c r="AJ180" s="843"/>
      <c r="AK180" s="843"/>
      <c r="AL180" s="843"/>
      <c r="AM180" s="843"/>
      <c r="AN180" s="843"/>
      <c r="AO180" s="843"/>
      <c r="AP180" s="843"/>
      <c r="AQ180" s="843"/>
      <c r="AR180" s="843"/>
    </row>
    <row r="181" spans="1:45" ht="15">
      <c r="B181" s="843"/>
      <c r="C181" s="843"/>
      <c r="D181" s="843"/>
      <c r="E181" s="843"/>
      <c r="F181" s="843"/>
      <c r="G181" s="843"/>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843"/>
      <c r="AL181" s="843"/>
      <c r="AM181" s="843"/>
      <c r="AN181" s="843"/>
      <c r="AO181" s="843"/>
      <c r="AP181" s="843"/>
      <c r="AQ181" s="843"/>
      <c r="AR181" s="843"/>
    </row>
    <row r="182" spans="1:45" ht="15">
      <c r="B182" s="843"/>
      <c r="C182" s="843"/>
      <c r="D182" s="843"/>
      <c r="E182" s="843"/>
      <c r="F182" s="843"/>
      <c r="G182" s="843"/>
      <c r="H182" s="843"/>
      <c r="I182" s="843"/>
      <c r="J182" s="843"/>
      <c r="K182" s="843"/>
      <c r="L182" s="843"/>
      <c r="M182" s="843"/>
      <c r="N182" s="843"/>
      <c r="O182" s="843"/>
      <c r="P182" s="843"/>
      <c r="Q182" s="843"/>
      <c r="R182" s="843"/>
      <c r="S182" s="843"/>
      <c r="T182" s="843"/>
      <c r="U182" s="843"/>
      <c r="V182" s="843"/>
      <c r="W182" s="843"/>
      <c r="X182" s="843"/>
      <c r="Y182" s="843"/>
      <c r="Z182" s="843"/>
      <c r="AA182" s="843"/>
      <c r="AB182" s="843"/>
      <c r="AC182" s="843"/>
      <c r="AD182" s="843"/>
      <c r="AE182" s="843"/>
      <c r="AF182" s="843"/>
      <c r="AG182" s="843"/>
      <c r="AH182" s="843"/>
      <c r="AI182" s="843"/>
      <c r="AJ182" s="843"/>
      <c r="AK182" s="843"/>
      <c r="AL182" s="843"/>
      <c r="AM182" s="843"/>
      <c r="AN182" s="843"/>
      <c r="AO182" s="843"/>
      <c r="AP182" s="843"/>
      <c r="AQ182" s="843"/>
      <c r="AR182" s="843"/>
    </row>
    <row r="183" spans="1:45" ht="15">
      <c r="B183" s="843"/>
      <c r="C183" s="843"/>
      <c r="D183" s="843"/>
      <c r="E183" s="843"/>
      <c r="F183" s="843"/>
      <c r="G183" s="843"/>
      <c r="H183" s="843"/>
      <c r="I183" s="843"/>
      <c r="J183" s="843"/>
      <c r="K183" s="843"/>
      <c r="L183" s="843"/>
      <c r="M183" s="843"/>
      <c r="N183" s="843"/>
      <c r="O183" s="843"/>
      <c r="P183" s="843"/>
      <c r="Q183" s="843"/>
      <c r="R183" s="843"/>
      <c r="S183" s="843"/>
      <c r="T183" s="843"/>
      <c r="U183" s="843"/>
      <c r="V183" s="843"/>
      <c r="W183" s="843"/>
      <c r="X183" s="843"/>
      <c r="Y183" s="843"/>
      <c r="Z183" s="843"/>
      <c r="AA183" s="843"/>
      <c r="AB183" s="843"/>
      <c r="AC183" s="843"/>
      <c r="AD183" s="843"/>
      <c r="AE183" s="843"/>
      <c r="AF183" s="843"/>
      <c r="AG183" s="843"/>
      <c r="AH183" s="843"/>
      <c r="AI183" s="843"/>
      <c r="AJ183" s="843"/>
      <c r="AK183" s="843"/>
      <c r="AL183" s="843"/>
      <c r="AM183" s="843"/>
      <c r="AN183" s="843"/>
      <c r="AO183" s="843"/>
      <c r="AP183" s="843"/>
      <c r="AQ183" s="843"/>
      <c r="AR183" s="843"/>
    </row>
    <row r="184" spans="1:45" ht="15">
      <c r="B184" s="843"/>
      <c r="C184" s="843"/>
      <c r="D184" s="843"/>
      <c r="E184" s="843"/>
      <c r="F184" s="843"/>
      <c r="G184" s="843"/>
      <c r="H184" s="843"/>
      <c r="I184" s="843"/>
      <c r="J184" s="843"/>
      <c r="K184" s="843"/>
      <c r="L184" s="843"/>
      <c r="M184" s="843"/>
      <c r="N184" s="843"/>
      <c r="O184" s="843"/>
      <c r="P184" s="843"/>
      <c r="Q184" s="843"/>
      <c r="R184" s="843"/>
      <c r="S184" s="843"/>
      <c r="T184" s="843"/>
      <c r="U184" s="843"/>
      <c r="V184" s="843"/>
      <c r="W184" s="843"/>
      <c r="X184" s="843"/>
      <c r="Y184" s="843"/>
      <c r="Z184" s="843"/>
      <c r="AA184" s="843"/>
      <c r="AB184" s="843"/>
      <c r="AC184" s="843"/>
      <c r="AD184" s="843"/>
      <c r="AE184" s="843"/>
      <c r="AF184" s="843"/>
      <c r="AG184" s="843"/>
      <c r="AH184" s="843"/>
      <c r="AI184" s="843"/>
      <c r="AJ184" s="843"/>
      <c r="AK184" s="843"/>
      <c r="AL184" s="843"/>
      <c r="AM184" s="843"/>
      <c r="AN184" s="843"/>
      <c r="AO184" s="843"/>
      <c r="AP184" s="843"/>
      <c r="AQ184" s="843"/>
      <c r="AR184" s="843"/>
    </row>
    <row r="185" spans="1:45" ht="15">
      <c r="B185" s="843"/>
      <c r="C185" s="843"/>
      <c r="D185" s="843"/>
      <c r="E185" s="843"/>
      <c r="F185" s="843"/>
      <c r="G185" s="843"/>
      <c r="H185" s="843"/>
      <c r="I185" s="843"/>
      <c r="J185" s="843"/>
      <c r="K185" s="843"/>
      <c r="L185" s="843"/>
      <c r="M185" s="843"/>
      <c r="N185" s="843"/>
      <c r="O185" s="843"/>
      <c r="P185" s="843"/>
      <c r="Q185" s="843"/>
      <c r="R185" s="843"/>
      <c r="S185" s="843"/>
      <c r="T185" s="843"/>
      <c r="U185" s="843"/>
      <c r="V185" s="843"/>
      <c r="W185" s="843"/>
      <c r="X185" s="843"/>
      <c r="Y185" s="843"/>
      <c r="Z185" s="843"/>
      <c r="AA185" s="843"/>
      <c r="AB185" s="843"/>
      <c r="AC185" s="843"/>
      <c r="AD185" s="843"/>
      <c r="AE185" s="843"/>
      <c r="AF185" s="843"/>
      <c r="AG185" s="843"/>
      <c r="AH185" s="843"/>
      <c r="AI185" s="843"/>
      <c r="AJ185" s="843"/>
      <c r="AK185" s="843"/>
      <c r="AL185" s="843"/>
      <c r="AM185" s="843"/>
      <c r="AN185" s="843"/>
      <c r="AO185" s="843"/>
      <c r="AP185" s="843"/>
      <c r="AQ185" s="843"/>
      <c r="AR185" s="843"/>
    </row>
    <row r="186" spans="1:45" ht="15">
      <c r="B186" s="843"/>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3"/>
      <c r="AE186" s="843"/>
      <c r="AF186" s="843"/>
      <c r="AG186" s="843"/>
      <c r="AH186" s="843"/>
      <c r="AI186" s="843"/>
      <c r="AJ186" s="843"/>
      <c r="AK186" s="843"/>
      <c r="AL186" s="843"/>
      <c r="AM186" s="843"/>
      <c r="AN186" s="843"/>
      <c r="AO186" s="843"/>
      <c r="AP186" s="843"/>
      <c r="AQ186" s="843"/>
      <c r="AR186" s="843"/>
    </row>
    <row r="187" spans="1:45" ht="15">
      <c r="B187" s="843"/>
      <c r="C187" s="843"/>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3"/>
      <c r="AE187" s="843"/>
      <c r="AF187" s="843"/>
      <c r="AG187" s="843"/>
      <c r="AH187" s="843"/>
      <c r="AI187" s="843"/>
      <c r="AJ187" s="843"/>
      <c r="AK187" s="843"/>
      <c r="AL187" s="843"/>
      <c r="AM187" s="843"/>
      <c r="AN187" s="843"/>
      <c r="AO187" s="843"/>
      <c r="AP187" s="843"/>
      <c r="AQ187" s="843"/>
      <c r="AR187" s="843"/>
    </row>
    <row r="188" spans="1:45" s="1191" customFormat="1" ht="15">
      <c r="A188" s="1164"/>
      <c r="B188" s="843"/>
      <c r="C188" s="843"/>
      <c r="D188" s="843"/>
      <c r="E188" s="843"/>
      <c r="F188" s="843"/>
      <c r="G188" s="843"/>
      <c r="H188" s="843"/>
      <c r="I188" s="843"/>
      <c r="J188" s="843"/>
      <c r="K188" s="843"/>
      <c r="L188" s="843"/>
      <c r="M188" s="843"/>
      <c r="N188" s="843"/>
      <c r="O188" s="843"/>
      <c r="P188" s="843"/>
      <c r="Q188" s="843"/>
      <c r="R188" s="843"/>
      <c r="S188" s="843"/>
      <c r="T188" s="843"/>
      <c r="U188" s="843"/>
      <c r="V188" s="843"/>
      <c r="W188" s="843"/>
      <c r="X188" s="843"/>
      <c r="Y188" s="843"/>
      <c r="Z188" s="843"/>
      <c r="AA188" s="843"/>
      <c r="AB188" s="843"/>
      <c r="AC188" s="843"/>
      <c r="AD188" s="843"/>
      <c r="AE188" s="843"/>
      <c r="AF188" s="843"/>
      <c r="AG188" s="843"/>
      <c r="AH188" s="843"/>
      <c r="AI188" s="843"/>
      <c r="AJ188" s="843"/>
      <c r="AK188" s="843"/>
      <c r="AL188" s="843"/>
      <c r="AM188" s="843"/>
      <c r="AN188" s="843"/>
      <c r="AO188" s="843"/>
      <c r="AP188" s="843"/>
      <c r="AQ188" s="843"/>
      <c r="AR188" s="843"/>
      <c r="AS188" s="1164"/>
    </row>
    <row r="189" spans="1:45" s="1191" customFormat="1" ht="15">
      <c r="A189" s="1164"/>
      <c r="B189" s="843"/>
      <c r="C189" s="843"/>
      <c r="D189" s="843"/>
      <c r="E189" s="843"/>
      <c r="F189" s="843"/>
      <c r="G189" s="843"/>
      <c r="H189" s="843"/>
      <c r="I189" s="843"/>
      <c r="J189" s="843"/>
      <c r="K189" s="843"/>
      <c r="L189" s="843"/>
      <c r="M189" s="843"/>
      <c r="N189" s="843"/>
      <c r="O189" s="843"/>
      <c r="P189" s="843"/>
      <c r="Q189" s="843"/>
      <c r="R189" s="843"/>
      <c r="S189" s="843"/>
      <c r="T189" s="843"/>
      <c r="U189" s="843"/>
      <c r="V189" s="843"/>
      <c r="W189" s="843"/>
      <c r="X189" s="843"/>
      <c r="Y189" s="843"/>
      <c r="Z189" s="843"/>
      <c r="AA189" s="843"/>
      <c r="AB189" s="843"/>
      <c r="AC189" s="843"/>
      <c r="AD189" s="843"/>
      <c r="AE189" s="843"/>
      <c r="AF189" s="843"/>
      <c r="AG189" s="843"/>
      <c r="AH189" s="843"/>
      <c r="AI189" s="843"/>
      <c r="AJ189" s="843"/>
      <c r="AK189" s="843"/>
      <c r="AL189" s="843"/>
      <c r="AM189" s="843"/>
      <c r="AN189" s="843"/>
      <c r="AO189" s="843"/>
      <c r="AP189" s="843"/>
      <c r="AQ189" s="843"/>
      <c r="AR189" s="843"/>
      <c r="AS189" s="1164"/>
    </row>
    <row r="190" spans="1:45" s="1191" customFormat="1" ht="15">
      <c r="A190" s="1164"/>
      <c r="B190" s="843"/>
      <c r="C190" s="843"/>
      <c r="D190" s="843"/>
      <c r="E190" s="843"/>
      <c r="F190" s="843"/>
      <c r="G190" s="843"/>
      <c r="H190" s="843"/>
      <c r="I190" s="843"/>
      <c r="J190" s="843"/>
      <c r="K190" s="843"/>
      <c r="L190" s="843"/>
      <c r="M190" s="843"/>
      <c r="N190" s="843"/>
      <c r="O190" s="843"/>
      <c r="P190" s="843"/>
      <c r="Q190" s="843"/>
      <c r="R190" s="843"/>
      <c r="S190" s="843"/>
      <c r="T190" s="843"/>
      <c r="U190" s="843"/>
      <c r="V190" s="843"/>
      <c r="W190" s="843"/>
      <c r="X190" s="843"/>
      <c r="Y190" s="843"/>
      <c r="Z190" s="843"/>
      <c r="AA190" s="843"/>
      <c r="AB190" s="843"/>
      <c r="AC190" s="843"/>
      <c r="AD190" s="843"/>
      <c r="AE190" s="843"/>
      <c r="AF190" s="843"/>
      <c r="AG190" s="843"/>
      <c r="AH190" s="843"/>
      <c r="AI190" s="843"/>
      <c r="AJ190" s="843"/>
      <c r="AK190" s="843"/>
      <c r="AL190" s="843"/>
      <c r="AM190" s="843"/>
      <c r="AN190" s="843"/>
      <c r="AO190" s="843"/>
      <c r="AP190" s="843"/>
      <c r="AQ190" s="843"/>
      <c r="AR190" s="843"/>
      <c r="AS190" s="1164"/>
    </row>
    <row r="191" spans="1:45" s="1191" customFormat="1" ht="15">
      <c r="A191" s="1164"/>
      <c r="B191" s="843"/>
      <c r="C191" s="843"/>
      <c r="D191" s="843"/>
      <c r="E191" s="843"/>
      <c r="F191" s="843"/>
      <c r="G191" s="843"/>
      <c r="H191" s="843"/>
      <c r="I191" s="843"/>
      <c r="J191" s="843"/>
      <c r="K191" s="843"/>
      <c r="L191" s="843"/>
      <c r="M191" s="843"/>
      <c r="N191" s="843"/>
      <c r="O191" s="843"/>
      <c r="P191" s="843"/>
      <c r="Q191" s="843"/>
      <c r="R191" s="843"/>
      <c r="S191" s="843"/>
      <c r="T191" s="843"/>
      <c r="U191" s="843"/>
      <c r="V191" s="843"/>
      <c r="W191" s="843"/>
      <c r="X191" s="843"/>
      <c r="Y191" s="843"/>
      <c r="Z191" s="843"/>
      <c r="AA191" s="843"/>
      <c r="AB191" s="843"/>
      <c r="AC191" s="843"/>
      <c r="AD191" s="843"/>
      <c r="AE191" s="843"/>
      <c r="AF191" s="843"/>
      <c r="AG191" s="843"/>
      <c r="AH191" s="843"/>
      <c r="AI191" s="843"/>
      <c r="AJ191" s="843"/>
      <c r="AK191" s="843"/>
      <c r="AL191" s="843"/>
      <c r="AM191" s="843"/>
      <c r="AN191" s="843"/>
      <c r="AO191" s="843"/>
      <c r="AP191" s="843"/>
      <c r="AQ191" s="843"/>
      <c r="AR191" s="843"/>
      <c r="AS191" s="1164"/>
    </row>
    <row r="192" spans="1:45" s="1191" customFormat="1" ht="15">
      <c r="A192" s="1164"/>
      <c r="B192" s="843"/>
      <c r="C192" s="843"/>
      <c r="D192" s="843"/>
      <c r="E192" s="843"/>
      <c r="F192" s="843"/>
      <c r="G192" s="843"/>
      <c r="H192" s="843"/>
      <c r="I192" s="843"/>
      <c r="J192" s="843"/>
      <c r="K192" s="843"/>
      <c r="L192" s="843"/>
      <c r="M192" s="843"/>
      <c r="N192" s="843"/>
      <c r="O192" s="843"/>
      <c r="P192" s="843"/>
      <c r="Q192" s="843"/>
      <c r="R192" s="843"/>
      <c r="S192" s="843"/>
      <c r="T192" s="843"/>
      <c r="U192" s="843"/>
      <c r="V192" s="843"/>
      <c r="W192" s="843"/>
      <c r="X192" s="843"/>
      <c r="Y192" s="843"/>
      <c r="Z192" s="843"/>
      <c r="AA192" s="843"/>
      <c r="AB192" s="843"/>
      <c r="AC192" s="843"/>
      <c r="AD192" s="843"/>
      <c r="AE192" s="843"/>
      <c r="AF192" s="843"/>
      <c r="AG192" s="843"/>
      <c r="AH192" s="843"/>
      <c r="AI192" s="843"/>
      <c r="AJ192" s="843"/>
      <c r="AK192" s="843"/>
      <c r="AL192" s="843"/>
      <c r="AM192" s="843"/>
      <c r="AN192" s="843"/>
      <c r="AO192" s="843"/>
      <c r="AP192" s="843"/>
      <c r="AQ192" s="843"/>
      <c r="AR192" s="843"/>
      <c r="AS192" s="1164"/>
    </row>
    <row r="193" spans="1:45" s="1191" customFormat="1" ht="15">
      <c r="A193" s="1164"/>
      <c r="B193" s="843"/>
      <c r="C193" s="843"/>
      <c r="D193" s="843"/>
      <c r="E193" s="843"/>
      <c r="F193" s="843"/>
      <c r="G193" s="843"/>
      <c r="H193" s="843"/>
      <c r="I193" s="843"/>
      <c r="J193" s="843"/>
      <c r="K193" s="843"/>
      <c r="L193" s="843"/>
      <c r="M193" s="843"/>
      <c r="N193" s="843"/>
      <c r="O193" s="843"/>
      <c r="P193" s="843"/>
      <c r="Q193" s="843"/>
      <c r="R193" s="843"/>
      <c r="S193" s="843"/>
      <c r="T193" s="843"/>
      <c r="U193" s="843"/>
      <c r="V193" s="843"/>
      <c r="W193" s="843"/>
      <c r="X193" s="843"/>
      <c r="Y193" s="843"/>
      <c r="Z193" s="843"/>
      <c r="AA193" s="843"/>
      <c r="AB193" s="843"/>
      <c r="AC193" s="843"/>
      <c r="AD193" s="843"/>
      <c r="AE193" s="843"/>
      <c r="AF193" s="843"/>
      <c r="AG193" s="843"/>
      <c r="AH193" s="843"/>
      <c r="AI193" s="843"/>
      <c r="AJ193" s="843"/>
      <c r="AK193" s="843"/>
      <c r="AL193" s="843"/>
      <c r="AM193" s="843"/>
      <c r="AN193" s="843"/>
      <c r="AO193" s="843"/>
      <c r="AP193" s="843"/>
      <c r="AQ193" s="843"/>
      <c r="AR193" s="843"/>
      <c r="AS193" s="1164"/>
    </row>
    <row r="194" spans="1:45" s="1191" customFormat="1" ht="15">
      <c r="A194" s="1164"/>
      <c r="B194" s="843"/>
      <c r="C194" s="843"/>
      <c r="D194" s="843"/>
      <c r="E194" s="843"/>
      <c r="F194" s="843"/>
      <c r="G194" s="843"/>
      <c r="H194" s="843"/>
      <c r="I194" s="843"/>
      <c r="J194" s="843"/>
      <c r="K194" s="843"/>
      <c r="L194" s="843"/>
      <c r="M194" s="843"/>
      <c r="N194" s="843"/>
      <c r="O194" s="843"/>
      <c r="P194" s="843"/>
      <c r="Q194" s="843"/>
      <c r="R194" s="843"/>
      <c r="S194" s="843"/>
      <c r="T194" s="843"/>
      <c r="U194" s="843"/>
      <c r="V194" s="843"/>
      <c r="W194" s="843"/>
      <c r="X194" s="843"/>
      <c r="Y194" s="843"/>
      <c r="Z194" s="843"/>
      <c r="AA194" s="843"/>
      <c r="AB194" s="843"/>
      <c r="AC194" s="843"/>
      <c r="AD194" s="843"/>
      <c r="AE194" s="843"/>
      <c r="AF194" s="843"/>
      <c r="AG194" s="843"/>
      <c r="AH194" s="843"/>
      <c r="AI194" s="843"/>
      <c r="AJ194" s="843"/>
      <c r="AK194" s="843"/>
      <c r="AL194" s="843"/>
      <c r="AM194" s="843"/>
      <c r="AN194" s="843"/>
      <c r="AO194" s="843"/>
      <c r="AP194" s="843"/>
      <c r="AQ194" s="843"/>
      <c r="AR194" s="843"/>
      <c r="AS194" s="1164"/>
    </row>
    <row r="195" spans="1:45" s="1191" customFormat="1" ht="15">
      <c r="A195" s="1164"/>
      <c r="B195" s="843"/>
      <c r="C195" s="843"/>
      <c r="D195" s="843"/>
      <c r="E195" s="843"/>
      <c r="F195" s="843"/>
      <c r="G195" s="843"/>
      <c r="H195" s="843"/>
      <c r="I195" s="843"/>
      <c r="J195" s="843"/>
      <c r="K195" s="843"/>
      <c r="L195" s="843"/>
      <c r="M195" s="843"/>
      <c r="N195" s="843"/>
      <c r="O195" s="843"/>
      <c r="P195" s="843"/>
      <c r="Q195" s="843"/>
      <c r="R195" s="843"/>
      <c r="S195" s="843"/>
      <c r="T195" s="843"/>
      <c r="U195" s="843"/>
      <c r="V195" s="843"/>
      <c r="W195" s="843"/>
      <c r="X195" s="843"/>
      <c r="Y195" s="843"/>
      <c r="Z195" s="843"/>
      <c r="AA195" s="843"/>
      <c r="AB195" s="843"/>
      <c r="AC195" s="843"/>
      <c r="AD195" s="843"/>
      <c r="AE195" s="843"/>
      <c r="AF195" s="843"/>
      <c r="AG195" s="843"/>
      <c r="AH195" s="843"/>
      <c r="AI195" s="843"/>
      <c r="AJ195" s="843"/>
      <c r="AK195" s="843"/>
      <c r="AL195" s="843"/>
      <c r="AM195" s="843"/>
      <c r="AN195" s="843"/>
      <c r="AO195" s="843"/>
      <c r="AP195" s="843"/>
      <c r="AQ195" s="843"/>
      <c r="AR195" s="843"/>
      <c r="AS195" s="1164"/>
    </row>
    <row r="196" spans="1:45" s="1191" customFormat="1" ht="15">
      <c r="A196" s="1164"/>
      <c r="B196" s="843"/>
      <c r="C196" s="843"/>
      <c r="D196" s="843"/>
      <c r="E196" s="843"/>
      <c r="F196" s="843"/>
      <c r="G196" s="843"/>
      <c r="H196" s="843"/>
      <c r="I196" s="843"/>
      <c r="J196" s="843"/>
      <c r="K196" s="843"/>
      <c r="L196" s="843"/>
      <c r="M196" s="843"/>
      <c r="N196" s="843"/>
      <c r="O196" s="843"/>
      <c r="P196" s="843"/>
      <c r="Q196" s="843"/>
      <c r="R196" s="843"/>
      <c r="S196" s="843"/>
      <c r="T196" s="843"/>
      <c r="U196" s="843"/>
      <c r="V196" s="843"/>
      <c r="W196" s="843"/>
      <c r="X196" s="843"/>
      <c r="Y196" s="843"/>
      <c r="Z196" s="843"/>
      <c r="AA196" s="843"/>
      <c r="AB196" s="843"/>
      <c r="AC196" s="843"/>
      <c r="AD196" s="843"/>
      <c r="AE196" s="843"/>
      <c r="AF196" s="843"/>
      <c r="AG196" s="843"/>
      <c r="AH196" s="843"/>
      <c r="AI196" s="843"/>
      <c r="AJ196" s="843"/>
      <c r="AK196" s="843"/>
      <c r="AL196" s="843"/>
      <c r="AM196" s="843"/>
      <c r="AN196" s="843"/>
      <c r="AO196" s="843"/>
      <c r="AP196" s="843"/>
      <c r="AQ196" s="843"/>
      <c r="AR196" s="843"/>
      <c r="AS196" s="1164"/>
    </row>
    <row r="197" spans="1:45" s="1191" customFormat="1" ht="15">
      <c r="A197" s="1164"/>
      <c r="B197" s="843"/>
      <c r="C197" s="843"/>
      <c r="D197" s="843"/>
      <c r="E197" s="843"/>
      <c r="F197" s="843"/>
      <c r="G197" s="843"/>
      <c r="H197" s="843"/>
      <c r="I197" s="843"/>
      <c r="J197" s="843"/>
      <c r="K197" s="843"/>
      <c r="L197" s="843"/>
      <c r="M197" s="843"/>
      <c r="N197" s="843"/>
      <c r="O197" s="843"/>
      <c r="P197" s="843"/>
      <c r="Q197" s="843"/>
      <c r="R197" s="843"/>
      <c r="S197" s="843"/>
      <c r="T197" s="843"/>
      <c r="U197" s="843"/>
      <c r="V197" s="843"/>
      <c r="W197" s="843"/>
      <c r="X197" s="843"/>
      <c r="Y197" s="843"/>
      <c r="Z197" s="843"/>
      <c r="AA197" s="843"/>
      <c r="AB197" s="843"/>
      <c r="AC197" s="843"/>
      <c r="AD197" s="843"/>
      <c r="AE197" s="843"/>
      <c r="AF197" s="843"/>
      <c r="AG197" s="843"/>
      <c r="AH197" s="843"/>
      <c r="AI197" s="843"/>
      <c r="AJ197" s="843"/>
      <c r="AK197" s="843"/>
      <c r="AL197" s="843"/>
      <c r="AM197" s="843"/>
      <c r="AN197" s="843"/>
      <c r="AO197" s="843"/>
      <c r="AP197" s="843"/>
      <c r="AQ197" s="843"/>
      <c r="AR197" s="843"/>
      <c r="AS197" s="1164"/>
    </row>
    <row r="198" spans="1:45" s="1191" customFormat="1" ht="15">
      <c r="A198" s="1164"/>
      <c r="B198" s="843"/>
      <c r="C198" s="843"/>
      <c r="D198" s="843"/>
      <c r="E198" s="843"/>
      <c r="F198" s="843"/>
      <c r="G198" s="843"/>
      <c r="H198" s="843"/>
      <c r="I198" s="843"/>
      <c r="J198" s="843"/>
      <c r="K198" s="843"/>
      <c r="L198" s="843"/>
      <c r="M198" s="843"/>
      <c r="N198" s="843"/>
      <c r="O198" s="843"/>
      <c r="P198" s="843"/>
      <c r="Q198" s="843"/>
      <c r="R198" s="843"/>
      <c r="S198" s="843"/>
      <c r="T198" s="843"/>
      <c r="U198" s="843"/>
      <c r="V198" s="843"/>
      <c r="W198" s="843"/>
      <c r="X198" s="843"/>
      <c r="Y198" s="843"/>
      <c r="Z198" s="843"/>
      <c r="AA198" s="843"/>
      <c r="AB198" s="843"/>
      <c r="AC198" s="843"/>
      <c r="AD198" s="843"/>
      <c r="AE198" s="843"/>
      <c r="AF198" s="843"/>
      <c r="AG198" s="843"/>
      <c r="AH198" s="843"/>
      <c r="AI198" s="843"/>
      <c r="AJ198" s="843"/>
      <c r="AK198" s="843"/>
      <c r="AL198" s="843"/>
      <c r="AM198" s="843"/>
      <c r="AN198" s="843"/>
      <c r="AO198" s="843"/>
      <c r="AP198" s="843"/>
      <c r="AQ198" s="843"/>
      <c r="AR198" s="843"/>
      <c r="AS198" s="1164"/>
    </row>
    <row r="199" spans="1:45" s="1191" customFormat="1" ht="15">
      <c r="A199" s="1164"/>
      <c r="B199" s="843"/>
      <c r="C199" s="843"/>
      <c r="D199" s="843"/>
      <c r="E199" s="843"/>
      <c r="F199" s="843"/>
      <c r="G199" s="843"/>
      <c r="H199" s="843"/>
      <c r="I199" s="843"/>
      <c r="J199" s="843"/>
      <c r="K199" s="843"/>
      <c r="L199" s="843"/>
      <c r="M199" s="843"/>
      <c r="N199" s="843"/>
      <c r="O199" s="843"/>
      <c r="P199" s="843"/>
      <c r="Q199" s="843"/>
      <c r="R199" s="843"/>
      <c r="S199" s="843"/>
      <c r="T199" s="843"/>
      <c r="U199" s="843"/>
      <c r="V199" s="843"/>
      <c r="W199" s="843"/>
      <c r="X199" s="843"/>
      <c r="Y199" s="843"/>
      <c r="Z199" s="843"/>
      <c r="AA199" s="843"/>
      <c r="AB199" s="843"/>
      <c r="AC199" s="843"/>
      <c r="AD199" s="843"/>
      <c r="AE199" s="843"/>
      <c r="AF199" s="843"/>
      <c r="AG199" s="843"/>
      <c r="AH199" s="843"/>
      <c r="AI199" s="843"/>
      <c r="AJ199" s="843"/>
      <c r="AK199" s="843"/>
      <c r="AL199" s="843"/>
      <c r="AM199" s="843"/>
      <c r="AN199" s="843"/>
      <c r="AO199" s="843"/>
      <c r="AP199" s="843"/>
      <c r="AQ199" s="843"/>
      <c r="AR199" s="843"/>
      <c r="AS199" s="1164"/>
    </row>
    <row r="200" spans="1:45" s="1191" customFormat="1">
      <c r="A200" s="1164"/>
      <c r="B200" s="1164"/>
      <c r="C200" s="1164"/>
      <c r="D200" s="1164"/>
      <c r="E200" s="1164"/>
      <c r="F200" s="1164"/>
      <c r="G200" s="1164"/>
      <c r="H200" s="1164"/>
      <c r="I200" s="1164"/>
      <c r="J200" s="1164"/>
      <c r="K200" s="1164"/>
      <c r="L200" s="1164"/>
      <c r="M200" s="1164"/>
      <c r="N200" s="1164"/>
      <c r="O200" s="1164"/>
      <c r="P200" s="1164"/>
      <c r="Q200" s="1164"/>
      <c r="R200" s="1164"/>
      <c r="S200" s="1164"/>
      <c r="T200" s="1164"/>
      <c r="U200" s="1164"/>
      <c r="V200" s="1164"/>
      <c r="W200" s="1164"/>
      <c r="X200" s="1180"/>
      <c r="Y200" s="1180"/>
      <c r="Z200" s="1180"/>
      <c r="AA200" s="1180"/>
      <c r="AB200" s="1180"/>
      <c r="AC200" s="1180"/>
      <c r="AD200" s="1180"/>
      <c r="AE200" s="1180"/>
      <c r="AF200" s="1180"/>
      <c r="AG200" s="1164"/>
      <c r="AH200" s="1164"/>
      <c r="AI200" s="1164"/>
      <c r="AK200" s="1164"/>
      <c r="AL200" s="1164"/>
      <c r="AM200" s="1164"/>
      <c r="AN200" s="1164"/>
      <c r="AO200" s="1164"/>
      <c r="AP200" s="1164"/>
      <c r="AQ200" s="1164"/>
      <c r="AR200" s="1164"/>
      <c r="AS200" s="1164"/>
    </row>
    <row r="201" spans="1:45" s="1191" customFormat="1">
      <c r="A201" s="1164"/>
      <c r="B201" s="1164"/>
      <c r="C201" s="1164"/>
      <c r="D201" s="1164"/>
      <c r="E201" s="1164"/>
      <c r="F201" s="1164"/>
      <c r="G201" s="1164"/>
      <c r="H201" s="1164"/>
      <c r="I201" s="1164"/>
      <c r="J201" s="1164"/>
      <c r="K201" s="1164"/>
      <c r="L201" s="1164"/>
      <c r="M201" s="1164"/>
      <c r="N201" s="1164"/>
      <c r="O201" s="1164"/>
      <c r="P201" s="1164"/>
      <c r="Q201" s="1164"/>
      <c r="R201" s="1164"/>
      <c r="S201" s="1164"/>
      <c r="T201" s="1164"/>
      <c r="U201" s="1164"/>
      <c r="V201" s="1164"/>
      <c r="W201" s="1164"/>
      <c r="X201" s="1180"/>
      <c r="Y201" s="1180"/>
      <c r="Z201" s="1180"/>
      <c r="AA201" s="1180"/>
      <c r="AB201" s="1180"/>
      <c r="AC201" s="1180"/>
      <c r="AD201" s="1180"/>
      <c r="AE201" s="1180"/>
      <c r="AF201" s="1180"/>
      <c r="AG201" s="1164"/>
      <c r="AH201" s="1164"/>
      <c r="AI201" s="1164"/>
      <c r="AK201" s="1164"/>
      <c r="AL201" s="1164"/>
      <c r="AM201" s="1164"/>
      <c r="AN201" s="1164"/>
      <c r="AO201" s="1164"/>
      <c r="AP201" s="1164"/>
      <c r="AQ201" s="1164"/>
      <c r="AR201" s="1164"/>
      <c r="AS201" s="1164"/>
    </row>
    <row r="202" spans="1:45" s="1191" customFormat="1">
      <c r="A202" s="1164"/>
      <c r="B202" s="1164"/>
      <c r="C202" s="1164"/>
      <c r="D202" s="1164"/>
      <c r="E202" s="1164"/>
      <c r="F202" s="1164"/>
      <c r="G202" s="1164"/>
      <c r="H202" s="1164"/>
      <c r="I202" s="1164"/>
      <c r="J202" s="1164"/>
      <c r="K202" s="1164"/>
      <c r="L202" s="1164"/>
      <c r="M202" s="1164"/>
      <c r="N202" s="1164"/>
      <c r="O202" s="1164"/>
      <c r="P202" s="1164"/>
      <c r="Q202" s="1164"/>
      <c r="R202" s="1164"/>
      <c r="S202" s="1164"/>
      <c r="T202" s="1164"/>
      <c r="U202" s="1164"/>
      <c r="V202" s="1164"/>
      <c r="W202" s="1164"/>
      <c r="X202" s="1180"/>
      <c r="Y202" s="1180"/>
      <c r="Z202" s="1180"/>
      <c r="AA202" s="1180"/>
      <c r="AB202" s="1180"/>
      <c r="AC202" s="1180"/>
      <c r="AD202" s="1180"/>
      <c r="AE202" s="1180"/>
      <c r="AF202" s="1180"/>
      <c r="AG202" s="1164"/>
      <c r="AH202" s="1164"/>
      <c r="AI202" s="1164"/>
      <c r="AK202" s="1164"/>
      <c r="AL202" s="1164"/>
      <c r="AM202" s="1164"/>
      <c r="AN202" s="1164"/>
      <c r="AO202" s="1164"/>
      <c r="AP202" s="1164"/>
      <c r="AQ202" s="1164"/>
      <c r="AR202" s="1164"/>
      <c r="AS202" s="1164"/>
    </row>
    <row r="203" spans="1:45" s="1191" customFormat="1">
      <c r="A203" s="1164"/>
      <c r="B203" s="1164"/>
      <c r="C203" s="1164"/>
      <c r="D203" s="1164"/>
      <c r="E203" s="1164"/>
      <c r="F203" s="1164"/>
      <c r="G203" s="1164"/>
      <c r="H203" s="1164"/>
      <c r="I203" s="1164"/>
      <c r="J203" s="1164"/>
      <c r="K203" s="1164"/>
      <c r="L203" s="1164"/>
      <c r="M203" s="1164"/>
      <c r="N203" s="1164"/>
      <c r="O203" s="1164"/>
      <c r="P203" s="1164"/>
      <c r="Q203" s="1164"/>
      <c r="R203" s="1164"/>
      <c r="S203" s="1164"/>
      <c r="T203" s="1164"/>
      <c r="U203" s="1164"/>
      <c r="V203" s="1164"/>
      <c r="W203" s="1164"/>
      <c r="X203" s="1180"/>
      <c r="Y203" s="1180"/>
      <c r="Z203" s="1180"/>
      <c r="AA203" s="1180"/>
      <c r="AB203" s="1180"/>
      <c r="AC203" s="1180"/>
      <c r="AD203" s="1180"/>
      <c r="AE203" s="1180"/>
      <c r="AF203" s="1180"/>
      <c r="AG203" s="1164"/>
      <c r="AH203" s="1164"/>
      <c r="AI203" s="1164"/>
      <c r="AK203" s="1164"/>
      <c r="AL203" s="1164"/>
      <c r="AM203" s="1164"/>
      <c r="AN203" s="1164"/>
      <c r="AO203" s="1164"/>
      <c r="AP203" s="1164"/>
      <c r="AQ203" s="1164"/>
      <c r="AR203" s="1164"/>
      <c r="AS203" s="1164"/>
    </row>
  </sheetData>
  <mergeCells count="4">
    <mergeCell ref="B15:AR15"/>
    <mergeCell ref="B48:AF48"/>
    <mergeCell ref="B87:AF87"/>
    <mergeCell ref="B124:AR124"/>
  </mergeCells>
  <pageMargins left="0.70866141732283472" right="0.70866141732283472" top="0.74803149606299213" bottom="0.74803149606299213" header="0.31496062992125984" footer="0.31496062992125984"/>
  <pageSetup paperSize="9" scale="75"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40</vt:i4>
      </vt:variant>
    </vt:vector>
  </HeadingPairs>
  <TitlesOfParts>
    <vt:vector size="79" baseType="lpstr">
      <vt:lpstr>Read_Me</vt:lpstr>
      <vt:lpstr>AUS</vt:lpstr>
      <vt:lpstr>AUT</vt:lpstr>
      <vt:lpstr>BEL</vt:lpstr>
      <vt:lpstr>CAN</vt:lpstr>
      <vt:lpstr>CHE</vt:lpstr>
      <vt:lpstr>CHL</vt:lpstr>
      <vt:lpstr>COL</vt:lpstr>
      <vt:lpstr>CRI</vt:lpstr>
      <vt:lpstr>CZE</vt:lpstr>
      <vt:lpstr>DEU</vt:lpstr>
      <vt:lpstr>DNK</vt:lpstr>
      <vt:lpstr>ESP</vt:lpstr>
      <vt:lpstr>EST</vt:lpstr>
      <vt:lpstr>FIN</vt:lpstr>
      <vt:lpstr>FRA</vt:lpstr>
      <vt:lpstr>GBR</vt:lpstr>
      <vt:lpstr>GRC</vt:lpstr>
      <vt:lpstr>HUN</vt:lpstr>
      <vt:lpstr>IRL</vt:lpstr>
      <vt:lpstr>ISL</vt:lpstr>
      <vt:lpstr>ISR</vt:lpstr>
      <vt:lpstr>ITA</vt:lpstr>
      <vt:lpstr>JPN</vt:lpstr>
      <vt:lpstr>KOR</vt:lpstr>
      <vt:lpstr>LTU</vt:lpstr>
      <vt:lpstr>LUX</vt:lpstr>
      <vt:lpstr>LVA</vt:lpstr>
      <vt:lpstr>MEX</vt:lpstr>
      <vt:lpstr>NLD</vt:lpstr>
      <vt:lpstr>NZL</vt:lpstr>
      <vt:lpstr>NOR</vt:lpstr>
      <vt:lpstr>PRT</vt:lpstr>
      <vt:lpstr>POL</vt:lpstr>
      <vt:lpstr>SVK</vt:lpstr>
      <vt:lpstr>SVN</vt:lpstr>
      <vt:lpstr>SWE</vt:lpstr>
      <vt:lpstr>TUR</vt:lpstr>
      <vt:lpstr>USA</vt:lpstr>
      <vt:lpstr>AUS!Print_Area</vt:lpstr>
      <vt:lpstr>AUT!Print_Area</vt:lpstr>
      <vt:lpstr>BEL!Print_Area</vt:lpstr>
      <vt:lpstr>CHE!Print_Area</vt:lpstr>
      <vt:lpstr>CHL!Print_Area</vt:lpstr>
      <vt:lpstr>COL!Print_Area</vt:lpstr>
      <vt:lpstr>CRI!Print_Area</vt:lpstr>
      <vt:lpstr>CZE!Print_Area</vt:lpstr>
      <vt:lpstr>DEU!Print_Area</vt:lpstr>
      <vt:lpstr>DNK!Print_Area</vt:lpstr>
      <vt:lpstr>ESP!Print_Area</vt:lpstr>
      <vt:lpstr>EST!Print_Area</vt:lpstr>
      <vt:lpstr>FIN!Print_Area</vt:lpstr>
      <vt:lpstr>FRA!Print_Area</vt:lpstr>
      <vt:lpstr>GBR!Print_Area</vt:lpstr>
      <vt:lpstr>GRC!Print_Area</vt:lpstr>
      <vt:lpstr>HUN!Print_Area</vt:lpstr>
      <vt:lpstr>IRL!Print_Area</vt:lpstr>
      <vt:lpstr>ISL!Print_Area</vt:lpstr>
      <vt:lpstr>ISR!Print_Area</vt:lpstr>
      <vt:lpstr>ITA!Print_Area</vt:lpstr>
      <vt:lpstr>JPN!Print_Area</vt:lpstr>
      <vt:lpstr>KOR!Print_Area</vt:lpstr>
      <vt:lpstr>LTU!Print_Area</vt:lpstr>
      <vt:lpstr>LUX!Print_Area</vt:lpstr>
      <vt:lpstr>LVA!Print_Area</vt:lpstr>
      <vt:lpstr>MEX!Print_Area</vt:lpstr>
      <vt:lpstr>NLD!Print_Area</vt:lpstr>
      <vt:lpstr>NOR!Print_Area</vt:lpstr>
      <vt:lpstr>NZL!Print_Area</vt:lpstr>
      <vt:lpstr>POL!Print_Area</vt:lpstr>
      <vt:lpstr>PRT!Print_Area</vt:lpstr>
      <vt:lpstr>Read_Me!Print_Area</vt:lpstr>
      <vt:lpstr>SVK!Print_Area</vt:lpstr>
      <vt:lpstr>SVN!Print_Area</vt:lpstr>
      <vt:lpstr>SWE!Print_Area</vt:lpstr>
      <vt:lpstr>TUR!Print_Area</vt:lpstr>
      <vt:lpstr>USA!Print_Area</vt:lpstr>
      <vt:lpstr>DNK!Print_Titles</vt:lpstr>
      <vt:lpstr>SVN!Print_Titles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FRON Pauline</dc:creator>
  <cp:lastModifiedBy>FRON Pauline</cp:lastModifiedBy>
  <cp:lastPrinted>2021-02-26T15:16:33Z</cp:lastPrinted>
  <dcterms:created xsi:type="dcterms:W3CDTF">2018-05-18T13:16:11Z</dcterms:created>
  <dcterms:modified xsi:type="dcterms:W3CDTF">2023-01-17T09:47:51Z</dcterms:modified>
</cp:coreProperties>
</file>