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9690" windowHeight="7050" activeTab="1"/>
  </bookViews>
  <sheets>
    <sheet name=" BLI 2006-08 Summary Table" sheetId="1" r:id="rId1"/>
    <sheet name="Graphs" sheetId="2" r:id="rId2"/>
  </sheets>
  <externalReferences>
    <externalReference r:id="rId5"/>
    <externalReference r:id="rId6"/>
    <externalReference r:id="rId7"/>
  </externalReferences>
  <definedNames/>
  <calcPr fullCalcOnLoad="1"/>
</workbook>
</file>

<file path=xl/sharedStrings.xml><?xml version="1.0" encoding="utf-8"?>
<sst xmlns="http://schemas.openxmlformats.org/spreadsheetml/2006/main" count="186" uniqueCount="154">
  <si>
    <t>PA</t>
  </si>
  <si>
    <t>Vụ QLĐT</t>
  </si>
  <si>
    <t>SA</t>
  </si>
  <si>
    <t>1a</t>
  </si>
  <si>
    <t>1b</t>
  </si>
  <si>
    <t>1c</t>
  </si>
  <si>
    <t>1d</t>
  </si>
  <si>
    <t>1e</t>
  </si>
  <si>
    <t>1f</t>
  </si>
  <si>
    <t>1g</t>
  </si>
  <si>
    <t>1h</t>
  </si>
  <si>
    <t>2a</t>
  </si>
  <si>
    <t>2b</t>
  </si>
  <si>
    <t>2c</t>
  </si>
  <si>
    <t>2d</t>
  </si>
  <si>
    <t>2e</t>
  </si>
  <si>
    <t>2f</t>
  </si>
  <si>
    <t>3a</t>
  </si>
  <si>
    <t>3b</t>
  </si>
  <si>
    <t>3c</t>
  </si>
  <si>
    <t>3d</t>
  </si>
  <si>
    <t>4a</t>
  </si>
  <si>
    <t>4b</t>
  </si>
  <si>
    <t>4c</t>
  </si>
  <si>
    <t>4d</t>
  </si>
  <si>
    <t>5a</t>
  </si>
  <si>
    <t>5b</t>
  </si>
  <si>
    <t>5c</t>
  </si>
  <si>
    <t>5d</t>
  </si>
  <si>
    <t>6a</t>
  </si>
  <si>
    <t>6b</t>
  </si>
  <si>
    <t>6c</t>
  </si>
  <si>
    <t>6d</t>
  </si>
  <si>
    <t>7a</t>
  </si>
  <si>
    <t>7b</t>
  </si>
  <si>
    <t>7c</t>
  </si>
  <si>
    <t>8a</t>
  </si>
  <si>
    <t>8b</t>
  </si>
  <si>
    <t>8c</t>
  </si>
  <si>
    <t>9a</t>
  </si>
  <si>
    <t>9b</t>
  </si>
  <si>
    <t>9c</t>
  </si>
  <si>
    <t>9d</t>
  </si>
  <si>
    <t>9e</t>
  </si>
  <si>
    <t>10a</t>
  </si>
  <si>
    <t>10b</t>
  </si>
  <si>
    <t>10c</t>
  </si>
  <si>
    <t>10d</t>
  </si>
  <si>
    <t>10e</t>
  </si>
  <si>
    <t>11a</t>
  </si>
  <si>
    <t>12a</t>
  </si>
  <si>
    <t>12b</t>
  </si>
  <si>
    <t>12c</t>
  </si>
  <si>
    <t>12d</t>
  </si>
  <si>
    <t>12e</t>
  </si>
  <si>
    <t>12f</t>
  </si>
  <si>
    <t>12g</t>
  </si>
  <si>
    <t>D - 54.2%</t>
  </si>
  <si>
    <t>C - 67%</t>
  </si>
  <si>
    <t>PILLAR I – THE LEGISLATIVE AND REGULATORY FRAMEWORK</t>
  </si>
  <si>
    <t>Indicator 1 – Public procurement legislative and regulatory framework achieves the agreed standards and complies with applicable obligations</t>
  </si>
  <si>
    <t>Scope of application and coverage of the legislative and regulatory framework</t>
  </si>
  <si>
    <t>Procurement Methods</t>
  </si>
  <si>
    <t>Advertising rules and time limits</t>
  </si>
  <si>
    <t>Rules on participation</t>
  </si>
  <si>
    <t>Tender documentation and technical specifications</t>
  </si>
  <si>
    <t>Tender evaluation and award criteria</t>
  </si>
  <si>
    <t>Submission, receipt and opening of tenders</t>
  </si>
  <si>
    <t>Complaints</t>
  </si>
  <si>
    <t>Indicator 2 – Existence of Implementing Regulations and Documentation</t>
  </si>
  <si>
    <t>Implementing regulation that provides defined processes and procedures not included in higher level legislation</t>
  </si>
  <si>
    <t xml:space="preserve">Model tender documents for goods, works and services </t>
  </si>
  <si>
    <t xml:space="preserve">Procedures for pre-qualification </t>
  </si>
  <si>
    <t>Procedures suitable for contracting for services or other requirements in which technical capacity is a key criterion</t>
  </si>
  <si>
    <t xml:space="preserve"> User’s guide or manual for contracting entities</t>
  </si>
  <si>
    <t>General Conditions of Contract (GCC) for public sector contracts covering goods, works and services consistent with national requirement and, when applicable, international requirements</t>
  </si>
  <si>
    <t>PILLAR II – INSTITUTIONAL FRAMEWORK AND MANAGEMENT CAPACITY</t>
  </si>
  <si>
    <t>Indicator 3 – The public procurement system is mainstreamed and well integrated into the public sector governance system</t>
  </si>
  <si>
    <t xml:space="preserve">Procurement planning and data on costing are part of the budget formulation process and contribute to multiyear planning  </t>
  </si>
  <si>
    <t>Budget law and financial procedures support timely procurement, contract execution and payment</t>
  </si>
  <si>
    <t xml:space="preserve"> Procurement actions are not initiated until budget appropriations have been made</t>
  </si>
  <si>
    <t>Systematic preparation and completion of reports for certification of budget execution and for reconciliation of delivery with budget programming</t>
  </si>
  <si>
    <t>Indicator 4 – The country has a functional normative/ regulatory body</t>
  </si>
  <si>
    <t>The status and basis for the normative/regulatory body is covered in the legislative and regulatory framework</t>
  </si>
  <si>
    <t xml:space="preserve"> The normative/regulatory body has a defined set of responsibilities that do not overlap with other agencies, and these responsibilities include, but are not limited to the following: providing advice to contracting entities, drafting amendments to the legislative and regulatory framework and implementing regulations, monitoring public procurement, providing procurement information, managing statistical databases, reporting on procurement to other parts of government, developing and supporting implementation of initiatives for improvements of the public procurement system and providing implementation tools and documents to support training and capacity development of implementing staff.</t>
  </si>
  <si>
    <t>The normative/regulatory body’s organization, funding, staffing, and level of independence and authority (formal power) to exercise its duties should be sufficient and consistent with the responsibilities</t>
  </si>
  <si>
    <t xml:space="preserve"> The responsibilities should also provide for separation and clarity so as to avoid conflict of interest and direct involvement in the execution of procurement transactions</t>
  </si>
  <si>
    <t>Indicator 5 – The country has institutional development capacity</t>
  </si>
  <si>
    <t>The country has a system for collecting and disseminating procurement information, including tender invitations, requests for proposals, and contract award information</t>
  </si>
  <si>
    <t xml:space="preserve"> The country has systems and procedures for collecting and monitoring national procurement statistics</t>
  </si>
  <si>
    <t>The country has a sustainable strategy to provide training, advice and assistance to develop the capacity of government and private sector participants to understand the rules and regulations and how they should be implemented</t>
  </si>
  <si>
    <t>Quality control standards are disseminated and used to evaluate staff performance and address capacity development issues</t>
  </si>
  <si>
    <t>PILLAR III – PROCUREMENT OPERATIONS AND MARKET PERFORMANCE</t>
  </si>
  <si>
    <t>Indicator 6 – The country’s procurement operations and practices are efficient</t>
  </si>
  <si>
    <t xml:space="preserve">The level of procurement competence among government officials within the entity is consistent with their procurement responsibilities </t>
  </si>
  <si>
    <t xml:space="preserve"> The procurement training and information programs for government officials and for private sector participants are consistent with demand</t>
  </si>
  <si>
    <t>There are established norms for the safekeeping of records and documents related to transactions and contract manage</t>
  </si>
  <si>
    <t>There are provisions for delegating authority to others who have the capacity to exercise responsibilities</t>
  </si>
  <si>
    <t>Indicator 7 – Functionality of the public procurement market</t>
  </si>
  <si>
    <t>There are effective mechanisms for partnerships between the public and private sector</t>
  </si>
  <si>
    <t>Private sector institutions are well organized and able to facilitate access to the market</t>
  </si>
  <si>
    <t xml:space="preserve">There are no major systemic constraints (e.g., inadequate access to credit, contracting practices, etc.) inhibiting the private sector’s capacity to access the procurement market </t>
  </si>
  <si>
    <t>Indicator 8 – Existence of contract administration and dispute resolution provisions</t>
  </si>
  <si>
    <t xml:space="preserve"> Procedures are clearly defined for undertaking contract administration responsibilities that include inspection and acceptance procedures, quality control procedures, and methods to review and issue contract amendments in a timely manner</t>
  </si>
  <si>
    <t xml:space="preserve"> Contracts include dispute resolution procedures that provide for an efficient and fair process to resolve disputes arising during the performance of the contract</t>
  </si>
  <si>
    <t>Procedures exist to enforce the outcome of the dispute resolution process</t>
  </si>
  <si>
    <t>PILLAR IV – INTEGRITY AND TRANSPARENCY OF THE PUBLIC PROCUREMENT SYSTEM</t>
  </si>
  <si>
    <t xml:space="preserve"> Indicator 9 – The country has effective control and audit systems</t>
  </si>
  <si>
    <t xml:space="preserve"> A legal framework, organization, policy, and procedures for internal and external control and audit of public procurement operations are in place to provide a functioning control framework</t>
  </si>
  <si>
    <t xml:space="preserve"> Enforcement and follow-up on findings and recommendations of the control framework provide for an environment that fosters compliance</t>
  </si>
  <si>
    <t xml:space="preserve"> The internal control system provides timely information on compliance to enable management action</t>
  </si>
  <si>
    <t xml:space="preserve"> The internal control systems are sufficiently defined to allow performance audits to be conducted  </t>
  </si>
  <si>
    <t>Auditors are sufficiently informed about procurement requirements and control systems to conduct quality audits that contribute to compliance</t>
  </si>
  <si>
    <t>Indicator 10 – Efficiency of appeals mechanism</t>
  </si>
  <si>
    <t>Decisions are deliberated on the basis of available information, and the final decision can be reviewed and ruled upon by a body (or authority) with enforcement capacity under the law</t>
  </si>
  <si>
    <t>The complaint review system has the capacity to handle complaints efficiently and a means to enforce the remedy imposed</t>
  </si>
  <si>
    <t>The system operates in a fair manner, with outcomes of decisions balanced and justified on the basis of available information</t>
  </si>
  <si>
    <t xml:space="preserve"> Decisions are published and made available to all interested parties and to the public</t>
  </si>
  <si>
    <t>The system ensures that the complaint review body has full authority and independence for resolution of complaints</t>
  </si>
  <si>
    <t>Indicator 11 – Degree of access to information</t>
  </si>
  <si>
    <t xml:space="preserve"> Information is published and distributed through available media, with support from information technology when feasible</t>
  </si>
  <si>
    <t>Indicator 12 – The country has ethics and anti-corruption measures in place</t>
  </si>
  <si>
    <t xml:space="preserve"> The legal and regulatory framework for procurement, including tender and contract documents, includes provisions addressing corruption, fraud, conflict of interest, and unethical behavior, and sets out (either directly or by reference to other laws) the actions that can be taken with regard to such behavior</t>
  </si>
  <si>
    <t xml:space="preserve"> The legal system defines responsibilities, accountabilities and penalties, for individuals and firms found to have engaged in fraudulent or corrupt practices</t>
  </si>
  <si>
    <t>Evidence of enforcement of rulings and penalties exists</t>
  </si>
  <si>
    <t>Special measures exist to prevent and detect fraud and corruption in public procurement</t>
  </si>
  <si>
    <t>Stakeholders (private sector, civil society, and ultimate beneficiaries of procurement/end-users) support the creation of a procurement market known for its integrity and ethical behaviors</t>
  </si>
  <si>
    <t>The country should have in place a secure mechanism for reporting fraudulent, corrupt or unethical behavior</t>
  </si>
  <si>
    <t xml:space="preserve"> Existence of Codes of Conduct/Codes of Ethics for participants that are involved in aspects of the public financial management systems, that also provide for disclosure for those in decision making positions</t>
  </si>
  <si>
    <t>Max Score</t>
  </si>
  <si>
    <t>Scoring according to the BLI assessment</t>
  </si>
  <si>
    <t xml:space="preserve">Pillars / Indicators / Sub-Indicators </t>
  </si>
  <si>
    <t>Annex A: Consolidated scoring and rating of the BLI assessment 2006 and 2008</t>
  </si>
  <si>
    <t>Total Score</t>
  </si>
  <si>
    <t>Rating of the Vietnam procurement system and ranked level of the PD Indicator 2b</t>
  </si>
  <si>
    <t>BLI 2006 Assessment</t>
  </si>
  <si>
    <t>BLI 2008 Assessment</t>
  </si>
  <si>
    <t>Level of Achievment</t>
  </si>
  <si>
    <t>Indicator 1</t>
  </si>
  <si>
    <t>Indicator 2</t>
  </si>
  <si>
    <t>Indicator 3</t>
  </si>
  <si>
    <t>Indicaotr 4</t>
  </si>
  <si>
    <t>Indicator 5</t>
  </si>
  <si>
    <t>Indicator 6</t>
  </si>
  <si>
    <t>Indicator 7</t>
  </si>
  <si>
    <t>Indicator 8</t>
  </si>
  <si>
    <t>Indicator 9</t>
  </si>
  <si>
    <t>Indicator 10</t>
  </si>
  <si>
    <t>Indicator 11</t>
  </si>
  <si>
    <t>Indicator 12</t>
  </si>
  <si>
    <t>Legislative</t>
  </si>
  <si>
    <t>Institutional</t>
  </si>
  <si>
    <t>Operations</t>
  </si>
  <si>
    <t>Integrity</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</si>
</sst>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60">
    <font>
      <sz val="10"/>
      <name val=".VnTime"/>
      <family val="0"/>
    </font>
    <font>
      <b/>
      <sz val="10"/>
      <name val="Arial"/>
      <family val="2"/>
    </font>
    <font>
      <sz val="8"/>
      <name val=".VnTime"/>
      <family val="0"/>
    </font>
    <font>
      <sz val="10"/>
      <name val="Arial"/>
      <family val="2"/>
    </font>
    <font>
      <sz val="11"/>
      <name val="Arial"/>
      <family val="2"/>
    </font>
    <font>
      <sz val="12"/>
      <name val=".VnTime"/>
      <family val="0"/>
    </font>
    <font>
      <b/>
      <sz val="11"/>
      <name val="Arial"/>
      <family val="2"/>
    </font>
    <font>
      <sz val="11"/>
      <name val=".VnTime"/>
      <family val="0"/>
    </font>
    <font>
      <sz val="11"/>
      <color indexed="9"/>
      <name val="Arial"/>
      <family val="2"/>
    </font>
    <font>
      <sz val="11"/>
      <color indexed="9"/>
      <name val=".VnTime"/>
      <family val="0"/>
    </font>
    <font>
      <b/>
      <sz val="12"/>
      <name val="Arial"/>
      <family val="2"/>
    </font>
    <font>
      <sz val="12"/>
      <name val="Arial"/>
      <family val="2"/>
    </font>
    <font>
      <b/>
      <sz val="12"/>
      <color indexed="9"/>
      <name val="Arial"/>
      <family val="2"/>
    </font>
    <font>
      <sz val="14"/>
      <name val="Arial"/>
      <family val="2"/>
    </font>
    <font>
      <b/>
      <sz val="16"/>
      <name val="Arial"/>
      <family val="2"/>
    </font>
    <font>
      <u val="single"/>
      <sz val="10"/>
      <color indexed="12"/>
      <name val=".VnTime"/>
      <family val="0"/>
    </font>
    <font>
      <u val="single"/>
      <sz val="10"/>
      <color indexed="36"/>
      <name val=".VnTime"/>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2"/>
      <color indexed="8"/>
      <name val=".VnTime"/>
      <family val="0"/>
    </font>
    <font>
      <sz val="12"/>
      <color indexed="8"/>
      <name val="Arial"/>
      <family val="0"/>
    </font>
    <font>
      <b/>
      <sz val="12"/>
      <color indexed="8"/>
      <name val="Arial"/>
      <family val="0"/>
    </font>
    <font>
      <sz val="10.1"/>
      <color indexed="8"/>
      <name val="Arial"/>
      <family val="0"/>
    </font>
    <font>
      <sz val="15.75"/>
      <color indexed="8"/>
      <name val=".VnTime"/>
      <family val="0"/>
    </font>
    <font>
      <b/>
      <sz val="14.25"/>
      <color indexed="8"/>
      <name val="Arial"/>
      <family val="0"/>
    </font>
    <font>
      <sz val="14.25"/>
      <color indexed="8"/>
      <name val="Arial"/>
      <family val="0"/>
    </font>
    <font>
      <sz val="9.5"/>
      <color indexed="8"/>
      <name val="Arial"/>
      <family val="0"/>
    </font>
    <font>
      <sz val="11"/>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31"/>
        <bgColor indexed="64"/>
      </patternFill>
    </fill>
    <fill>
      <patternFill patternType="solid">
        <fgColor indexed="50"/>
        <bgColor indexed="64"/>
      </patternFill>
    </fill>
    <fill>
      <patternFill patternType="solid">
        <fgColor indexed="44"/>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style="thin"/>
      <right style="medium"/>
      <top style="medium"/>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2">
    <xf numFmtId="0" fontId="0" fillId="0" borderId="0" xfId="0" applyAlignment="1">
      <alignment/>
    </xf>
    <xf numFmtId="0" fontId="3" fillId="0" borderId="0" xfId="0" applyFont="1" applyAlignment="1">
      <alignment/>
    </xf>
    <xf numFmtId="0" fontId="1" fillId="0" borderId="0" xfId="0" applyFont="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9" fontId="3" fillId="0" borderId="14" xfId="0" applyNumberFormat="1" applyFont="1" applyFill="1" applyBorder="1" applyAlignment="1">
      <alignment horizontal="center"/>
    </xf>
    <xf numFmtId="9" fontId="3" fillId="0" borderId="15" xfId="0" applyNumberFormat="1" applyFont="1" applyFill="1" applyBorder="1" applyAlignment="1">
      <alignment horizontal="center"/>
    </xf>
    <xf numFmtId="0" fontId="1" fillId="33" borderId="16" xfId="0" applyFont="1" applyFill="1" applyBorder="1" applyAlignment="1">
      <alignment horizontal="center" vertical="center" wrapText="1"/>
    </xf>
    <xf numFmtId="9" fontId="3" fillId="34" borderId="17" xfId="0" applyNumberFormat="1" applyFont="1" applyFill="1" applyBorder="1" applyAlignment="1">
      <alignment horizontal="center"/>
    </xf>
    <xf numFmtId="9" fontId="3" fillId="34" borderId="18" xfId="0" applyNumberFormat="1"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9" fontId="3" fillId="0" borderId="17" xfId="0" applyNumberFormat="1" applyFont="1" applyFill="1" applyBorder="1" applyAlignment="1">
      <alignment horizontal="center"/>
    </xf>
    <xf numFmtId="9" fontId="3" fillId="0" borderId="18" xfId="0" applyNumberFormat="1" applyFont="1" applyFill="1" applyBorder="1" applyAlignment="1">
      <alignment horizontal="center"/>
    </xf>
    <xf numFmtId="0" fontId="1" fillId="35" borderId="10" xfId="0" applyFont="1" applyFill="1" applyBorder="1" applyAlignment="1">
      <alignment/>
    </xf>
    <xf numFmtId="9" fontId="3" fillId="35" borderId="14" xfId="0" applyNumberFormat="1" applyFont="1" applyFill="1" applyBorder="1" applyAlignment="1">
      <alignment horizontal="center"/>
    </xf>
    <xf numFmtId="9" fontId="3" fillId="35" borderId="17" xfId="0" applyNumberFormat="1" applyFont="1" applyFill="1" applyBorder="1" applyAlignment="1">
      <alignment horizontal="center"/>
    </xf>
    <xf numFmtId="0" fontId="3" fillId="35" borderId="19" xfId="0" applyFont="1" applyFill="1" applyBorder="1" applyAlignment="1">
      <alignment horizontal="center"/>
    </xf>
    <xf numFmtId="0" fontId="1" fillId="36" borderId="10" xfId="0" applyFont="1" applyFill="1" applyBorder="1" applyAlignment="1">
      <alignment/>
    </xf>
    <xf numFmtId="9" fontId="3" fillId="36" borderId="14" xfId="0" applyNumberFormat="1" applyFont="1" applyFill="1" applyBorder="1" applyAlignment="1">
      <alignment horizontal="center"/>
    </xf>
    <xf numFmtId="9" fontId="3" fillId="36" borderId="17" xfId="0" applyNumberFormat="1" applyFont="1" applyFill="1" applyBorder="1" applyAlignment="1">
      <alignment horizontal="center"/>
    </xf>
    <xf numFmtId="0" fontId="3" fillId="36" borderId="19" xfId="0" applyFont="1" applyFill="1" applyBorder="1" applyAlignment="1">
      <alignment horizontal="center"/>
    </xf>
    <xf numFmtId="0" fontId="1" fillId="33" borderId="10" xfId="0" applyFont="1" applyFill="1" applyBorder="1" applyAlignment="1">
      <alignment/>
    </xf>
    <xf numFmtId="9" fontId="3" fillId="33" borderId="14" xfId="0" applyNumberFormat="1" applyFont="1" applyFill="1" applyBorder="1" applyAlignment="1">
      <alignment horizontal="center"/>
    </xf>
    <xf numFmtId="9" fontId="3" fillId="33" borderId="17" xfId="0" applyNumberFormat="1" applyFont="1" applyFill="1" applyBorder="1" applyAlignment="1">
      <alignment horizontal="center"/>
    </xf>
    <xf numFmtId="0" fontId="3" fillId="33" borderId="19" xfId="0" applyFont="1" applyFill="1" applyBorder="1" applyAlignment="1">
      <alignment horizontal="center"/>
    </xf>
    <xf numFmtId="0" fontId="1" fillId="37" borderId="10" xfId="0" applyFont="1" applyFill="1" applyBorder="1" applyAlignment="1">
      <alignment/>
    </xf>
    <xf numFmtId="9" fontId="3" fillId="37" borderId="14" xfId="0" applyNumberFormat="1" applyFont="1" applyFill="1" applyBorder="1" applyAlignment="1">
      <alignment horizontal="center"/>
    </xf>
    <xf numFmtId="9" fontId="3" fillId="37" borderId="17" xfId="0" applyNumberFormat="1" applyFont="1" applyFill="1" applyBorder="1" applyAlignment="1">
      <alignment horizontal="center"/>
    </xf>
    <xf numFmtId="0" fontId="3" fillId="37" borderId="19" xfId="0" applyFont="1" applyFill="1" applyBorder="1" applyAlignment="1">
      <alignment horizontal="center"/>
    </xf>
    <xf numFmtId="0" fontId="0" fillId="0" borderId="0" xfId="0" applyFont="1" applyFill="1" applyAlignment="1">
      <alignment horizontal="center"/>
    </xf>
    <xf numFmtId="0" fontId="7" fillId="0" borderId="0" xfId="0" applyFont="1" applyAlignment="1">
      <alignment/>
    </xf>
    <xf numFmtId="0" fontId="7" fillId="0" borderId="0" xfId="0" applyFont="1" applyFill="1" applyAlignment="1">
      <alignment vertical="center"/>
    </xf>
    <xf numFmtId="0" fontId="7"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4" fillId="0" borderId="0" xfId="0" applyFont="1" applyAlignment="1">
      <alignment vertical="center"/>
    </xf>
    <xf numFmtId="0" fontId="11" fillId="0" borderId="0" xfId="0" applyFont="1" applyAlignment="1">
      <alignment vertical="center"/>
    </xf>
    <xf numFmtId="0" fontId="5" fillId="0" borderId="0" xfId="0" applyFont="1" applyAlignment="1">
      <alignment vertical="center"/>
    </xf>
    <xf numFmtId="0" fontId="7" fillId="0" borderId="0" xfId="0" applyFont="1" applyFill="1" applyAlignment="1">
      <alignment horizontal="center" vertical="center"/>
    </xf>
    <xf numFmtId="0" fontId="0" fillId="0" borderId="0" xfId="0" applyFont="1" applyFill="1" applyAlignment="1">
      <alignment horizontal="center" vertical="center"/>
    </xf>
    <xf numFmtId="0" fontId="11" fillId="0" borderId="14" xfId="0" applyFont="1" applyBorder="1" applyAlignment="1">
      <alignment vertical="center"/>
    </xf>
    <xf numFmtId="0" fontId="10" fillId="38" borderId="14" xfId="0" applyFont="1" applyFill="1" applyBorder="1" applyAlignment="1">
      <alignment horizontal="center" vertical="center"/>
    </xf>
    <xf numFmtId="0" fontId="10" fillId="0" borderId="14" xfId="0" applyFont="1" applyBorder="1" applyAlignment="1">
      <alignment horizontal="center" vertical="center"/>
    </xf>
    <xf numFmtId="0" fontId="6" fillId="0" borderId="14" xfId="0" applyFont="1" applyFill="1" applyBorder="1" applyAlignment="1">
      <alignment horizontal="center" vertical="center" wrapText="1"/>
    </xf>
    <xf numFmtId="0" fontId="6" fillId="0" borderId="14" xfId="0" applyFont="1" applyFill="1" applyBorder="1" applyAlignment="1">
      <alignment vertical="center" wrapText="1"/>
    </xf>
    <xf numFmtId="0" fontId="6" fillId="0" borderId="14" xfId="0" applyFont="1" applyFill="1" applyBorder="1" applyAlignment="1">
      <alignment vertical="center"/>
    </xf>
    <xf numFmtId="0" fontId="6" fillId="0" borderId="14" xfId="0" applyFont="1" applyBorder="1" applyAlignment="1">
      <alignment vertical="center"/>
    </xf>
    <xf numFmtId="0" fontId="7" fillId="0" borderId="14" xfId="0" applyFont="1" applyBorder="1" applyAlignment="1">
      <alignment vertical="center"/>
    </xf>
    <xf numFmtId="0" fontId="4" fillId="0" borderId="14" xfId="0" applyFont="1" applyBorder="1" applyAlignment="1">
      <alignment vertical="center"/>
    </xf>
    <xf numFmtId="0" fontId="4" fillId="0" borderId="14" xfId="0" applyFont="1" applyFill="1" applyBorder="1" applyAlignment="1">
      <alignment horizontal="center" vertical="center" wrapText="1"/>
    </xf>
    <xf numFmtId="0" fontId="4" fillId="0" borderId="14" xfId="0" applyFont="1" applyFill="1" applyBorder="1" applyAlignment="1">
      <alignment vertical="center" wrapText="1"/>
    </xf>
    <xf numFmtId="0" fontId="4" fillId="0" borderId="14" xfId="0" applyFont="1" applyFill="1" applyBorder="1" applyAlignment="1">
      <alignment vertical="center"/>
    </xf>
    <xf numFmtId="9" fontId="4" fillId="39" borderId="14" xfId="0" applyNumberFormat="1" applyFont="1" applyFill="1" applyBorder="1" applyAlignment="1">
      <alignment vertical="center"/>
    </xf>
    <xf numFmtId="9" fontId="8" fillId="0" borderId="14" xfId="0" applyNumberFormat="1" applyFont="1" applyBorder="1" applyAlignment="1">
      <alignment vertical="center"/>
    </xf>
    <xf numFmtId="0" fontId="4" fillId="0" borderId="14" xfId="0" applyFont="1" applyBorder="1" applyAlignment="1">
      <alignment horizontal="center" vertical="center"/>
    </xf>
    <xf numFmtId="0" fontId="8" fillId="0" borderId="14" xfId="0" applyFont="1" applyFill="1" applyBorder="1" applyAlignment="1">
      <alignment vertical="center" wrapText="1"/>
    </xf>
    <xf numFmtId="10" fontId="8" fillId="0" borderId="14" xfId="0" applyNumberFormat="1" applyFont="1" applyBorder="1" applyAlignment="1">
      <alignment vertical="center"/>
    </xf>
    <xf numFmtId="0" fontId="8" fillId="0" borderId="14" xfId="0" applyFont="1" applyBorder="1" applyAlignment="1">
      <alignment vertical="center"/>
    </xf>
    <xf numFmtId="0" fontId="7" fillId="0" borderId="14" xfId="0" applyFont="1" applyFill="1" applyBorder="1" applyAlignment="1">
      <alignment horizontal="center" vertical="center" wrapText="1"/>
    </xf>
    <xf numFmtId="0" fontId="9" fillId="0" borderId="14" xfId="0" applyFont="1" applyFill="1" applyBorder="1" applyAlignment="1">
      <alignment vertical="center" wrapText="1"/>
    </xf>
    <xf numFmtId="10" fontId="4" fillId="0" borderId="14" xfId="0" applyNumberFormat="1" applyFont="1" applyFill="1" applyBorder="1" applyAlignment="1">
      <alignment vertical="center"/>
    </xf>
    <xf numFmtId="10" fontId="4" fillId="0" borderId="14" xfId="0" applyNumberFormat="1" applyFont="1" applyBorder="1" applyAlignment="1">
      <alignment vertical="center"/>
    </xf>
    <xf numFmtId="0" fontId="8" fillId="0" borderId="14" xfId="0" applyFont="1" applyFill="1" applyBorder="1" applyAlignment="1">
      <alignment vertical="center"/>
    </xf>
    <xf numFmtId="0" fontId="10" fillId="0" borderId="14" xfId="0" applyFont="1" applyFill="1" applyBorder="1" applyAlignment="1">
      <alignment horizontal="center" vertical="center" wrapText="1"/>
    </xf>
    <xf numFmtId="0" fontId="12" fillId="0" borderId="14" xfId="0" applyFont="1" applyFill="1" applyBorder="1" applyAlignment="1">
      <alignment vertical="center" wrapText="1"/>
    </xf>
    <xf numFmtId="0" fontId="10" fillId="0" borderId="14" xfId="0" applyFont="1" applyFill="1" applyBorder="1" applyAlignment="1">
      <alignment vertical="center"/>
    </xf>
    <xf numFmtId="0" fontId="10" fillId="0" borderId="14" xfId="0" applyFont="1" applyBorder="1" applyAlignment="1">
      <alignment vertical="center"/>
    </xf>
    <xf numFmtId="9" fontId="10" fillId="34" borderId="14" xfId="0" applyNumberFormat="1" applyFont="1" applyFill="1" applyBorder="1" applyAlignment="1">
      <alignment vertical="center"/>
    </xf>
    <xf numFmtId="0" fontId="10" fillId="34" borderId="14" xfId="0" applyFont="1" applyFill="1" applyBorder="1" applyAlignment="1">
      <alignment horizontal="center" vertical="center"/>
    </xf>
    <xf numFmtId="1" fontId="4" fillId="0" borderId="14" xfId="0" applyNumberFormat="1" applyFont="1" applyFill="1" applyBorder="1" applyAlignment="1">
      <alignment vertical="center"/>
    </xf>
    <xf numFmtId="0" fontId="4" fillId="0" borderId="14" xfId="0" applyFont="1" applyFill="1" applyBorder="1" applyAlignment="1">
      <alignment horizontal="center" vertical="center" wrapText="1" shrinkToFit="1"/>
    </xf>
    <xf numFmtId="0" fontId="8" fillId="0" borderId="14" xfId="0" applyFont="1" applyFill="1" applyBorder="1" applyAlignment="1">
      <alignment vertical="center" wrapText="1" shrinkToFit="1"/>
    </xf>
    <xf numFmtId="0" fontId="7" fillId="0" borderId="14" xfId="0" applyFont="1" applyFill="1" applyBorder="1" applyAlignment="1">
      <alignment horizontal="center" vertical="center"/>
    </xf>
    <xf numFmtId="0" fontId="11" fillId="0" borderId="13" xfId="0" applyFont="1" applyFill="1" applyBorder="1" applyAlignment="1">
      <alignment vertical="center"/>
    </xf>
    <xf numFmtId="0" fontId="4" fillId="0" borderId="10" xfId="0" applyFont="1" applyBorder="1" applyAlignment="1">
      <alignment vertical="center"/>
    </xf>
    <xf numFmtId="2" fontId="4" fillId="0" borderId="14" xfId="0" applyNumberFormat="1" applyFont="1" applyBorder="1" applyAlignment="1">
      <alignment vertical="center"/>
    </xf>
    <xf numFmtId="9" fontId="4" fillId="36" borderId="14" xfId="0" applyNumberFormat="1" applyFont="1" applyFill="1" applyBorder="1" applyAlignment="1">
      <alignment vertical="center"/>
    </xf>
    <xf numFmtId="9" fontId="4" fillId="0" borderId="14" xfId="0" applyNumberFormat="1" applyFont="1" applyBorder="1" applyAlignment="1">
      <alignment vertical="center"/>
    </xf>
    <xf numFmtId="2" fontId="4" fillId="0" borderId="0" xfId="0" applyNumberFormat="1" applyFont="1" applyAlignment="1">
      <alignment vertical="center"/>
    </xf>
    <xf numFmtId="2" fontId="4" fillId="0" borderId="0" xfId="0" applyNumberFormat="1" applyFont="1" applyAlignment="1">
      <alignment/>
    </xf>
    <xf numFmtId="0" fontId="4" fillId="0" borderId="0" xfId="0" applyFont="1" applyAlignment="1">
      <alignment/>
    </xf>
    <xf numFmtId="2" fontId="11" fillId="0" borderId="14" xfId="0" applyNumberFormat="1" applyFont="1" applyBorder="1" applyAlignment="1">
      <alignment vertical="center"/>
    </xf>
    <xf numFmtId="9" fontId="10" fillId="34" borderId="14" xfId="0" applyNumberFormat="1" applyFont="1" applyFill="1" applyBorder="1" applyAlignment="1">
      <alignment horizontal="center" vertical="center"/>
    </xf>
    <xf numFmtId="2" fontId="10" fillId="0" borderId="14" xfId="0" applyNumberFormat="1" applyFont="1" applyBorder="1" applyAlignment="1">
      <alignment horizontal="center" vertical="center"/>
    </xf>
    <xf numFmtId="0" fontId="10" fillId="34" borderId="19" xfId="0" applyFont="1" applyFill="1" applyBorder="1" applyAlignment="1">
      <alignment horizontal="center" vertical="center"/>
    </xf>
    <xf numFmtId="0" fontId="13" fillId="34" borderId="14" xfId="0" applyFont="1" applyFill="1" applyBorder="1" applyAlignment="1">
      <alignment horizontal="center" vertical="center"/>
    </xf>
    <xf numFmtId="0" fontId="13" fillId="34" borderId="14" xfId="0" applyFont="1" applyFill="1" applyBorder="1" applyAlignment="1">
      <alignment vertical="center"/>
    </xf>
    <xf numFmtId="2" fontId="13" fillId="34" borderId="14" xfId="0" applyNumberFormat="1" applyFont="1" applyFill="1" applyBorder="1" applyAlignment="1">
      <alignment vertical="center"/>
    </xf>
    <xf numFmtId="10" fontId="13" fillId="34" borderId="14" xfId="0" applyNumberFormat="1" applyFont="1" applyFill="1" applyBorder="1" applyAlignment="1">
      <alignment vertical="center"/>
    </xf>
    <xf numFmtId="0" fontId="13" fillId="0" borderId="0" xfId="0" applyFont="1" applyAlignment="1">
      <alignment vertical="center"/>
    </xf>
    <xf numFmtId="0" fontId="13" fillId="34" borderId="15" xfId="0" applyFont="1" applyFill="1" applyBorder="1" applyAlignment="1">
      <alignment horizontal="center" vertical="center"/>
    </xf>
    <xf numFmtId="0" fontId="13" fillId="34" borderId="15" xfId="0" applyFont="1" applyFill="1" applyBorder="1" applyAlignment="1">
      <alignment vertical="center"/>
    </xf>
    <xf numFmtId="2" fontId="13" fillId="34" borderId="15" xfId="0" applyNumberFormat="1" applyFont="1" applyFill="1" applyBorder="1" applyAlignment="1">
      <alignment horizontal="center" vertical="center" wrapText="1"/>
    </xf>
    <xf numFmtId="0" fontId="11" fillId="0" borderId="19" xfId="0" applyFont="1" applyBorder="1" applyAlignment="1">
      <alignment horizontal="center" vertical="center"/>
    </xf>
    <xf numFmtId="2" fontId="4" fillId="40" borderId="14" xfId="0" applyNumberFormat="1" applyFont="1" applyFill="1" applyBorder="1" applyAlignment="1">
      <alignment vertical="center"/>
    </xf>
    <xf numFmtId="2" fontId="4" fillId="0" borderId="14" xfId="0" applyNumberFormat="1" applyFont="1" applyFill="1" applyBorder="1" applyAlignment="1">
      <alignment vertical="center"/>
    </xf>
    <xf numFmtId="2" fontId="4" fillId="41" borderId="14" xfId="0" applyNumberFormat="1" applyFont="1" applyFill="1" applyBorder="1" applyAlignment="1">
      <alignment vertical="center"/>
    </xf>
    <xf numFmtId="2" fontId="11" fillId="0" borderId="14" xfId="0" applyNumberFormat="1" applyFont="1" applyFill="1" applyBorder="1" applyAlignment="1">
      <alignment vertical="center"/>
    </xf>
    <xf numFmtId="0" fontId="11" fillId="34" borderId="19" xfId="0" applyFont="1" applyFill="1" applyBorder="1" applyAlignment="1">
      <alignment horizontal="center" vertical="center"/>
    </xf>
    <xf numFmtId="0" fontId="11" fillId="34" borderId="20"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xf>
    <xf numFmtId="0" fontId="1" fillId="33" borderId="21" xfId="0" applyFont="1" applyFill="1" applyBorder="1" applyAlignment="1">
      <alignment horizontal="center" vertical="center" wrapText="1"/>
    </xf>
    <xf numFmtId="9" fontId="1" fillId="0" borderId="22" xfId="59" applyFont="1" applyFill="1" applyBorder="1" applyAlignment="1">
      <alignment/>
    </xf>
    <xf numFmtId="0" fontId="1" fillId="0" borderId="10" xfId="0" applyFont="1" applyFill="1" applyBorder="1" applyAlignment="1">
      <alignment wrapText="1"/>
    </xf>
    <xf numFmtId="9" fontId="1" fillId="0" borderId="23" xfId="59" applyFont="1" applyFill="1" applyBorder="1" applyAlignment="1">
      <alignment/>
    </xf>
    <xf numFmtId="0" fontId="14" fillId="0" borderId="0" xfId="0" applyFont="1" applyAlignment="1">
      <alignment/>
    </xf>
    <xf numFmtId="0" fontId="10" fillId="0" borderId="24" xfId="0" applyFont="1" applyBorder="1" applyAlignment="1">
      <alignment horizontal="center" vertical="center"/>
    </xf>
    <xf numFmtId="0" fontId="4" fillId="0" borderId="22"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1" fillId="33" borderId="31" xfId="0" applyFont="1" applyFill="1" applyBorder="1" applyAlignment="1">
      <alignment horizontal="center" vertical="center" wrapText="1"/>
    </xf>
    <xf numFmtId="0" fontId="4" fillId="0" borderId="14" xfId="0" applyFont="1" applyFill="1" applyBorder="1" applyAlignment="1">
      <alignment vertical="center" wrapText="1"/>
    </xf>
    <xf numFmtId="1" fontId="10" fillId="0" borderId="17" xfId="0" applyNumberFormat="1" applyFont="1" applyBorder="1" applyAlignment="1">
      <alignment horizontal="center" vertical="center"/>
    </xf>
    <xf numFmtId="1" fontId="10" fillId="0" borderId="24" xfId="0" applyNumberFormat="1" applyFont="1" applyBorder="1" applyAlignment="1">
      <alignment horizontal="center" vertical="center"/>
    </xf>
    <xf numFmtId="1" fontId="10" fillId="0" borderId="32" xfId="0" applyNumberFormat="1" applyFont="1" applyBorder="1" applyAlignment="1">
      <alignment horizontal="center" vertical="center"/>
    </xf>
    <xf numFmtId="0" fontId="10" fillId="0" borderId="16"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34" borderId="35" xfId="0" applyFont="1" applyFill="1" applyBorder="1" applyAlignment="1">
      <alignment vertical="center" wrapText="1"/>
    </xf>
    <xf numFmtId="0" fontId="0" fillId="0" borderId="24" xfId="0" applyBorder="1" applyAlignment="1">
      <alignment/>
    </xf>
    <xf numFmtId="0" fontId="0" fillId="0" borderId="22" xfId="0" applyBorder="1" applyAlignment="1">
      <alignment/>
    </xf>
    <xf numFmtId="0" fontId="4" fillId="39" borderId="14" xfId="0" applyFont="1" applyFill="1" applyBorder="1" applyAlignment="1">
      <alignment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42" borderId="12" xfId="0" applyFont="1" applyFill="1" applyBorder="1" applyAlignment="1">
      <alignment horizontal="center" vertical="center"/>
    </xf>
    <xf numFmtId="0" fontId="10" fillId="42" borderId="13" xfId="0" applyFont="1" applyFill="1" applyBorder="1" applyAlignment="1">
      <alignment horizontal="center" vertical="center"/>
    </xf>
    <xf numFmtId="0" fontId="10" fillId="42" borderId="10" xfId="0" applyFont="1" applyFill="1" applyBorder="1" applyAlignment="1">
      <alignment horizontal="center" vertical="center"/>
    </xf>
    <xf numFmtId="0" fontId="10" fillId="42" borderId="14" xfId="0" applyFont="1" applyFill="1" applyBorder="1" applyAlignment="1">
      <alignment horizontal="center" vertical="center"/>
    </xf>
    <xf numFmtId="0" fontId="10" fillId="0" borderId="17" xfId="0" applyFont="1" applyBorder="1" applyAlignment="1">
      <alignment horizontal="center" vertical="center"/>
    </xf>
    <xf numFmtId="0" fontId="10" fillId="0" borderId="24" xfId="0" applyFont="1" applyBorder="1" applyAlignment="1">
      <alignment horizontal="center" vertical="center"/>
    </xf>
    <xf numFmtId="0" fontId="10" fillId="0" borderId="22" xfId="0" applyFont="1" applyBorder="1" applyAlignment="1">
      <alignment horizontal="center" vertical="center"/>
    </xf>
    <xf numFmtId="0" fontId="4" fillId="0" borderId="14" xfId="0" applyFont="1" applyFill="1" applyBorder="1" applyAlignment="1">
      <alignment horizontal="left" vertical="center" wrapText="1"/>
    </xf>
    <xf numFmtId="0" fontId="4" fillId="0" borderId="36" xfId="0" applyFont="1" applyBorder="1" applyAlignment="1">
      <alignment horizontal="center" vertical="center"/>
    </xf>
    <xf numFmtId="0" fontId="4" fillId="0" borderId="24" xfId="0" applyFont="1" applyBorder="1" applyAlignment="1">
      <alignment horizontal="center" vertical="center"/>
    </xf>
    <xf numFmtId="0" fontId="4" fillId="0" borderId="32" xfId="0" applyFont="1" applyBorder="1" applyAlignment="1">
      <alignment horizontal="center" vertical="center"/>
    </xf>
    <xf numFmtId="0" fontId="10" fillId="34" borderId="10" xfId="0" applyFont="1" applyFill="1" applyBorder="1" applyAlignment="1">
      <alignment vertical="center" wrapText="1"/>
    </xf>
    <xf numFmtId="0" fontId="10" fillId="0" borderId="14" xfId="0" applyFont="1" applyBorder="1" applyAlignment="1">
      <alignment vertical="center" wrapText="1"/>
    </xf>
    <xf numFmtId="0" fontId="4" fillId="0" borderId="14" xfId="0" applyFont="1" applyFill="1" applyBorder="1" applyAlignment="1">
      <alignment vertical="center" wrapText="1" shrinkToFit="1"/>
    </xf>
    <xf numFmtId="0" fontId="7" fillId="0" borderId="14" xfId="0" applyFont="1" applyBorder="1" applyAlignment="1">
      <alignment vertical="center" wrapText="1"/>
    </xf>
    <xf numFmtId="0" fontId="7" fillId="0" borderId="14" xfId="0" applyFont="1" applyFill="1" applyBorder="1" applyAlignment="1">
      <alignment vertical="center" wrapText="1"/>
    </xf>
    <xf numFmtId="0" fontId="10" fillId="34" borderId="14" xfId="0" applyFont="1" applyFill="1" applyBorder="1" applyAlignment="1">
      <alignment vertical="center" wrapText="1"/>
    </xf>
    <xf numFmtId="0" fontId="7" fillId="0" borderId="35"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6" xfId="0" applyFont="1" applyBorder="1" applyAlignment="1">
      <alignment horizontal="center" vertical="center"/>
    </xf>
    <xf numFmtId="0" fontId="7" fillId="0" borderId="24" xfId="0" applyFont="1" applyBorder="1" applyAlignment="1">
      <alignment horizontal="center" vertical="center"/>
    </xf>
    <xf numFmtId="0" fontId="7" fillId="0" borderId="32" xfId="0" applyFont="1" applyBorder="1" applyAlignment="1">
      <alignment horizontal="center" vertical="center"/>
    </xf>
    <xf numFmtId="0" fontId="13" fillId="34" borderId="35"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22" xfId="0" applyFont="1" applyFill="1" applyBorder="1" applyAlignment="1">
      <alignment horizontal="center" vertical="center"/>
    </xf>
    <xf numFmtId="0" fontId="13" fillId="34" borderId="17" xfId="0" applyFont="1" applyFill="1" applyBorder="1" applyAlignment="1">
      <alignment horizontal="left" vertical="center"/>
    </xf>
    <xf numFmtId="0" fontId="13" fillId="34" borderId="24" xfId="0" applyFont="1" applyFill="1" applyBorder="1" applyAlignment="1">
      <alignment horizontal="left" vertical="center"/>
    </xf>
    <xf numFmtId="0" fontId="13" fillId="34" borderId="22" xfId="0" applyFont="1" applyFill="1" applyBorder="1" applyAlignment="1">
      <alignment horizontal="left" vertical="center"/>
    </xf>
    <xf numFmtId="0" fontId="7" fillId="0" borderId="14" xfId="0" applyFont="1" applyFill="1" applyBorder="1" applyAlignment="1">
      <alignment vertical="center"/>
    </xf>
    <xf numFmtId="0" fontId="13" fillId="34" borderId="37" xfId="0" applyFont="1" applyFill="1" applyBorder="1" applyAlignment="1">
      <alignment horizontal="center" vertical="center"/>
    </xf>
    <xf numFmtId="0" fontId="13" fillId="34" borderId="38" xfId="0" applyFont="1" applyFill="1" applyBorder="1" applyAlignment="1">
      <alignment horizontal="center" vertical="center"/>
    </xf>
    <xf numFmtId="0" fontId="13" fillId="34" borderId="23" xfId="0" applyFont="1" applyFill="1" applyBorder="1" applyAlignment="1">
      <alignment horizontal="center" vertical="center"/>
    </xf>
    <xf numFmtId="0" fontId="13" fillId="34" borderId="18" xfId="0" applyFont="1" applyFill="1" applyBorder="1" applyAlignment="1">
      <alignment horizontal="left" vertical="center"/>
    </xf>
    <xf numFmtId="0" fontId="13" fillId="34" borderId="38" xfId="0" applyFont="1" applyFill="1" applyBorder="1" applyAlignment="1">
      <alignment horizontal="left" vertical="center"/>
    </xf>
    <xf numFmtId="0" fontId="13" fillId="34" borderId="23"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Improvement of the Vietnam procurement system by 4 pillars based on BLI assessments in 2006 &amp; 2008 </a:t>
            </a:r>
          </a:p>
        </c:rich>
      </c:tx>
      <c:layout>
        <c:manualLayout>
          <c:xMode val="factor"/>
          <c:yMode val="factor"/>
          <c:x val="0.01325"/>
          <c:y val="-0.02"/>
        </c:manualLayout>
      </c:layout>
      <c:spPr>
        <a:noFill/>
        <a:ln>
          <a:noFill/>
        </a:ln>
      </c:spPr>
    </c:title>
    <c:plotArea>
      <c:layout>
        <c:manualLayout>
          <c:xMode val="edge"/>
          <c:yMode val="edge"/>
          <c:x val="0"/>
          <c:y val="0.07825"/>
          <c:w val="0.9885"/>
          <c:h val="0.84175"/>
        </c:manualLayout>
      </c:layout>
      <c:barChart>
        <c:barDir val="col"/>
        <c:grouping val="clustered"/>
        <c:varyColors val="0"/>
        <c:ser>
          <c:idx val="0"/>
          <c:order val="0"/>
          <c:tx>
            <c:strRef>
              <c:f>Graphs!$I$5</c:f>
              <c:strCache>
                <c:ptCount val="1"/>
                <c:pt idx="0">
                  <c:v>BLI 2006 Assessment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Graphs!$G$6:$G$9</c:f>
              <c:strCache/>
            </c:strRef>
          </c:cat>
          <c:val>
            <c:numRef>
              <c:f>Graphs!$I$6:$I$9</c:f>
              <c:numCache/>
            </c:numRef>
          </c:val>
        </c:ser>
        <c:ser>
          <c:idx val="1"/>
          <c:order val="1"/>
          <c:tx>
            <c:strRef>
              <c:f>Graphs!$J$5</c:f>
              <c:strCache>
                <c:ptCount val="1"/>
                <c:pt idx="0">
                  <c:v>BLI 2008 Assessment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Graphs!$G$6:$G$9</c:f>
              <c:strCache/>
            </c:strRef>
          </c:cat>
          <c:val>
            <c:numRef>
              <c:f>Graphs!$J$6:$J$9</c:f>
              <c:numCache/>
            </c:numRef>
          </c:val>
        </c:ser>
        <c:axId val="6461846"/>
        <c:axId val="58156615"/>
      </c:barChart>
      <c:catAx>
        <c:axId val="646184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8156615"/>
        <c:crosses val="autoZero"/>
        <c:auto val="1"/>
        <c:lblOffset val="100"/>
        <c:tickLblSkip val="1"/>
        <c:noMultiLvlLbl val="0"/>
      </c:catAx>
      <c:valAx>
        <c:axId val="58156615"/>
        <c:scaling>
          <c:orientation val="minMax"/>
          <c:max val="0.8"/>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461846"/>
        <c:crossesAt val="1"/>
        <c:crossBetween val="between"/>
        <c:dispUnits/>
      </c:valAx>
      <c:spPr>
        <a:noFill/>
        <a:ln w="12700">
          <a:solidFill>
            <a:srgbClr val="808080"/>
          </a:solidFill>
        </a:ln>
      </c:spPr>
    </c:plotArea>
    <c:legend>
      <c:legendPos val="b"/>
      <c:layout>
        <c:manualLayout>
          <c:xMode val="edge"/>
          <c:yMode val="edge"/>
          <c:x val="0.19825"/>
          <c:y val="0.93075"/>
          <c:w val="0.6925"/>
          <c:h val="0.06925"/>
        </c:manualLayout>
      </c:layout>
      <c:overlay val="0"/>
      <c:spPr>
        <a:solidFill>
          <a:srgbClr val="FFFFFF"/>
        </a:solid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VnTime"/>
          <a:ea typeface=".VnTime"/>
          <a:cs typeface=".VnTime"/>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rPr>
              <a:t>Figure 2  </a:t>
            </a:r>
            <a:r>
              <a:rPr lang="en-US" cap="none" sz="1425" b="0" i="0" u="none" baseline="0">
                <a:solidFill>
                  <a:srgbClr val="000000"/>
                </a:solidFill>
              </a:rPr>
              <a:t>Improvements of the Vietnam procurement system by 12 indicators based on BLI assessments in 2006 &amp; 2008 </a:t>
            </a:r>
          </a:p>
        </c:rich>
      </c:tx>
      <c:layout>
        <c:manualLayout>
          <c:xMode val="factor"/>
          <c:yMode val="factor"/>
          <c:x val="0.01325"/>
          <c:y val="-0.0085"/>
        </c:manualLayout>
      </c:layout>
      <c:spPr>
        <a:noFill/>
        <a:ln>
          <a:noFill/>
        </a:ln>
      </c:spPr>
    </c:title>
    <c:plotArea>
      <c:layout>
        <c:manualLayout>
          <c:xMode val="edge"/>
          <c:yMode val="edge"/>
          <c:x val="0"/>
          <c:y val="0.105"/>
          <c:w val="1"/>
          <c:h val="0.833"/>
        </c:manualLayout>
      </c:layout>
      <c:barChart>
        <c:barDir val="col"/>
        <c:grouping val="clustered"/>
        <c:varyColors val="0"/>
        <c:ser>
          <c:idx val="0"/>
          <c:order val="0"/>
          <c:tx>
            <c:strRef>
              <c:f>Graphs!$B$5</c:f>
              <c:strCache>
                <c:ptCount val="1"/>
                <c:pt idx="0">
                  <c:v>BLI 2006 Assessment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Graphs!$A$6:$A$17</c:f>
              <c:strCache/>
            </c:strRef>
          </c:cat>
          <c:val>
            <c:numRef>
              <c:f>Graphs!$B$6:$B$17</c:f>
              <c:numCache/>
            </c:numRef>
          </c:val>
        </c:ser>
        <c:ser>
          <c:idx val="1"/>
          <c:order val="1"/>
          <c:tx>
            <c:strRef>
              <c:f>Graphs!$C$5</c:f>
              <c:strCache>
                <c:ptCount val="1"/>
                <c:pt idx="0">
                  <c:v>BLI 2008 Assessment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Graphs!$A$6:$A$17</c:f>
              <c:strCache/>
            </c:strRef>
          </c:cat>
          <c:val>
            <c:numRef>
              <c:f>Graphs!$C$6:$C$17</c:f>
              <c:numCache/>
            </c:numRef>
          </c:val>
        </c:ser>
        <c:axId val="53647488"/>
        <c:axId val="13065345"/>
      </c:barChart>
      <c:catAx>
        <c:axId val="5364748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3065345"/>
        <c:crosses val="autoZero"/>
        <c:auto val="1"/>
        <c:lblOffset val="100"/>
        <c:tickLblSkip val="1"/>
        <c:noMultiLvlLbl val="0"/>
      </c:catAx>
      <c:valAx>
        <c:axId val="13065345"/>
        <c:scaling>
          <c:orientation val="minMax"/>
          <c:max val="1"/>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3647488"/>
        <c:crossesAt val="1"/>
        <c:crossBetween val="between"/>
        <c:dispUnits/>
      </c:valAx>
      <c:spPr>
        <a:noFill/>
        <a:ln w="12700">
          <a:solidFill>
            <a:srgbClr val="808080"/>
          </a:solidFill>
        </a:ln>
      </c:spPr>
    </c:plotArea>
    <c:legend>
      <c:legendPos val="b"/>
      <c:layout>
        <c:manualLayout>
          <c:xMode val="edge"/>
          <c:yMode val="edge"/>
          <c:x val="0.38975"/>
          <c:y val="0.94"/>
          <c:w val="0.51475"/>
          <c:h val="0.06"/>
        </c:manualLayout>
      </c:layout>
      <c:overlay val="0"/>
      <c:spPr>
        <a:solidFill>
          <a:srgbClr val="FFFFFF"/>
        </a:solid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latin typeface=".VnTime"/>
          <a:ea typeface=".VnTime"/>
          <a:cs typeface=".VnTime"/>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084"/>
          <c:w val="0.855"/>
          <c:h val="0.915"/>
        </c:manualLayout>
      </c:layout>
      <c:radarChart>
        <c:radarStyle val="marker"/>
        <c:varyColors val="0"/>
        <c:ser>
          <c:idx val="1"/>
          <c:order val="0"/>
          <c:tx>
            <c:strRef>
              <c:f>Graphs!$I$5</c:f>
              <c:strCache>
                <c:ptCount val="1"/>
                <c:pt idx="0">
                  <c:v>BLI 2006 Assessment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FF9900"/>
                </a:solidFill>
              </a:ln>
            </c:spPr>
          </c:marker>
          <c:cat>
            <c:multiLvlStrRef>
              <c:f>Graphs!$G$6:$H$9</c:f>
              <c:multiLvlStrCache/>
            </c:multiLvlStrRef>
          </c:cat>
          <c:val>
            <c:numRef>
              <c:f>Graphs!$I$6:$I$9</c:f>
              <c:numCache/>
            </c:numRef>
          </c:val>
        </c:ser>
        <c:ser>
          <c:idx val="2"/>
          <c:order val="1"/>
          <c:tx>
            <c:strRef>
              <c:f>Graphs!$J$5</c:f>
              <c:strCache>
                <c:ptCount val="1"/>
                <c:pt idx="0">
                  <c:v>BLI 2008 Assessment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6600"/>
              </a:solidFill>
              <a:ln>
                <a:solidFill>
                  <a:srgbClr val="FF6600"/>
                </a:solidFill>
              </a:ln>
            </c:spPr>
          </c:marker>
          <c:cat>
            <c:multiLvlStrRef>
              <c:f>Graphs!$G$6:$H$9</c:f>
              <c:multiLvlStrCache/>
            </c:multiLvlStrRef>
          </c:cat>
          <c:val>
            <c:numRef>
              <c:f>Graphs!$J$6:$J$9</c:f>
              <c:numCache/>
            </c:numRef>
          </c:val>
        </c:ser>
        <c:ser>
          <c:idx val="0"/>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Graphs!$H$6:$H$9</c:f>
              <c:numCache/>
            </c:numRef>
          </c:val>
        </c:ser>
        <c:axId val="50479242"/>
        <c:axId val="51659995"/>
      </c:radarChart>
      <c:catAx>
        <c:axId val="50479242"/>
        <c:scaling>
          <c:orientation val="minMax"/>
        </c:scaling>
        <c:axPos val="b"/>
        <c:majorGridlines>
          <c:spPr>
            <a:ln w="3175">
              <a:solidFill>
                <a:srgbClr val="808080"/>
              </a:solidFill>
            </a:ln>
          </c:spPr>
        </c:majorGridlines>
        <c:delete val="0"/>
        <c:numFmt formatCode="General" sourceLinked="0"/>
        <c:majorTickMark val="out"/>
        <c:minorTickMark val="none"/>
        <c:tickLblPos val="none"/>
        <c:spPr>
          <a:ln w="3175">
            <a:solidFill>
              <a:srgbClr val="808080"/>
            </a:solidFill>
          </a:ln>
        </c:spPr>
        <c:txPr>
          <a:bodyPr vert="horz" rot="0"/>
          <a:lstStyle/>
          <a:p>
            <a:pPr>
              <a:defRPr lang="en-US" cap="none" sz="1100" b="0" i="0" u="none" baseline="0">
                <a:solidFill>
                  <a:srgbClr val="000000"/>
                </a:solidFill>
              </a:defRPr>
            </a:pPr>
          </a:p>
        </c:txPr>
        <c:crossAx val="51659995"/>
        <c:crosses val="autoZero"/>
        <c:auto val="0"/>
        <c:lblOffset val="100"/>
        <c:tickLblSkip val="1"/>
        <c:noMultiLvlLbl val="0"/>
      </c:catAx>
      <c:valAx>
        <c:axId val="51659995"/>
        <c:scaling>
          <c:orientation val="minMax"/>
          <c:min val="0"/>
        </c:scaling>
        <c:axPos val="l"/>
        <c:majorGridlines>
          <c:spPr>
            <a:ln w="3175">
              <a:solidFill>
                <a:srgbClr val="000000"/>
              </a:solidFill>
              <a:prstDash val="sysDot"/>
            </a:ln>
          </c:spPr>
        </c:majorGridlines>
        <c:delete val="0"/>
        <c:numFmt formatCode="General" sourceLinked="1"/>
        <c:majorTickMark val="cross"/>
        <c:minorTickMark val="none"/>
        <c:tickLblPos val="none"/>
        <c:spPr>
          <a:ln w="3175">
            <a:solidFill>
              <a:srgbClr val="000000"/>
            </a:solidFill>
          </a:ln>
        </c:spPr>
        <c:crossAx val="50479242"/>
        <c:crossesAt val="1"/>
        <c:crossBetween val="between"/>
        <c:dispUnits/>
        <c:majorUnit val="0.2"/>
        <c:minorUnit val="0.1"/>
      </c:valAx>
      <c:spPr>
        <a:noFill/>
        <a:ln>
          <a:no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1</xdr:row>
      <xdr:rowOff>152400</xdr:rowOff>
    </xdr:from>
    <xdr:to>
      <xdr:col>20</xdr:col>
      <xdr:colOff>533400</xdr:colOff>
      <xdr:row>22</xdr:row>
      <xdr:rowOff>38100</xdr:rowOff>
    </xdr:to>
    <xdr:graphicFrame>
      <xdr:nvGraphicFramePr>
        <xdr:cNvPr id="1" name="Chart 1"/>
        <xdr:cNvGraphicFramePr/>
      </xdr:nvGraphicFramePr>
      <xdr:xfrm>
        <a:off x="11010900" y="314325"/>
        <a:ext cx="6572250" cy="4352925"/>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876300</xdr:colOff>
      <xdr:row>18</xdr:row>
      <xdr:rowOff>19050</xdr:rowOff>
    </xdr:from>
    <xdr:to>
      <xdr:col>10</xdr:col>
      <xdr:colOff>209550</xdr:colOff>
      <xdr:row>46</xdr:row>
      <xdr:rowOff>19050</xdr:rowOff>
    </xdr:to>
    <xdr:graphicFrame>
      <xdr:nvGraphicFramePr>
        <xdr:cNvPr id="2" name="Chart 2"/>
        <xdr:cNvGraphicFramePr/>
      </xdr:nvGraphicFramePr>
      <xdr:xfrm>
        <a:off x="1847850" y="4000500"/>
        <a:ext cx="8277225" cy="4533900"/>
      </xdr:xfrm>
      <a:graphic>
        <a:graphicData uri="http://schemas.openxmlformats.org/drawingml/2006/chart">
          <c:chart xmlns:c="http://schemas.openxmlformats.org/drawingml/2006/chart" r:id="rId2"/>
        </a:graphicData>
      </a:graphic>
    </xdr:graphicFrame>
    <xdr:clientData/>
  </xdr:twoCellAnchor>
  <xdr:twoCellAnchor>
    <xdr:from>
      <xdr:col>11</xdr:col>
      <xdr:colOff>104775</xdr:colOff>
      <xdr:row>23</xdr:row>
      <xdr:rowOff>104775</xdr:rowOff>
    </xdr:from>
    <xdr:to>
      <xdr:col>20</xdr:col>
      <xdr:colOff>247650</xdr:colOff>
      <xdr:row>56</xdr:row>
      <xdr:rowOff>9525</xdr:rowOff>
    </xdr:to>
    <xdr:graphicFrame>
      <xdr:nvGraphicFramePr>
        <xdr:cNvPr id="3" name="Chart 3"/>
        <xdr:cNvGraphicFramePr/>
      </xdr:nvGraphicFramePr>
      <xdr:xfrm>
        <a:off x="10982325" y="4895850"/>
        <a:ext cx="6315075" cy="52482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NT\Temp\Vu%20dau%20thau%20BKHDT\Bang%20phan%20tich%20CAC%20TINH,T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NT\Temp\Vu%20dau%20thau%20BKHDT\Bang%20phan%20tich%20cac%20BO,NGAN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NT\Temp\Vu%20dau%20thau%20BKHDT\Bang%20phan%20tich%20nha%20tai%20t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u cot 1"/>
      <sheetName val="Tru cot 2"/>
      <sheetName val="Tru cot 3"/>
      <sheetName val="Tru cot 4"/>
    </sheetNames>
    <sheetDataSet>
      <sheetData sheetId="0">
        <row r="4">
          <cell r="AK4">
            <v>85</v>
          </cell>
        </row>
        <row r="9">
          <cell r="AK9">
            <v>76</v>
          </cell>
        </row>
        <row r="14">
          <cell r="AK14">
            <v>74</v>
          </cell>
        </row>
        <row r="19">
          <cell r="AK19">
            <v>65</v>
          </cell>
        </row>
        <row r="24">
          <cell r="AK24">
            <v>73</v>
          </cell>
        </row>
        <row r="29">
          <cell r="AK29">
            <v>78</v>
          </cell>
        </row>
        <row r="34">
          <cell r="AK34">
            <v>83</v>
          </cell>
        </row>
        <row r="39">
          <cell r="AK39">
            <v>80</v>
          </cell>
        </row>
        <row r="45">
          <cell r="AK45">
            <v>76</v>
          </cell>
        </row>
        <row r="50">
          <cell r="AK50">
            <v>82</v>
          </cell>
        </row>
        <row r="55">
          <cell r="AK55">
            <v>88</v>
          </cell>
        </row>
        <row r="60">
          <cell r="AK60">
            <v>72</v>
          </cell>
        </row>
        <row r="65">
          <cell r="AK65">
            <v>49</v>
          </cell>
        </row>
        <row r="70">
          <cell r="AK70">
            <v>76</v>
          </cell>
        </row>
      </sheetData>
      <sheetData sheetId="1">
        <row r="4">
          <cell r="AK4">
            <v>74</v>
          </cell>
        </row>
        <row r="9">
          <cell r="AK9">
            <v>52</v>
          </cell>
        </row>
        <row r="14">
          <cell r="AK14">
            <v>64</v>
          </cell>
        </row>
        <row r="19">
          <cell r="AK19">
            <v>47</v>
          </cell>
        </row>
        <row r="25">
          <cell r="AK25">
            <v>87</v>
          </cell>
        </row>
        <row r="30">
          <cell r="AK30">
            <v>83</v>
          </cell>
        </row>
        <row r="35">
          <cell r="AK35">
            <v>75</v>
          </cell>
        </row>
        <row r="40">
          <cell r="AK40">
            <v>90</v>
          </cell>
        </row>
        <row r="44">
          <cell r="AK44">
            <v>88</v>
          </cell>
        </row>
        <row r="49">
          <cell r="AK49">
            <v>55</v>
          </cell>
        </row>
        <row r="54">
          <cell r="AK54">
            <v>70</v>
          </cell>
        </row>
        <row r="59">
          <cell r="AK59">
            <v>46</v>
          </cell>
        </row>
      </sheetData>
      <sheetData sheetId="2">
        <row r="4">
          <cell r="AK4">
            <v>70</v>
          </cell>
        </row>
        <row r="9">
          <cell r="AK9">
            <v>75</v>
          </cell>
        </row>
        <row r="14">
          <cell r="AK14">
            <v>60</v>
          </cell>
        </row>
        <row r="19">
          <cell r="AK19">
            <v>92</v>
          </cell>
        </row>
        <row r="25">
          <cell r="AK25">
            <v>50</v>
          </cell>
        </row>
        <row r="30">
          <cell r="AK30">
            <v>80</v>
          </cell>
        </row>
        <row r="35">
          <cell r="AK35">
            <v>92</v>
          </cell>
        </row>
        <row r="41">
          <cell r="AK41">
            <v>63</v>
          </cell>
        </row>
        <row r="46">
          <cell r="AK46">
            <v>54</v>
          </cell>
        </row>
        <row r="51">
          <cell r="AK51">
            <v>52</v>
          </cell>
        </row>
      </sheetData>
      <sheetData sheetId="3">
        <row r="4">
          <cell r="AL4">
            <v>56</v>
          </cell>
        </row>
        <row r="9">
          <cell r="AL9">
            <v>66</v>
          </cell>
        </row>
        <row r="14">
          <cell r="AL14">
            <v>68</v>
          </cell>
        </row>
        <row r="19">
          <cell r="AL19">
            <v>51</v>
          </cell>
        </row>
        <row r="24">
          <cell r="AL24">
            <v>55</v>
          </cell>
        </row>
        <row r="30">
          <cell r="AL30">
            <v>83</v>
          </cell>
        </row>
        <row r="35">
          <cell r="AL35">
            <v>85</v>
          </cell>
        </row>
        <row r="40">
          <cell r="AL40">
            <v>76</v>
          </cell>
        </row>
        <row r="45">
          <cell r="AL45">
            <v>71</v>
          </cell>
        </row>
        <row r="50">
          <cell r="AL50">
            <v>66</v>
          </cell>
        </row>
        <row r="54">
          <cell r="AL54">
            <v>90</v>
          </cell>
        </row>
        <row r="60">
          <cell r="AL60">
            <v>77</v>
          </cell>
        </row>
        <row r="65">
          <cell r="AL65">
            <v>90</v>
          </cell>
        </row>
        <row r="70">
          <cell r="AL70">
            <v>75</v>
          </cell>
        </row>
        <row r="75">
          <cell r="AL75">
            <v>83</v>
          </cell>
        </row>
        <row r="80">
          <cell r="AL80">
            <v>67</v>
          </cell>
        </row>
        <row r="85">
          <cell r="AL85">
            <v>69</v>
          </cell>
        </row>
        <row r="90">
          <cell r="AL90">
            <v>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u cot 1"/>
      <sheetName val="Tru cot 2"/>
      <sheetName val="Tru cot 3"/>
      <sheetName val="Tru cot 4"/>
    </sheetNames>
    <sheetDataSet>
      <sheetData sheetId="0">
        <row r="4">
          <cell r="U4">
            <v>47</v>
          </cell>
        </row>
        <row r="9">
          <cell r="U9">
            <v>45</v>
          </cell>
        </row>
        <row r="14">
          <cell r="U14">
            <v>44</v>
          </cell>
        </row>
        <row r="19">
          <cell r="U19">
            <v>43</v>
          </cell>
        </row>
        <row r="24">
          <cell r="U24">
            <v>45</v>
          </cell>
        </row>
        <row r="29">
          <cell r="U29">
            <v>49</v>
          </cell>
        </row>
        <row r="34">
          <cell r="U34">
            <v>43</v>
          </cell>
        </row>
        <row r="39">
          <cell r="U39">
            <v>49</v>
          </cell>
        </row>
        <row r="45">
          <cell r="U45">
            <v>37</v>
          </cell>
        </row>
        <row r="50">
          <cell r="U50">
            <v>46</v>
          </cell>
        </row>
        <row r="55">
          <cell r="U55">
            <v>52</v>
          </cell>
        </row>
        <row r="60">
          <cell r="U60">
            <v>40</v>
          </cell>
        </row>
        <row r="65">
          <cell r="U65">
            <v>15</v>
          </cell>
        </row>
        <row r="70">
          <cell r="U70">
            <v>42</v>
          </cell>
        </row>
      </sheetData>
      <sheetData sheetId="1">
        <row r="4">
          <cell r="U4">
            <v>32</v>
          </cell>
        </row>
        <row r="14">
          <cell r="U14">
            <v>35</v>
          </cell>
        </row>
        <row r="19">
          <cell r="U19">
            <v>22</v>
          </cell>
        </row>
        <row r="25">
          <cell r="U25">
            <v>43</v>
          </cell>
        </row>
        <row r="30">
          <cell r="U30">
            <v>44</v>
          </cell>
        </row>
        <row r="35">
          <cell r="U35">
            <v>40</v>
          </cell>
        </row>
        <row r="40">
          <cell r="U40">
            <v>39</v>
          </cell>
        </row>
        <row r="44">
          <cell r="U44">
            <v>47</v>
          </cell>
        </row>
        <row r="49">
          <cell r="U49">
            <v>28</v>
          </cell>
        </row>
        <row r="54">
          <cell r="U54">
            <v>32</v>
          </cell>
        </row>
        <row r="59">
          <cell r="U59">
            <v>29</v>
          </cell>
        </row>
      </sheetData>
      <sheetData sheetId="2">
        <row r="4">
          <cell r="U4">
            <v>42</v>
          </cell>
        </row>
        <row r="9">
          <cell r="U9">
            <v>42</v>
          </cell>
        </row>
        <row r="14">
          <cell r="U14">
            <v>32</v>
          </cell>
        </row>
        <row r="19">
          <cell r="U19">
            <v>49</v>
          </cell>
        </row>
        <row r="25">
          <cell r="U25">
            <v>28</v>
          </cell>
        </row>
        <row r="30">
          <cell r="U30">
            <v>41</v>
          </cell>
        </row>
        <row r="35">
          <cell r="U35">
            <v>48</v>
          </cell>
        </row>
        <row r="41">
          <cell r="U41">
            <v>31</v>
          </cell>
        </row>
        <row r="46">
          <cell r="U46">
            <v>28</v>
          </cell>
        </row>
        <row r="51">
          <cell r="U51">
            <v>34</v>
          </cell>
        </row>
      </sheetData>
      <sheetData sheetId="3">
        <row r="4">
          <cell r="U4">
            <v>30</v>
          </cell>
        </row>
        <row r="9">
          <cell r="U9">
            <v>34</v>
          </cell>
        </row>
        <row r="14">
          <cell r="U14">
            <v>38</v>
          </cell>
        </row>
        <row r="19">
          <cell r="U19">
            <v>32</v>
          </cell>
        </row>
        <row r="24">
          <cell r="U24">
            <v>35</v>
          </cell>
        </row>
        <row r="30">
          <cell r="U30">
            <v>51</v>
          </cell>
        </row>
        <row r="35">
          <cell r="U35">
            <v>44</v>
          </cell>
        </row>
        <row r="40">
          <cell r="U40">
            <v>45</v>
          </cell>
        </row>
        <row r="45">
          <cell r="U45">
            <v>21</v>
          </cell>
        </row>
        <row r="50">
          <cell r="U50">
            <v>35</v>
          </cell>
        </row>
        <row r="54">
          <cell r="U54">
            <v>46</v>
          </cell>
        </row>
        <row r="60">
          <cell r="U60">
            <v>36</v>
          </cell>
        </row>
        <row r="65">
          <cell r="U65">
            <v>41</v>
          </cell>
        </row>
        <row r="70">
          <cell r="U70">
            <v>38</v>
          </cell>
        </row>
        <row r="75">
          <cell r="U75">
            <v>40</v>
          </cell>
        </row>
        <row r="80">
          <cell r="U80">
            <v>33</v>
          </cell>
        </row>
        <row r="85">
          <cell r="U85">
            <v>35</v>
          </cell>
        </row>
        <row r="90">
          <cell r="U90">
            <v>41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ru cot 1"/>
      <sheetName val="Tru cot 2"/>
      <sheetName val="Tru cot 3"/>
      <sheetName val="Tru cot 4"/>
    </sheetNames>
    <sheetDataSet>
      <sheetData sheetId="0">
        <row r="4">
          <cell r="F4">
            <v>6</v>
          </cell>
        </row>
        <row r="9">
          <cell r="F9">
            <v>5</v>
          </cell>
        </row>
        <row r="14">
          <cell r="F14">
            <v>4</v>
          </cell>
        </row>
        <row r="19">
          <cell r="F19">
            <v>3</v>
          </cell>
        </row>
        <row r="24">
          <cell r="F24">
            <v>5</v>
          </cell>
        </row>
        <row r="29">
          <cell r="F29">
            <v>6</v>
          </cell>
        </row>
        <row r="34">
          <cell r="F34">
            <v>4</v>
          </cell>
        </row>
        <row r="39">
          <cell r="F39">
            <v>3</v>
          </cell>
        </row>
        <row r="45">
          <cell r="F45">
            <v>3</v>
          </cell>
        </row>
        <row r="50">
          <cell r="F50">
            <v>5</v>
          </cell>
        </row>
        <row r="55">
          <cell r="F55">
            <v>6</v>
          </cell>
        </row>
        <row r="60">
          <cell r="F60">
            <v>5</v>
          </cell>
        </row>
        <row r="65">
          <cell r="F65">
            <v>1</v>
          </cell>
        </row>
        <row r="70">
          <cell r="F70">
            <v>5</v>
          </cell>
        </row>
      </sheetData>
      <sheetData sheetId="1">
        <row r="4">
          <cell r="F4">
            <v>1</v>
          </cell>
        </row>
        <row r="9">
          <cell r="F9">
            <v>1</v>
          </cell>
        </row>
        <row r="14">
          <cell r="F14">
            <v>1</v>
          </cell>
        </row>
        <row r="19">
          <cell r="F19">
            <v>0</v>
          </cell>
        </row>
        <row r="25">
          <cell r="F25">
            <v>2</v>
          </cell>
        </row>
        <row r="30">
          <cell r="F30">
            <v>2</v>
          </cell>
        </row>
        <row r="35">
          <cell r="F35">
            <v>2</v>
          </cell>
        </row>
        <row r="40">
          <cell r="F40">
            <v>3</v>
          </cell>
        </row>
        <row r="44">
          <cell r="F44">
            <v>3</v>
          </cell>
        </row>
        <row r="49">
          <cell r="F49">
            <v>2</v>
          </cell>
        </row>
        <row r="54">
          <cell r="F54">
            <v>2</v>
          </cell>
        </row>
        <row r="59">
          <cell r="F59">
            <v>2</v>
          </cell>
        </row>
      </sheetData>
      <sheetData sheetId="2">
        <row r="4">
          <cell r="F4">
            <v>0</v>
          </cell>
        </row>
        <row r="9">
          <cell r="F9">
            <v>0</v>
          </cell>
        </row>
        <row r="14">
          <cell r="F14">
            <v>3</v>
          </cell>
        </row>
        <row r="19">
          <cell r="F19">
            <v>4</v>
          </cell>
        </row>
        <row r="25">
          <cell r="F25">
            <v>0</v>
          </cell>
        </row>
        <row r="30">
          <cell r="F30">
            <v>1</v>
          </cell>
        </row>
        <row r="35">
          <cell r="F35">
            <v>0</v>
          </cell>
        </row>
        <row r="41">
          <cell r="F41">
            <v>3</v>
          </cell>
        </row>
        <row r="46">
          <cell r="F46">
            <v>1</v>
          </cell>
        </row>
        <row r="51">
          <cell r="F51">
            <v>2</v>
          </cell>
        </row>
      </sheetData>
      <sheetData sheetId="3">
        <row r="4">
          <cell r="G4">
            <v>1</v>
          </cell>
        </row>
        <row r="9">
          <cell r="G9">
            <v>0</v>
          </cell>
        </row>
        <row r="14">
          <cell r="G14">
            <v>2</v>
          </cell>
        </row>
        <row r="19">
          <cell r="G19">
            <v>0</v>
          </cell>
        </row>
        <row r="24">
          <cell r="G24">
            <v>0</v>
          </cell>
        </row>
        <row r="30">
          <cell r="G30">
            <v>1</v>
          </cell>
        </row>
        <row r="35">
          <cell r="G35">
            <v>2</v>
          </cell>
        </row>
        <row r="40">
          <cell r="G40">
            <v>1</v>
          </cell>
        </row>
        <row r="45">
          <cell r="G45">
            <v>2</v>
          </cell>
        </row>
        <row r="50">
          <cell r="G50">
            <v>0</v>
          </cell>
        </row>
        <row r="54">
          <cell r="G54">
            <v>3</v>
          </cell>
        </row>
        <row r="60">
          <cell r="G60">
            <v>1</v>
          </cell>
        </row>
        <row r="65">
          <cell r="F65">
            <v>1</v>
          </cell>
        </row>
        <row r="70">
          <cell r="F70">
            <v>1</v>
          </cell>
        </row>
        <row r="75">
          <cell r="F75">
            <v>2</v>
          </cell>
        </row>
        <row r="80">
          <cell r="F80">
            <v>0</v>
          </cell>
        </row>
        <row r="85">
          <cell r="F85">
            <v>0</v>
          </cell>
        </row>
        <row r="90">
          <cell r="F9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92"/>
  <sheetViews>
    <sheetView zoomScalePageLayoutView="0" workbookViewId="0" topLeftCell="M1">
      <selection activeCell="A1" sqref="A1:T16384"/>
    </sheetView>
  </sheetViews>
  <sheetFormatPr defaultColWidth="9.00390625" defaultRowHeight="12.75"/>
  <cols>
    <col min="1" max="1" width="9.125" style="7" customWidth="1"/>
    <col min="2" max="2" width="9.125" style="7" hidden="1" customWidth="1"/>
    <col min="3" max="8" width="9.125" style="7" customWidth="1"/>
    <col min="9" max="9" width="65.375" style="7" customWidth="1"/>
    <col min="10" max="10" width="9.125" style="36" customWidth="1"/>
    <col min="11" max="11" width="0" style="8" hidden="1" customWidth="1"/>
    <col min="12" max="12" width="9.125" style="37" customWidth="1"/>
    <col min="13" max="13" width="9.125" style="7" customWidth="1"/>
    <col min="14" max="14" width="9.75390625" style="7" customWidth="1"/>
    <col min="15" max="15" width="9.125" style="7" customWidth="1"/>
    <col min="16" max="16" width="9.625" style="86" hidden="1" customWidth="1"/>
    <col min="17" max="17" width="9.625" style="86" customWidth="1"/>
    <col min="18" max="18" width="9.125" style="87" customWidth="1"/>
    <col min="19" max="19" width="8.125" style="7" customWidth="1"/>
    <col min="20" max="20" width="9.125" style="108" customWidth="1"/>
    <col min="21" max="16384" width="9.125" style="7" customWidth="1"/>
  </cols>
  <sheetData>
    <row r="1" ht="20.25">
      <c r="C1" s="113" t="s">
        <v>132</v>
      </c>
    </row>
    <row r="2" ht="15.75" thickBot="1"/>
    <row r="3" spans="1:20" s="43" customFormat="1" ht="32.25" customHeight="1">
      <c r="A3" s="136" t="s">
        <v>131</v>
      </c>
      <c r="B3" s="137"/>
      <c r="C3" s="137"/>
      <c r="D3" s="137"/>
      <c r="E3" s="137"/>
      <c r="F3" s="137"/>
      <c r="G3" s="137"/>
      <c r="H3" s="137"/>
      <c r="I3" s="137"/>
      <c r="J3" s="134" t="s">
        <v>129</v>
      </c>
      <c r="K3" s="80"/>
      <c r="L3" s="127" t="s">
        <v>130</v>
      </c>
      <c r="M3" s="128"/>
      <c r="N3" s="128"/>
      <c r="O3" s="128"/>
      <c r="P3" s="128"/>
      <c r="Q3" s="128"/>
      <c r="R3" s="128"/>
      <c r="S3" s="128"/>
      <c r="T3" s="129"/>
    </row>
    <row r="4" spans="1:20" s="43" customFormat="1" ht="19.5" customHeight="1">
      <c r="A4" s="138"/>
      <c r="B4" s="139"/>
      <c r="C4" s="139"/>
      <c r="D4" s="139"/>
      <c r="E4" s="139"/>
      <c r="F4" s="139"/>
      <c r="G4" s="139"/>
      <c r="H4" s="139"/>
      <c r="I4" s="139"/>
      <c r="J4" s="135"/>
      <c r="K4" s="48" t="s">
        <v>1</v>
      </c>
      <c r="L4" s="140">
        <v>2006</v>
      </c>
      <c r="M4" s="141"/>
      <c r="N4" s="141"/>
      <c r="O4" s="142"/>
      <c r="P4" s="114"/>
      <c r="Q4" s="124">
        <v>2008</v>
      </c>
      <c r="R4" s="125"/>
      <c r="S4" s="125"/>
      <c r="T4" s="126"/>
    </row>
    <row r="5" spans="1:20" s="40" customFormat="1" ht="24.75" customHeight="1">
      <c r="A5" s="130" t="s">
        <v>59</v>
      </c>
      <c r="B5" s="131"/>
      <c r="C5" s="131"/>
      <c r="D5" s="131"/>
      <c r="E5" s="131"/>
      <c r="F5" s="131"/>
      <c r="G5" s="131"/>
      <c r="H5" s="131"/>
      <c r="I5" s="132"/>
      <c r="J5" s="50"/>
      <c r="K5" s="51"/>
      <c r="L5" s="52"/>
      <c r="M5" s="53"/>
      <c r="N5" s="89">
        <f>N6+N15</f>
        <v>0.6795794711538461</v>
      </c>
      <c r="O5" s="75" t="s">
        <v>0</v>
      </c>
      <c r="P5" s="90"/>
      <c r="Q5" s="90"/>
      <c r="R5" s="49"/>
      <c r="S5" s="89">
        <f>SUM(R6:R15)/2</f>
        <v>0.7380050505050505</v>
      </c>
      <c r="T5" s="91" t="s">
        <v>2</v>
      </c>
    </row>
    <row r="6" spans="1:20" s="40" customFormat="1" ht="30.75" customHeight="1">
      <c r="A6" s="116"/>
      <c r="B6" s="133" t="s">
        <v>60</v>
      </c>
      <c r="C6" s="133"/>
      <c r="D6" s="133"/>
      <c r="E6" s="133"/>
      <c r="F6" s="133"/>
      <c r="G6" s="133"/>
      <c r="H6" s="133"/>
      <c r="I6" s="133"/>
      <c r="J6" s="56"/>
      <c r="K6" s="57"/>
      <c r="L6" s="58"/>
      <c r="M6" s="59">
        <f>SUM(M7:M14)</f>
        <v>0.7470406730769229</v>
      </c>
      <c r="N6" s="60">
        <f>M6/2</f>
        <v>0.37352033653846145</v>
      </c>
      <c r="O6" s="54"/>
      <c r="P6" s="82"/>
      <c r="Q6" s="82"/>
      <c r="R6" s="83">
        <f>SUM(Q7:Q14)/24</f>
        <v>0.7689393939393939</v>
      </c>
      <c r="S6" s="54"/>
      <c r="T6" s="100" t="s">
        <v>2</v>
      </c>
    </row>
    <row r="7" spans="1:20" s="40" customFormat="1" ht="16.5" customHeight="1">
      <c r="A7" s="118"/>
      <c r="B7" s="115"/>
      <c r="C7" s="61" t="s">
        <v>3</v>
      </c>
      <c r="D7" s="123" t="s">
        <v>61</v>
      </c>
      <c r="E7" s="123"/>
      <c r="F7" s="123"/>
      <c r="G7" s="123"/>
      <c r="H7" s="123"/>
      <c r="I7" s="123"/>
      <c r="J7" s="56">
        <v>3</v>
      </c>
      <c r="K7" s="62">
        <f>(11+13+12)/13/3</f>
        <v>0.923076923076923</v>
      </c>
      <c r="L7" s="101">
        <f>3*K7</f>
        <v>2.769230769230769</v>
      </c>
      <c r="M7" s="63">
        <f>L7*0.3333/8</f>
        <v>0.11537307692307691</v>
      </c>
      <c r="N7" s="64"/>
      <c r="O7" s="54"/>
      <c r="P7" s="103">
        <f>('[1]Tru cot 1'!$AK$4+'[2]Tru cot 1'!$U$4+'[3]Tru cot 1'!$F$4)/55</f>
        <v>2.5090909090909093</v>
      </c>
      <c r="Q7" s="103">
        <v>2.5090909090909093</v>
      </c>
      <c r="R7" s="55"/>
      <c r="S7" s="54"/>
      <c r="T7" s="100"/>
    </row>
    <row r="8" spans="1:20" s="40" customFormat="1" ht="16.5" customHeight="1">
      <c r="A8" s="119"/>
      <c r="B8" s="115"/>
      <c r="C8" s="61" t="s">
        <v>4</v>
      </c>
      <c r="D8" s="123" t="s">
        <v>62</v>
      </c>
      <c r="E8" s="123"/>
      <c r="F8" s="123"/>
      <c r="G8" s="123"/>
      <c r="H8" s="123"/>
      <c r="I8" s="123"/>
      <c r="J8" s="56">
        <v>3</v>
      </c>
      <c r="K8" s="62">
        <f>(13+13+11+9)/13/4</f>
        <v>0.8846153846153846</v>
      </c>
      <c r="L8" s="101">
        <f aca="true" t="shared" si="0" ref="L8:L14">3*K8</f>
        <v>2.6538461538461537</v>
      </c>
      <c r="M8" s="63">
        <f aca="true" t="shared" si="1" ref="M8:M14">L8*0.3333/8</f>
        <v>0.11056586538461538</v>
      </c>
      <c r="N8" s="64"/>
      <c r="O8" s="54"/>
      <c r="P8" s="103">
        <f>('[1]Tru cot 1'!$AK$9+'[2]Tru cot 1'!$U$9+'[3]Tru cot 1'!$F$9)/55</f>
        <v>2.290909090909091</v>
      </c>
      <c r="Q8" s="103">
        <v>2.290909090909091</v>
      </c>
      <c r="R8" s="55"/>
      <c r="S8" s="54"/>
      <c r="T8" s="100"/>
    </row>
    <row r="9" spans="1:20" s="40" customFormat="1" ht="16.5" customHeight="1">
      <c r="A9" s="119"/>
      <c r="B9" s="115"/>
      <c r="C9" s="61" t="s">
        <v>5</v>
      </c>
      <c r="D9" s="123" t="s">
        <v>63</v>
      </c>
      <c r="E9" s="123"/>
      <c r="F9" s="123"/>
      <c r="G9" s="123"/>
      <c r="H9" s="123"/>
      <c r="I9" s="123"/>
      <c r="J9" s="56">
        <v>3</v>
      </c>
      <c r="K9" s="62">
        <f>(13+11+11+9)/13/5</f>
        <v>0.676923076923077</v>
      </c>
      <c r="L9" s="101">
        <f t="shared" si="0"/>
        <v>2.0307692307692307</v>
      </c>
      <c r="M9" s="63">
        <f t="shared" si="1"/>
        <v>0.08460692307692307</v>
      </c>
      <c r="N9" s="64"/>
      <c r="O9" s="54"/>
      <c r="P9" s="103">
        <f>('[1]Tru cot 1'!$AK$14+'[2]Tru cot 1'!$U$14+'[3]Tru cot 1'!$F$14)/55</f>
        <v>2.2181818181818183</v>
      </c>
      <c r="Q9" s="103">
        <v>2.2181818181818183</v>
      </c>
      <c r="R9" s="55"/>
      <c r="S9" s="54"/>
      <c r="T9" s="100"/>
    </row>
    <row r="10" spans="1:20" s="40" customFormat="1" ht="16.5" customHeight="1">
      <c r="A10" s="119"/>
      <c r="B10" s="115"/>
      <c r="C10" s="61" t="s">
        <v>6</v>
      </c>
      <c r="D10" s="123" t="s">
        <v>64</v>
      </c>
      <c r="E10" s="123"/>
      <c r="F10" s="123"/>
      <c r="G10" s="123"/>
      <c r="H10" s="123"/>
      <c r="I10" s="123"/>
      <c r="J10" s="56">
        <v>3</v>
      </c>
      <c r="K10" s="62">
        <f>(7+12+10+11)/13/5</f>
        <v>0.6153846153846154</v>
      </c>
      <c r="L10" s="101">
        <f t="shared" si="0"/>
        <v>1.8461538461538463</v>
      </c>
      <c r="M10" s="63">
        <f t="shared" si="1"/>
        <v>0.07691538461538462</v>
      </c>
      <c r="N10" s="64"/>
      <c r="O10" s="54"/>
      <c r="P10" s="103">
        <f>('[1]Tru cot 1'!$AK$19+'[2]Tru cot 1'!$U$19+'[3]Tru cot 1'!$F$19)/55</f>
        <v>2.018181818181818</v>
      </c>
      <c r="Q10" s="103">
        <v>2.018181818181818</v>
      </c>
      <c r="R10" s="55"/>
      <c r="S10" s="54"/>
      <c r="T10" s="100"/>
    </row>
    <row r="11" spans="1:20" s="40" customFormat="1" ht="16.5" customHeight="1">
      <c r="A11" s="119"/>
      <c r="B11" s="115"/>
      <c r="C11" s="61" t="s">
        <v>7</v>
      </c>
      <c r="D11" s="123" t="s">
        <v>65</v>
      </c>
      <c r="E11" s="123"/>
      <c r="F11" s="123"/>
      <c r="G11" s="123"/>
      <c r="H11" s="123"/>
      <c r="I11" s="123"/>
      <c r="J11" s="56">
        <v>3</v>
      </c>
      <c r="K11" s="62">
        <f>(11+8+11)/13/3</f>
        <v>0.7692307692307692</v>
      </c>
      <c r="L11" s="101">
        <f t="shared" si="0"/>
        <v>2.3076923076923075</v>
      </c>
      <c r="M11" s="63">
        <f t="shared" si="1"/>
        <v>0.09614423076923076</v>
      </c>
      <c r="N11" s="64"/>
      <c r="O11" s="54"/>
      <c r="P11" s="103">
        <f>('[1]Tru cot 1'!$AK$24+'[2]Tru cot 1'!$U$24+'[3]Tru cot 1'!$F$24)/55</f>
        <v>2.2363636363636363</v>
      </c>
      <c r="Q11" s="103">
        <v>2.2363636363636363</v>
      </c>
      <c r="R11" s="55"/>
      <c r="S11" s="54"/>
      <c r="T11" s="100"/>
    </row>
    <row r="12" spans="1:20" s="40" customFormat="1" ht="16.5" customHeight="1">
      <c r="A12" s="119"/>
      <c r="B12" s="115"/>
      <c r="C12" s="61" t="s">
        <v>8</v>
      </c>
      <c r="D12" s="123" t="s">
        <v>66</v>
      </c>
      <c r="E12" s="123"/>
      <c r="F12" s="123"/>
      <c r="G12" s="123"/>
      <c r="H12" s="123"/>
      <c r="I12" s="123"/>
      <c r="J12" s="56">
        <v>3</v>
      </c>
      <c r="K12" s="62">
        <f>(12+10+10+13)/13/5</f>
        <v>0.6923076923076923</v>
      </c>
      <c r="L12" s="101">
        <f t="shared" si="0"/>
        <v>2.0769230769230766</v>
      </c>
      <c r="M12" s="63">
        <f t="shared" si="1"/>
        <v>0.08652980769230768</v>
      </c>
      <c r="N12" s="64"/>
      <c r="O12" s="54"/>
      <c r="P12" s="103">
        <f>('[1]Tru cot 1'!$AK$29+'[2]Tru cot 1'!$U$29+'[3]Tru cot 1'!$F$29)/55</f>
        <v>2.418181818181818</v>
      </c>
      <c r="Q12" s="103">
        <v>2.418181818181818</v>
      </c>
      <c r="R12" s="55"/>
      <c r="S12" s="54"/>
      <c r="T12" s="100"/>
    </row>
    <row r="13" spans="1:20" s="40" customFormat="1" ht="16.5" customHeight="1">
      <c r="A13" s="119"/>
      <c r="B13" s="115"/>
      <c r="C13" s="61" t="s">
        <v>9</v>
      </c>
      <c r="D13" s="123" t="s">
        <v>67</v>
      </c>
      <c r="E13" s="123"/>
      <c r="F13" s="123"/>
      <c r="G13" s="123"/>
      <c r="H13" s="123"/>
      <c r="I13" s="123"/>
      <c r="J13" s="56">
        <v>3</v>
      </c>
      <c r="K13" s="62">
        <f>(13+11+10+13)/13/5</f>
        <v>0.7230769230769231</v>
      </c>
      <c r="L13" s="101">
        <f t="shared" si="0"/>
        <v>2.169230769230769</v>
      </c>
      <c r="M13" s="63">
        <f t="shared" si="1"/>
        <v>0.0903755769230769</v>
      </c>
      <c r="N13" s="64"/>
      <c r="O13" s="54"/>
      <c r="P13" s="103">
        <f>('[1]Tru cot 1'!$AK$34+'[2]Tru cot 1'!$U$34+'[3]Tru cot 1'!$F$34)/55</f>
        <v>2.3636363636363638</v>
      </c>
      <c r="Q13" s="103">
        <v>2.3636363636363638</v>
      </c>
      <c r="R13" s="55"/>
      <c r="S13" s="54"/>
      <c r="T13" s="100"/>
    </row>
    <row r="14" spans="1:20" s="40" customFormat="1" ht="16.5" customHeight="1">
      <c r="A14" s="120"/>
      <c r="B14" s="115"/>
      <c r="C14" s="61" t="s">
        <v>10</v>
      </c>
      <c r="D14" s="123" t="s">
        <v>68</v>
      </c>
      <c r="E14" s="123"/>
      <c r="F14" s="123"/>
      <c r="G14" s="123"/>
      <c r="H14" s="123"/>
      <c r="I14" s="123"/>
      <c r="J14" s="56">
        <v>3</v>
      </c>
      <c r="K14" s="62">
        <f>(13+9+10+13)/13/5</f>
        <v>0.6923076923076923</v>
      </c>
      <c r="L14" s="101">
        <f t="shared" si="0"/>
        <v>2.0769230769230766</v>
      </c>
      <c r="M14" s="63">
        <f t="shared" si="1"/>
        <v>0.08652980769230768</v>
      </c>
      <c r="N14" s="64"/>
      <c r="O14" s="54"/>
      <c r="P14" s="103">
        <f>('[1]Tru cot 1'!$AK$39+'[2]Tru cot 1'!$U$39+'[3]Tru cot 1'!$F$39)/55</f>
        <v>2.4</v>
      </c>
      <c r="Q14" s="103">
        <v>2.4</v>
      </c>
      <c r="R14" s="55"/>
      <c r="S14" s="54"/>
      <c r="T14" s="100"/>
    </row>
    <row r="15" spans="1:20" s="40" customFormat="1" ht="21" customHeight="1">
      <c r="A15" s="121"/>
      <c r="B15" s="133" t="s">
        <v>69</v>
      </c>
      <c r="C15" s="133"/>
      <c r="D15" s="150"/>
      <c r="E15" s="150"/>
      <c r="F15" s="150"/>
      <c r="G15" s="150"/>
      <c r="H15" s="150"/>
      <c r="I15" s="150"/>
      <c r="J15" s="65"/>
      <c r="K15" s="66"/>
      <c r="L15" s="67"/>
      <c r="M15" s="59">
        <f>SUM(M16:M21)</f>
        <v>0.6121182692307693</v>
      </c>
      <c r="N15" s="60">
        <f>M15/2</f>
        <v>0.30605913461538464</v>
      </c>
      <c r="O15" s="54"/>
      <c r="P15" s="82"/>
      <c r="Q15" s="82"/>
      <c r="R15" s="83">
        <f>SUM(Q16:Q21)/18</f>
        <v>0.7070707070707071</v>
      </c>
      <c r="S15" s="54"/>
      <c r="T15" s="100" t="s">
        <v>2</v>
      </c>
    </row>
    <row r="16" spans="1:20" s="40" customFormat="1" ht="16.5" customHeight="1">
      <c r="A16" s="118"/>
      <c r="B16" s="115"/>
      <c r="C16" s="61" t="s">
        <v>11</v>
      </c>
      <c r="D16" s="123" t="s">
        <v>70</v>
      </c>
      <c r="E16" s="123"/>
      <c r="F16" s="123"/>
      <c r="G16" s="123"/>
      <c r="H16" s="123"/>
      <c r="I16" s="123"/>
      <c r="J16" s="56">
        <v>3</v>
      </c>
      <c r="K16" s="62">
        <f>(10+8+7)/13/3</f>
        <v>0.6410256410256411</v>
      </c>
      <c r="L16" s="103">
        <f aca="true" t="shared" si="2" ref="L16:L21">3*K16</f>
        <v>1.9230769230769234</v>
      </c>
      <c r="M16" s="60">
        <f aca="true" t="shared" si="3" ref="M16:M21">L16*0.3333/6</f>
        <v>0.10682692307692308</v>
      </c>
      <c r="N16" s="68"/>
      <c r="O16" s="54"/>
      <c r="P16" s="103">
        <f>('[1]Tru cot 1'!$AK$45+'[2]Tru cot 1'!$U$45+'[3]Tru cot 1'!$F$45)/55</f>
        <v>2.109090909090909</v>
      </c>
      <c r="Q16" s="103">
        <v>2.109090909090909</v>
      </c>
      <c r="R16" s="55"/>
      <c r="S16" s="54"/>
      <c r="T16" s="100"/>
    </row>
    <row r="17" spans="1:20" s="40" customFormat="1" ht="16.5" customHeight="1">
      <c r="A17" s="119"/>
      <c r="B17" s="115"/>
      <c r="C17" s="61" t="s">
        <v>12</v>
      </c>
      <c r="D17" s="123" t="s">
        <v>71</v>
      </c>
      <c r="E17" s="123"/>
      <c r="F17" s="123"/>
      <c r="G17" s="123"/>
      <c r="H17" s="123"/>
      <c r="I17" s="123"/>
      <c r="J17" s="56">
        <v>3</v>
      </c>
      <c r="K17" s="62">
        <f>(6+7+5)/13/3</f>
        <v>0.4615384615384615</v>
      </c>
      <c r="L17" s="103">
        <f t="shared" si="2"/>
        <v>1.3846153846153846</v>
      </c>
      <c r="M17" s="60">
        <f t="shared" si="3"/>
        <v>0.07691538461538461</v>
      </c>
      <c r="N17" s="68"/>
      <c r="O17" s="54"/>
      <c r="P17" s="103">
        <f>('[1]Tru cot 1'!$AK$50+'[2]Tru cot 1'!$U$50+'[3]Tru cot 1'!$F$50)/55</f>
        <v>2.418181818181818</v>
      </c>
      <c r="Q17" s="103">
        <v>2.418181818181818</v>
      </c>
      <c r="R17" s="55"/>
      <c r="S17" s="54"/>
      <c r="T17" s="100"/>
    </row>
    <row r="18" spans="1:20" s="40" customFormat="1" ht="16.5" customHeight="1">
      <c r="A18" s="119"/>
      <c r="B18" s="115"/>
      <c r="C18" s="61" t="s">
        <v>13</v>
      </c>
      <c r="D18" s="123" t="s">
        <v>72</v>
      </c>
      <c r="E18" s="123"/>
      <c r="F18" s="123"/>
      <c r="G18" s="123"/>
      <c r="H18" s="123"/>
      <c r="I18" s="123"/>
      <c r="J18" s="56">
        <v>3</v>
      </c>
      <c r="K18" s="62">
        <f>(11+13+13)/13/3</f>
        <v>0.9487179487179488</v>
      </c>
      <c r="L18" s="103">
        <f t="shared" si="2"/>
        <v>2.8461538461538463</v>
      </c>
      <c r="M18" s="60">
        <f t="shared" si="3"/>
        <v>0.15810384615384615</v>
      </c>
      <c r="N18" s="68"/>
      <c r="O18" s="54"/>
      <c r="P18" s="103">
        <f>('[1]Tru cot 1'!$AK$55+'[2]Tru cot 1'!$U$55+'[3]Tru cot 1'!$F$55)/55</f>
        <v>2.6545454545454548</v>
      </c>
      <c r="Q18" s="103">
        <v>2.6545454545454548</v>
      </c>
      <c r="R18" s="55"/>
      <c r="S18" s="54"/>
      <c r="T18" s="100"/>
    </row>
    <row r="19" spans="1:20" s="40" customFormat="1" ht="32.25" customHeight="1">
      <c r="A19" s="119"/>
      <c r="B19" s="115"/>
      <c r="C19" s="61" t="s">
        <v>14</v>
      </c>
      <c r="D19" s="123" t="s">
        <v>73</v>
      </c>
      <c r="E19" s="123"/>
      <c r="F19" s="123"/>
      <c r="G19" s="123"/>
      <c r="H19" s="123"/>
      <c r="I19" s="123"/>
      <c r="J19" s="56">
        <v>3</v>
      </c>
      <c r="K19" s="62">
        <f>(10+11)/13/2</f>
        <v>0.8076923076923077</v>
      </c>
      <c r="L19" s="103">
        <f t="shared" si="2"/>
        <v>2.4230769230769234</v>
      </c>
      <c r="M19" s="60">
        <f t="shared" si="3"/>
        <v>0.1346019230769231</v>
      </c>
      <c r="N19" s="68"/>
      <c r="O19" s="54"/>
      <c r="P19" s="103">
        <f>('[1]Tru cot 1'!$AK$60+'[2]Tru cot 1'!$U$60+'[3]Tru cot 1'!$F$60)/55</f>
        <v>2.1272727272727274</v>
      </c>
      <c r="Q19" s="103">
        <v>2.1272727272727274</v>
      </c>
      <c r="R19" s="55"/>
      <c r="S19" s="54"/>
      <c r="T19" s="100"/>
    </row>
    <row r="20" spans="1:20" s="40" customFormat="1" ht="16.5" customHeight="1">
      <c r="A20" s="119"/>
      <c r="B20" s="115"/>
      <c r="C20" s="61" t="s">
        <v>15</v>
      </c>
      <c r="D20" s="123" t="s">
        <v>74</v>
      </c>
      <c r="E20" s="123"/>
      <c r="F20" s="123"/>
      <c r="G20" s="123"/>
      <c r="H20" s="123"/>
      <c r="I20" s="123"/>
      <c r="J20" s="56">
        <v>3</v>
      </c>
      <c r="K20" s="62">
        <f>(2*3+2*2+9*1)/13/3</f>
        <v>0.48717948717948717</v>
      </c>
      <c r="L20" s="103">
        <f t="shared" si="2"/>
        <v>1.4615384615384615</v>
      </c>
      <c r="M20" s="60">
        <f t="shared" si="3"/>
        <v>0.08118846153846153</v>
      </c>
      <c r="N20" s="68"/>
      <c r="O20" s="54"/>
      <c r="P20" s="103">
        <f>('[1]Tru cot 1'!$AK$65+'[2]Tru cot 1'!$U$65+'[3]Tru cot 1'!$F$65)/55</f>
        <v>1.1818181818181819</v>
      </c>
      <c r="Q20" s="103">
        <v>1.1818181818181819</v>
      </c>
      <c r="R20" s="55"/>
      <c r="S20" s="54"/>
      <c r="T20" s="100"/>
    </row>
    <row r="21" spans="1:20" s="40" customFormat="1" ht="32.25" customHeight="1">
      <c r="A21" s="120"/>
      <c r="B21" s="115"/>
      <c r="C21" s="61" t="s">
        <v>16</v>
      </c>
      <c r="D21" s="143" t="s">
        <v>75</v>
      </c>
      <c r="E21" s="143"/>
      <c r="F21" s="143"/>
      <c r="G21" s="143"/>
      <c r="H21" s="143"/>
      <c r="I21" s="143"/>
      <c r="J21" s="56">
        <v>3</v>
      </c>
      <c r="K21" s="62">
        <f>(4*3+2*2+1*1+1*0)/13/4</f>
        <v>0.3269230769230769</v>
      </c>
      <c r="L21" s="103">
        <f t="shared" si="2"/>
        <v>0.9807692307692308</v>
      </c>
      <c r="M21" s="60">
        <f t="shared" si="3"/>
        <v>0.05448173076923077</v>
      </c>
      <c r="N21" s="68"/>
      <c r="O21" s="54"/>
      <c r="P21" s="103">
        <f>('[1]Tru cot 1'!$AK$70+'[2]Tru cot 1'!$U$70+'[3]Tru cot 1'!$F$70)/55</f>
        <v>2.2363636363636363</v>
      </c>
      <c r="Q21" s="103">
        <v>2.2363636363636363</v>
      </c>
      <c r="R21" s="55"/>
      <c r="S21" s="54"/>
      <c r="T21" s="100"/>
    </row>
    <row r="22" spans="1:20" s="40" customFormat="1" ht="11.25" customHeight="1">
      <c r="A22" s="144"/>
      <c r="B22" s="145"/>
      <c r="C22" s="145"/>
      <c r="D22" s="145"/>
      <c r="E22" s="145"/>
      <c r="F22" s="145"/>
      <c r="G22" s="145"/>
      <c r="H22" s="145"/>
      <c r="I22" s="145"/>
      <c r="J22" s="145"/>
      <c r="K22" s="145"/>
      <c r="L22" s="145"/>
      <c r="M22" s="145"/>
      <c r="N22" s="145"/>
      <c r="O22" s="145"/>
      <c r="P22" s="145"/>
      <c r="Q22" s="145"/>
      <c r="R22" s="145"/>
      <c r="S22" s="145"/>
      <c r="T22" s="146"/>
    </row>
    <row r="23" spans="1:20" s="44" customFormat="1" ht="24.75" customHeight="1">
      <c r="A23" s="147" t="s">
        <v>76</v>
      </c>
      <c r="B23" s="148"/>
      <c r="C23" s="148"/>
      <c r="D23" s="148"/>
      <c r="E23" s="148"/>
      <c r="F23" s="148"/>
      <c r="G23" s="148"/>
      <c r="H23" s="148"/>
      <c r="I23" s="148"/>
      <c r="J23" s="70"/>
      <c r="K23" s="71"/>
      <c r="L23" s="72"/>
      <c r="M23" s="73"/>
      <c r="N23" s="74">
        <f>N24+N29+N39</f>
        <v>0.5699536210317461</v>
      </c>
      <c r="O23" s="75" t="s">
        <v>0</v>
      </c>
      <c r="P23" s="88"/>
      <c r="Q23" s="88"/>
      <c r="R23" s="47"/>
      <c r="S23" s="74">
        <f>SUM(R24:R39)/3</f>
        <v>0.643939393939394</v>
      </c>
      <c r="T23" s="75" t="s">
        <v>0</v>
      </c>
    </row>
    <row r="24" spans="1:20" s="40" customFormat="1" ht="21" customHeight="1">
      <c r="A24" s="116"/>
      <c r="B24" s="133" t="s">
        <v>77</v>
      </c>
      <c r="C24" s="133"/>
      <c r="D24" s="133"/>
      <c r="E24" s="133"/>
      <c r="F24" s="133"/>
      <c r="G24" s="133"/>
      <c r="H24" s="133"/>
      <c r="I24" s="133"/>
      <c r="J24" s="56"/>
      <c r="K24" s="62"/>
      <c r="L24" s="58"/>
      <c r="M24" s="59">
        <f>SUM(M25:M28)</f>
        <v>0.449570238095238</v>
      </c>
      <c r="N24" s="60">
        <f>M24/3</f>
        <v>0.149856746031746</v>
      </c>
      <c r="O24" s="54"/>
      <c r="P24" s="82"/>
      <c r="Q24" s="82"/>
      <c r="R24" s="83">
        <f>SUM(Q25:Q28)/12</f>
        <v>0.546969696969697</v>
      </c>
      <c r="S24" s="54"/>
      <c r="T24" s="100" t="s">
        <v>0</v>
      </c>
    </row>
    <row r="25" spans="1:20" s="40" customFormat="1" ht="28.5" customHeight="1">
      <c r="A25" s="118"/>
      <c r="B25" s="115"/>
      <c r="C25" s="61" t="s">
        <v>17</v>
      </c>
      <c r="D25" s="123" t="s">
        <v>78</v>
      </c>
      <c r="E25" s="123"/>
      <c r="F25" s="123"/>
      <c r="G25" s="123"/>
      <c r="H25" s="123"/>
      <c r="I25" s="123"/>
      <c r="J25" s="56">
        <v>3</v>
      </c>
      <c r="K25" s="62">
        <f>(4*3+6*2+2+1*0)/13/3</f>
        <v>0.6666666666666666</v>
      </c>
      <c r="L25" s="103">
        <f>3*K25</f>
        <v>2</v>
      </c>
      <c r="M25" s="60">
        <f>L25*0.3333/4</f>
        <v>0.16665</v>
      </c>
      <c r="N25" s="64"/>
      <c r="O25" s="54"/>
      <c r="P25" s="103">
        <f>('[1]Tru cot 2'!$AK$4+'[2]Tru cot 2'!$U$4+'[3]Tru cot 2'!$F$4)/55</f>
        <v>1.9454545454545455</v>
      </c>
      <c r="Q25" s="103">
        <v>1.9454545454545455</v>
      </c>
      <c r="R25" s="55"/>
      <c r="S25" s="54"/>
      <c r="T25" s="100"/>
    </row>
    <row r="26" spans="1:20" s="40" customFormat="1" ht="16.5" customHeight="1">
      <c r="A26" s="119"/>
      <c r="B26" s="115"/>
      <c r="C26" s="61" t="s">
        <v>18</v>
      </c>
      <c r="D26" s="123" t="s">
        <v>79</v>
      </c>
      <c r="E26" s="123"/>
      <c r="F26" s="123"/>
      <c r="G26" s="123"/>
      <c r="H26" s="123"/>
      <c r="I26" s="123"/>
      <c r="J26" s="56">
        <v>3</v>
      </c>
      <c r="K26" s="62">
        <f>(3+4+1)/9/3</f>
        <v>0.2962962962962963</v>
      </c>
      <c r="L26" s="103">
        <f>3*K26</f>
        <v>0.8888888888888888</v>
      </c>
      <c r="M26" s="60">
        <f>L26*0.3333/4</f>
        <v>0.07406666666666666</v>
      </c>
      <c r="N26" s="64"/>
      <c r="O26" s="54"/>
      <c r="P26" s="103">
        <f>('[1]Tru cot 2'!$AK$9+'[2]Tru cot 2'!$U$4+'[3]Tru cot 2'!$F$9)/55</f>
        <v>1.5454545454545454</v>
      </c>
      <c r="Q26" s="103">
        <v>1.5454545454545454</v>
      </c>
      <c r="R26" s="55"/>
      <c r="S26" s="54"/>
      <c r="T26" s="100"/>
    </row>
    <row r="27" spans="1:20" s="40" customFormat="1" ht="16.5" customHeight="1">
      <c r="A27" s="119"/>
      <c r="B27" s="115"/>
      <c r="C27" s="61" t="s">
        <v>19</v>
      </c>
      <c r="D27" s="123" t="s">
        <v>80</v>
      </c>
      <c r="E27" s="123"/>
      <c r="F27" s="123"/>
      <c r="G27" s="123"/>
      <c r="H27" s="123"/>
      <c r="I27" s="123"/>
      <c r="J27" s="56">
        <v>3</v>
      </c>
      <c r="K27" s="62">
        <f>(12+1+2)/11/3</f>
        <v>0.45454545454545453</v>
      </c>
      <c r="L27" s="103">
        <f>3*K27</f>
        <v>1.3636363636363635</v>
      </c>
      <c r="M27" s="60">
        <f>L27*0.3333/4</f>
        <v>0.11362499999999999</v>
      </c>
      <c r="N27" s="64"/>
      <c r="O27" s="54"/>
      <c r="P27" s="103">
        <f>('[1]Tru cot 2'!$AK$14+'[2]Tru cot 2'!$U$14+'[3]Tru cot 2'!$F$14)/55</f>
        <v>1.8181818181818181</v>
      </c>
      <c r="Q27" s="103">
        <v>1.8181818181818181</v>
      </c>
      <c r="R27" s="55"/>
      <c r="S27" s="54"/>
      <c r="T27" s="100"/>
    </row>
    <row r="28" spans="1:20" s="40" customFormat="1" ht="36" customHeight="1">
      <c r="A28" s="120"/>
      <c r="B28" s="115"/>
      <c r="C28" s="61" t="s">
        <v>20</v>
      </c>
      <c r="D28" s="123" t="s">
        <v>81</v>
      </c>
      <c r="E28" s="123"/>
      <c r="F28" s="123"/>
      <c r="G28" s="123"/>
      <c r="H28" s="123"/>
      <c r="I28" s="123"/>
      <c r="J28" s="56">
        <v>3</v>
      </c>
      <c r="K28" s="62">
        <f>(2*3+0*2+2*1+3*0)/7/3</f>
        <v>0.38095238095238093</v>
      </c>
      <c r="L28" s="103">
        <f>3*K28</f>
        <v>1.1428571428571428</v>
      </c>
      <c r="M28" s="60">
        <f>L28*0.3333/4</f>
        <v>0.09522857142857141</v>
      </c>
      <c r="N28" s="64"/>
      <c r="O28" s="54"/>
      <c r="P28" s="103">
        <f>('[1]Tru cot 2'!$AK$19+'[2]Tru cot 2'!$U$19+'[3]Tru cot 2'!$F$19)/55</f>
        <v>1.2545454545454546</v>
      </c>
      <c r="Q28" s="103">
        <v>1.2545454545454546</v>
      </c>
      <c r="R28" s="55"/>
      <c r="S28" s="54"/>
      <c r="T28" s="100"/>
    </row>
    <row r="29" spans="1:20" s="40" customFormat="1" ht="21" customHeight="1">
      <c r="A29" s="121"/>
      <c r="B29" s="133" t="s">
        <v>82</v>
      </c>
      <c r="C29" s="133"/>
      <c r="D29" s="133"/>
      <c r="E29" s="133"/>
      <c r="F29" s="133"/>
      <c r="G29" s="133"/>
      <c r="H29" s="133"/>
      <c r="I29" s="133"/>
      <c r="J29" s="56"/>
      <c r="K29" s="62"/>
      <c r="L29" s="76"/>
      <c r="M29" s="59">
        <f>SUM(M30:M38)</f>
        <v>0.9061593750000001</v>
      </c>
      <c r="N29" s="60">
        <f>M29/3</f>
        <v>0.30205312500000003</v>
      </c>
      <c r="O29" s="54"/>
      <c r="P29" s="82"/>
      <c r="Q29" s="82"/>
      <c r="R29" s="83">
        <f>SUM(Q30:Q38)/12</f>
        <v>0.7727272727272728</v>
      </c>
      <c r="S29" s="54"/>
      <c r="T29" s="100" t="s">
        <v>2</v>
      </c>
    </row>
    <row r="30" spans="1:20" s="40" customFormat="1" ht="30" customHeight="1">
      <c r="A30" s="118"/>
      <c r="B30" s="115"/>
      <c r="C30" s="61" t="s">
        <v>21</v>
      </c>
      <c r="D30" s="149" t="s">
        <v>83</v>
      </c>
      <c r="E30" s="149"/>
      <c r="F30" s="149"/>
      <c r="G30" s="149"/>
      <c r="H30" s="149"/>
      <c r="I30" s="149"/>
      <c r="J30" s="77">
        <v>3</v>
      </c>
      <c r="K30" s="78">
        <f>(12*3+0*2+0*1+0*0)/12/3</f>
        <v>1</v>
      </c>
      <c r="L30" s="103">
        <f>3*K30</f>
        <v>3</v>
      </c>
      <c r="M30" s="60">
        <f>L30*0.3333/4</f>
        <v>0.249975</v>
      </c>
      <c r="N30" s="64"/>
      <c r="O30" s="54"/>
      <c r="P30" s="103">
        <f>('[1]Tru cot 2'!$AK$25+'[2]Tru cot 2'!$U$25+'[3]Tru cot 2'!$F$25)/55</f>
        <v>2.4</v>
      </c>
      <c r="Q30" s="103">
        <v>2.4</v>
      </c>
      <c r="R30" s="55"/>
      <c r="S30" s="54"/>
      <c r="T30" s="100"/>
    </row>
    <row r="31" spans="1:20" s="40" customFormat="1" ht="98.25" customHeight="1">
      <c r="A31" s="119"/>
      <c r="B31" s="115"/>
      <c r="C31" s="61" t="s">
        <v>22</v>
      </c>
      <c r="D31" s="123" t="s">
        <v>84</v>
      </c>
      <c r="E31" s="151"/>
      <c r="F31" s="151"/>
      <c r="G31" s="151"/>
      <c r="H31" s="151"/>
      <c r="I31" s="151"/>
      <c r="J31" s="65">
        <v>3</v>
      </c>
      <c r="K31" s="62">
        <f>(8+13+11+10+10+9+9+11)/8/13</f>
        <v>0.7788461538461539</v>
      </c>
      <c r="L31" s="103">
        <f>3*K31</f>
        <v>2.3365384615384617</v>
      </c>
      <c r="M31" s="60">
        <f>L31*0.3333/4</f>
        <v>0.1946920673076923</v>
      </c>
      <c r="N31" s="64"/>
      <c r="O31" s="54"/>
      <c r="P31" s="103">
        <f>('[1]Tru cot 2'!$AK$30+'[2]Tru cot 2'!$U$30+'[3]Tru cot 2'!$F$30)/55</f>
        <v>2.3454545454545452</v>
      </c>
      <c r="Q31" s="103">
        <v>2.3454545454545452</v>
      </c>
      <c r="R31" s="55"/>
      <c r="S31" s="54"/>
      <c r="T31" s="100"/>
    </row>
    <row r="32" spans="1:20" s="40" customFormat="1" ht="15" hidden="1">
      <c r="A32" s="119"/>
      <c r="B32" s="115"/>
      <c r="C32" s="61"/>
      <c r="D32" s="151"/>
      <c r="E32" s="151"/>
      <c r="F32" s="151"/>
      <c r="G32" s="151"/>
      <c r="H32" s="151"/>
      <c r="I32" s="151"/>
      <c r="J32" s="65"/>
      <c r="K32" s="66"/>
      <c r="L32" s="103"/>
      <c r="M32" s="63"/>
      <c r="N32" s="64"/>
      <c r="O32" s="54"/>
      <c r="P32" s="103"/>
      <c r="Q32" s="103"/>
      <c r="R32" s="55"/>
      <c r="S32" s="54"/>
      <c r="T32" s="100"/>
    </row>
    <row r="33" spans="1:20" s="40" customFormat="1" ht="15" hidden="1">
      <c r="A33" s="119"/>
      <c r="B33" s="115"/>
      <c r="C33" s="61"/>
      <c r="D33" s="151"/>
      <c r="E33" s="151"/>
      <c r="F33" s="151"/>
      <c r="G33" s="151"/>
      <c r="H33" s="151"/>
      <c r="I33" s="151"/>
      <c r="J33" s="65"/>
      <c r="K33" s="66"/>
      <c r="L33" s="103"/>
      <c r="M33" s="63"/>
      <c r="N33" s="64"/>
      <c r="O33" s="54"/>
      <c r="P33" s="103"/>
      <c r="Q33" s="103"/>
      <c r="R33" s="55"/>
      <c r="S33" s="54"/>
      <c r="T33" s="100"/>
    </row>
    <row r="34" spans="1:20" s="40" customFormat="1" ht="15" hidden="1">
      <c r="A34" s="119"/>
      <c r="B34" s="115"/>
      <c r="C34" s="61"/>
      <c r="D34" s="151"/>
      <c r="E34" s="151"/>
      <c r="F34" s="151"/>
      <c r="G34" s="151"/>
      <c r="H34" s="151"/>
      <c r="I34" s="151"/>
      <c r="J34" s="65"/>
      <c r="K34" s="66"/>
      <c r="L34" s="103"/>
      <c r="M34" s="63"/>
      <c r="N34" s="64"/>
      <c r="O34" s="54"/>
      <c r="P34" s="103"/>
      <c r="Q34" s="103"/>
      <c r="R34" s="55"/>
      <c r="S34" s="54"/>
      <c r="T34" s="100"/>
    </row>
    <row r="35" spans="1:20" s="40" customFormat="1" ht="15" hidden="1">
      <c r="A35" s="119"/>
      <c r="B35" s="115"/>
      <c r="C35" s="61"/>
      <c r="D35" s="151"/>
      <c r="E35" s="151"/>
      <c r="F35" s="151"/>
      <c r="G35" s="151"/>
      <c r="H35" s="151"/>
      <c r="I35" s="151"/>
      <c r="J35" s="65"/>
      <c r="K35" s="66"/>
      <c r="L35" s="103"/>
      <c r="M35" s="63"/>
      <c r="N35" s="64"/>
      <c r="O35" s="54"/>
      <c r="P35" s="103"/>
      <c r="Q35" s="103"/>
      <c r="R35" s="55"/>
      <c r="S35" s="54"/>
      <c r="T35" s="100"/>
    </row>
    <row r="36" spans="1:20" s="40" customFormat="1" ht="40.5" customHeight="1" hidden="1">
      <c r="A36" s="119"/>
      <c r="B36" s="115"/>
      <c r="C36" s="61"/>
      <c r="D36" s="151"/>
      <c r="E36" s="151"/>
      <c r="F36" s="151"/>
      <c r="G36" s="151"/>
      <c r="H36" s="151"/>
      <c r="I36" s="151"/>
      <c r="J36" s="65"/>
      <c r="K36" s="66"/>
      <c r="L36" s="103"/>
      <c r="M36" s="64"/>
      <c r="N36" s="64"/>
      <c r="O36" s="54"/>
      <c r="P36" s="103"/>
      <c r="Q36" s="103"/>
      <c r="R36" s="55"/>
      <c r="S36" s="54"/>
      <c r="T36" s="100"/>
    </row>
    <row r="37" spans="1:20" s="40" customFormat="1" ht="32.25" customHeight="1">
      <c r="A37" s="119"/>
      <c r="B37" s="115"/>
      <c r="C37" s="61" t="s">
        <v>23</v>
      </c>
      <c r="D37" s="123" t="s">
        <v>85</v>
      </c>
      <c r="E37" s="123"/>
      <c r="F37" s="123"/>
      <c r="G37" s="123"/>
      <c r="H37" s="123"/>
      <c r="I37" s="123"/>
      <c r="J37" s="56">
        <v>3</v>
      </c>
      <c r="K37" s="62">
        <f>(7*3+6*2+0*1+0*0)/13/3</f>
        <v>0.8461538461538461</v>
      </c>
      <c r="L37" s="103">
        <f>3*K37</f>
        <v>2.5384615384615383</v>
      </c>
      <c r="M37" s="60">
        <f>L37*0.3333/4</f>
        <v>0.21151730769230767</v>
      </c>
      <c r="N37" s="64"/>
      <c r="O37" s="54"/>
      <c r="P37" s="103">
        <f>('[1]Tru cot 2'!$AK$35+'[2]Tru cot 2'!$U$35+'[3]Tru cot 2'!$F$35)/55</f>
        <v>2.1272727272727274</v>
      </c>
      <c r="Q37" s="103">
        <v>2.1272727272727274</v>
      </c>
      <c r="R37" s="55"/>
      <c r="S37" s="54"/>
      <c r="T37" s="100"/>
    </row>
    <row r="38" spans="1:20" s="40" customFormat="1" ht="35.25" customHeight="1">
      <c r="A38" s="120"/>
      <c r="B38" s="115"/>
      <c r="C38" s="61" t="s">
        <v>24</v>
      </c>
      <c r="D38" s="123" t="s">
        <v>86</v>
      </c>
      <c r="E38" s="123"/>
      <c r="F38" s="123"/>
      <c r="G38" s="123"/>
      <c r="H38" s="123"/>
      <c r="I38" s="123"/>
      <c r="J38" s="56">
        <v>3</v>
      </c>
      <c r="K38" s="62">
        <f>(10*3+0*1)/10/3</f>
        <v>1</v>
      </c>
      <c r="L38" s="103">
        <f>3*K38</f>
        <v>3</v>
      </c>
      <c r="M38" s="60">
        <f>L38*0.3333/4</f>
        <v>0.249975</v>
      </c>
      <c r="N38" s="64"/>
      <c r="O38" s="54"/>
      <c r="P38" s="103">
        <f>('[1]Tru cot 2'!$AK$40+'[2]Tru cot 2'!$U$40+'[3]Tru cot 2'!$F$40)/55</f>
        <v>2.4</v>
      </c>
      <c r="Q38" s="103">
        <v>2.4</v>
      </c>
      <c r="R38" s="55"/>
      <c r="S38" s="54"/>
      <c r="T38" s="100"/>
    </row>
    <row r="39" spans="1:20" s="40" customFormat="1" ht="21" customHeight="1">
      <c r="A39" s="121"/>
      <c r="B39" s="133" t="s">
        <v>87</v>
      </c>
      <c r="C39" s="133"/>
      <c r="D39" s="133"/>
      <c r="E39" s="133"/>
      <c r="F39" s="133"/>
      <c r="G39" s="133"/>
      <c r="H39" s="133"/>
      <c r="I39" s="133"/>
      <c r="J39" s="56"/>
      <c r="K39" s="62"/>
      <c r="L39" s="76"/>
      <c r="M39" s="59">
        <f>SUM(M40:M43)</f>
        <v>0.35413124999999995</v>
      </c>
      <c r="N39" s="60">
        <f>M39/3</f>
        <v>0.11804374999999999</v>
      </c>
      <c r="O39" s="54"/>
      <c r="P39" s="82"/>
      <c r="Q39" s="82"/>
      <c r="R39" s="83">
        <f>SUM(Q40:Q43)/12</f>
        <v>0.6121212121212122</v>
      </c>
      <c r="S39" s="54"/>
      <c r="T39" s="100" t="s">
        <v>0</v>
      </c>
    </row>
    <row r="40" spans="1:20" s="40" customFormat="1" ht="27.75" customHeight="1">
      <c r="A40" s="118"/>
      <c r="B40" s="115"/>
      <c r="C40" s="61" t="s">
        <v>25</v>
      </c>
      <c r="D40" s="123" t="s">
        <v>88</v>
      </c>
      <c r="E40" s="123"/>
      <c r="F40" s="123"/>
      <c r="G40" s="123"/>
      <c r="H40" s="123"/>
      <c r="I40" s="123"/>
      <c r="J40" s="56">
        <v>3</v>
      </c>
      <c r="K40" s="62">
        <f>(9*3+1*2+1*1+2*0)/13/4</f>
        <v>0.5769230769230769</v>
      </c>
      <c r="L40" s="103">
        <f>3*K40</f>
        <v>1.7307692307692306</v>
      </c>
      <c r="M40" s="60">
        <f>L40*0.3333/4</f>
        <v>0.14421634615384613</v>
      </c>
      <c r="N40" s="55"/>
      <c r="O40" s="54"/>
      <c r="P40" s="103">
        <f>('[1]Tru cot 2'!$AK$44+'[2]Tru cot 2'!$U$44+'[3]Tru cot 2'!$F$44)/55</f>
        <v>2.5090909090909093</v>
      </c>
      <c r="Q40" s="103">
        <v>2.5090909090909093</v>
      </c>
      <c r="R40" s="55"/>
      <c r="S40" s="54"/>
      <c r="T40" s="100"/>
    </row>
    <row r="41" spans="1:20" s="40" customFormat="1" ht="16.5" customHeight="1">
      <c r="A41" s="119"/>
      <c r="B41" s="115"/>
      <c r="C41" s="61" t="s">
        <v>26</v>
      </c>
      <c r="D41" s="123" t="s">
        <v>89</v>
      </c>
      <c r="E41" s="123"/>
      <c r="F41" s="123"/>
      <c r="G41" s="123"/>
      <c r="H41" s="123"/>
      <c r="I41" s="123"/>
      <c r="J41" s="56">
        <v>3</v>
      </c>
      <c r="K41" s="62">
        <f>(10+2+1+2)/13/4</f>
        <v>0.28846153846153844</v>
      </c>
      <c r="L41" s="103">
        <f>3*K41</f>
        <v>0.8653846153846153</v>
      </c>
      <c r="M41" s="60">
        <f>L41*0.3333/4</f>
        <v>0.07210817307692306</v>
      </c>
      <c r="N41" s="55"/>
      <c r="O41" s="54"/>
      <c r="P41" s="103">
        <f>('[1]Tru cot 2'!$AK$49+'[2]Tru cot 2'!$U$49+'[3]Tru cot 2'!$F$49)/55</f>
        <v>1.5454545454545454</v>
      </c>
      <c r="Q41" s="103">
        <v>1.5454545454545454</v>
      </c>
      <c r="R41" s="55"/>
      <c r="S41" s="54"/>
      <c r="T41" s="100"/>
    </row>
    <row r="42" spans="1:20" s="40" customFormat="1" ht="42" customHeight="1">
      <c r="A42" s="119"/>
      <c r="B42" s="115"/>
      <c r="C42" s="61" t="s">
        <v>27</v>
      </c>
      <c r="D42" s="149" t="s">
        <v>90</v>
      </c>
      <c r="E42" s="149"/>
      <c r="F42" s="149"/>
      <c r="G42" s="149"/>
      <c r="H42" s="149"/>
      <c r="I42" s="149"/>
      <c r="J42" s="77">
        <v>3</v>
      </c>
      <c r="K42" s="69">
        <f>(3+5+1+13)/13/4</f>
        <v>0.4230769230769231</v>
      </c>
      <c r="L42" s="103">
        <f>3*K42</f>
        <v>1.2692307692307692</v>
      </c>
      <c r="M42" s="60">
        <f>L42*0.3333/4</f>
        <v>0.10575865384615384</v>
      </c>
      <c r="N42" s="55"/>
      <c r="O42" s="54"/>
      <c r="P42" s="103">
        <f>('[1]Tru cot 2'!$AK$54+'[2]Tru cot 2'!$U$54+'[3]Tru cot 2'!$F$54)/55</f>
        <v>1.8909090909090909</v>
      </c>
      <c r="Q42" s="103">
        <v>1.8909090909090909</v>
      </c>
      <c r="R42" s="55"/>
      <c r="S42" s="54"/>
      <c r="T42" s="100"/>
    </row>
    <row r="43" spans="1:20" s="40" customFormat="1" ht="37.5" customHeight="1">
      <c r="A43" s="120"/>
      <c r="B43" s="115"/>
      <c r="C43" s="61" t="s">
        <v>28</v>
      </c>
      <c r="D43" s="143" t="s">
        <v>91</v>
      </c>
      <c r="E43" s="143"/>
      <c r="F43" s="143"/>
      <c r="G43" s="143"/>
      <c r="H43" s="143"/>
      <c r="I43" s="143"/>
      <c r="J43" s="56">
        <v>3</v>
      </c>
      <c r="K43" s="78">
        <f>(2+1+2)/13/3</f>
        <v>0.12820512820512822</v>
      </c>
      <c r="L43" s="103">
        <f>3*K43</f>
        <v>0.3846153846153847</v>
      </c>
      <c r="M43" s="60">
        <f>L43*0.3333/4</f>
        <v>0.03204807692307693</v>
      </c>
      <c r="N43" s="55"/>
      <c r="O43" s="54"/>
      <c r="P43" s="103">
        <f>('[1]Tru cot 2'!$AK$59+'[2]Tru cot 2'!$U$59+'[3]Tru cot 2'!$F$59)/55</f>
        <v>1.4</v>
      </c>
      <c r="Q43" s="103">
        <v>1.4</v>
      </c>
      <c r="R43" s="55"/>
      <c r="S43" s="54"/>
      <c r="T43" s="100"/>
    </row>
    <row r="44" spans="1:20" s="40" customFormat="1" ht="11.25" customHeight="1">
      <c r="A44" s="144"/>
      <c r="B44" s="145"/>
      <c r="C44" s="145"/>
      <c r="D44" s="145"/>
      <c r="E44" s="145"/>
      <c r="F44" s="145"/>
      <c r="G44" s="145"/>
      <c r="H44" s="145"/>
      <c r="I44" s="145"/>
      <c r="J44" s="145"/>
      <c r="K44" s="145"/>
      <c r="L44" s="145"/>
      <c r="M44" s="145"/>
      <c r="N44" s="145"/>
      <c r="O44" s="145"/>
      <c r="P44" s="145"/>
      <c r="Q44" s="145"/>
      <c r="R44" s="145"/>
      <c r="S44" s="145"/>
      <c r="T44" s="146"/>
    </row>
    <row r="45" spans="1:20" s="44" customFormat="1" ht="24.75" customHeight="1">
      <c r="A45" s="147" t="s">
        <v>92</v>
      </c>
      <c r="B45" s="152"/>
      <c r="C45" s="152"/>
      <c r="D45" s="152"/>
      <c r="E45" s="152"/>
      <c r="F45" s="152"/>
      <c r="G45" s="152"/>
      <c r="H45" s="152"/>
      <c r="I45" s="152"/>
      <c r="J45" s="70"/>
      <c r="K45" s="71"/>
      <c r="L45" s="72"/>
      <c r="M45" s="73"/>
      <c r="N45" s="74">
        <f>N46+N51+N55</f>
        <v>0.40099266025641017</v>
      </c>
      <c r="O45" s="75" t="s">
        <v>0</v>
      </c>
      <c r="P45" s="82"/>
      <c r="Q45" s="82"/>
      <c r="R45" s="55"/>
      <c r="S45" s="74">
        <f>SUM(R46:R55)/3</f>
        <v>0.6462962962962963</v>
      </c>
      <c r="T45" s="75" t="s">
        <v>0</v>
      </c>
    </row>
    <row r="46" spans="1:20" s="40" customFormat="1" ht="21" customHeight="1">
      <c r="A46" s="116"/>
      <c r="B46" s="133" t="s">
        <v>93</v>
      </c>
      <c r="C46" s="133"/>
      <c r="D46" s="133"/>
      <c r="E46" s="133"/>
      <c r="F46" s="133"/>
      <c r="G46" s="133"/>
      <c r="H46" s="133"/>
      <c r="I46" s="133"/>
      <c r="J46" s="56"/>
      <c r="K46" s="62"/>
      <c r="L46" s="58"/>
      <c r="M46" s="59">
        <f>SUM(M47:M50)</f>
        <v>0.46950432692307686</v>
      </c>
      <c r="N46" s="60">
        <f>M46/3</f>
        <v>0.15650144230769228</v>
      </c>
      <c r="O46" s="54"/>
      <c r="P46" s="82"/>
      <c r="Q46" s="82"/>
      <c r="R46" s="83">
        <f>SUM(Q47:Q50)/12</f>
        <v>0.7106060606060606</v>
      </c>
      <c r="S46" s="54"/>
      <c r="T46" s="100"/>
    </row>
    <row r="47" spans="1:20" s="40" customFormat="1" ht="30.75" customHeight="1">
      <c r="A47" s="118"/>
      <c r="B47" s="115"/>
      <c r="C47" s="61" t="s">
        <v>29</v>
      </c>
      <c r="D47" s="123" t="s">
        <v>94</v>
      </c>
      <c r="E47" s="123"/>
      <c r="F47" s="123"/>
      <c r="G47" s="123"/>
      <c r="H47" s="123"/>
      <c r="I47" s="123"/>
      <c r="J47" s="56">
        <v>3</v>
      </c>
      <c r="K47" s="62">
        <f>(10+4+5)/13/3</f>
        <v>0.48717948717948717</v>
      </c>
      <c r="L47" s="103">
        <f>3*K47</f>
        <v>1.4615384615384615</v>
      </c>
      <c r="M47" s="60">
        <f>L47*0.3333/4</f>
        <v>0.1217826923076923</v>
      </c>
      <c r="N47" s="63"/>
      <c r="O47" s="54"/>
      <c r="P47" s="103">
        <f>('[1]Tru cot 3'!$AK$4+'[2]Tru cot 3'!$U$4+'[3]Tru cot 3'!$F$4)/55</f>
        <v>2.036363636363636</v>
      </c>
      <c r="Q47" s="103">
        <v>2.036363636363636</v>
      </c>
      <c r="R47" s="84"/>
      <c r="S47" s="54"/>
      <c r="T47" s="100"/>
    </row>
    <row r="48" spans="1:20" s="40" customFormat="1" ht="30" customHeight="1">
      <c r="A48" s="119"/>
      <c r="B48" s="115"/>
      <c r="C48" s="61" t="s">
        <v>30</v>
      </c>
      <c r="D48" s="123" t="s">
        <v>95</v>
      </c>
      <c r="E48" s="123"/>
      <c r="F48" s="123"/>
      <c r="G48" s="123"/>
      <c r="H48" s="123"/>
      <c r="I48" s="123"/>
      <c r="J48" s="56">
        <v>3</v>
      </c>
      <c r="K48" s="62">
        <f>(2+10+1)/13/3</f>
        <v>0.3333333333333333</v>
      </c>
      <c r="L48" s="103">
        <f>3*K48</f>
        <v>1</v>
      </c>
      <c r="M48" s="60">
        <f>L48*0.3333/4</f>
        <v>0.083325</v>
      </c>
      <c r="N48" s="63"/>
      <c r="O48" s="54"/>
      <c r="P48" s="103">
        <f>('[1]Tru cot 3'!$AK$9+'[2]Tru cot 3'!$U$9+'[3]Tru cot 3'!$F$9)/55</f>
        <v>2.1272727272727274</v>
      </c>
      <c r="Q48" s="103">
        <v>2.1272727272727274</v>
      </c>
      <c r="R48" s="84"/>
      <c r="S48" s="54"/>
      <c r="T48" s="100"/>
    </row>
    <row r="49" spans="1:20" s="40" customFormat="1" ht="39" customHeight="1">
      <c r="A49" s="119"/>
      <c r="B49" s="115"/>
      <c r="C49" s="61" t="s">
        <v>31</v>
      </c>
      <c r="D49" s="123" t="s">
        <v>96</v>
      </c>
      <c r="E49" s="151"/>
      <c r="F49" s="151"/>
      <c r="G49" s="151"/>
      <c r="H49" s="151"/>
      <c r="I49" s="151"/>
      <c r="J49" s="65">
        <v>3</v>
      </c>
      <c r="K49" s="62">
        <f>(4+5+6+5)/13/4</f>
        <v>0.38461538461538464</v>
      </c>
      <c r="L49" s="103">
        <f>3*K49</f>
        <v>1.153846153846154</v>
      </c>
      <c r="M49" s="60">
        <f>L49*0.3333/4</f>
        <v>0.09614423076923077</v>
      </c>
      <c r="N49" s="63"/>
      <c r="O49" s="54"/>
      <c r="P49" s="103">
        <f>('[1]Tru cot 3'!$AK$14+'[2]Tru cot 3'!$U$14+'[3]Tru cot 3'!$F$14)/55</f>
        <v>1.7272727272727273</v>
      </c>
      <c r="Q49" s="103">
        <v>1.7272727272727273</v>
      </c>
      <c r="R49" s="84"/>
      <c r="S49" s="54"/>
      <c r="T49" s="100"/>
    </row>
    <row r="50" spans="1:20" s="40" customFormat="1" ht="16.5" customHeight="1">
      <c r="A50" s="120"/>
      <c r="B50" s="115"/>
      <c r="C50" s="61" t="s">
        <v>32</v>
      </c>
      <c r="D50" s="123" t="s">
        <v>97</v>
      </c>
      <c r="E50" s="165"/>
      <c r="F50" s="165"/>
      <c r="G50" s="165"/>
      <c r="H50" s="165"/>
      <c r="I50" s="165"/>
      <c r="J50" s="79">
        <v>3</v>
      </c>
      <c r="K50" s="69">
        <f>(11*3+2*1+0*1+0*0)/13/4</f>
        <v>0.6730769230769231</v>
      </c>
      <c r="L50" s="103">
        <f>3*K50</f>
        <v>2.019230769230769</v>
      </c>
      <c r="M50" s="60">
        <f>L50*0.3333/4</f>
        <v>0.16825240384615384</v>
      </c>
      <c r="N50" s="63"/>
      <c r="O50" s="54"/>
      <c r="P50" s="103">
        <f>('[1]Tru cot 3'!$AK$19+'[2]Tru cot 3'!$U$19+'[3]Tru cot 3'!$F$19)/55</f>
        <v>2.6363636363636362</v>
      </c>
      <c r="Q50" s="103">
        <v>2.6363636363636362</v>
      </c>
      <c r="R50" s="84"/>
      <c r="S50" s="54"/>
      <c r="T50" s="100"/>
    </row>
    <row r="51" spans="1:20" s="40" customFormat="1" ht="21" customHeight="1">
      <c r="A51" s="121"/>
      <c r="B51" s="133" t="s">
        <v>98</v>
      </c>
      <c r="C51" s="133"/>
      <c r="D51" s="133"/>
      <c r="E51" s="133"/>
      <c r="F51" s="133"/>
      <c r="G51" s="133"/>
      <c r="H51" s="133"/>
      <c r="I51" s="133"/>
      <c r="J51" s="56"/>
      <c r="K51" s="62"/>
      <c r="L51" s="102"/>
      <c r="M51" s="59">
        <f>SUM(M52:M54)</f>
        <v>0.4241028846153846</v>
      </c>
      <c r="N51" s="60">
        <f>M51/3</f>
        <v>0.1413676282051282</v>
      </c>
      <c r="O51" s="54"/>
      <c r="P51" s="82"/>
      <c r="Q51" s="82"/>
      <c r="R51" s="83">
        <f>SUM(Q52:Q54)/9</f>
        <v>0.6868686868686869</v>
      </c>
      <c r="S51" s="54"/>
      <c r="T51" s="100"/>
    </row>
    <row r="52" spans="1:20" s="40" customFormat="1" ht="18" customHeight="1">
      <c r="A52" s="118"/>
      <c r="B52" s="115"/>
      <c r="C52" s="61" t="s">
        <v>33</v>
      </c>
      <c r="D52" s="123" t="s">
        <v>99</v>
      </c>
      <c r="E52" s="151"/>
      <c r="F52" s="151"/>
      <c r="G52" s="151"/>
      <c r="H52" s="151"/>
      <c r="I52" s="151"/>
      <c r="J52" s="65">
        <v>3</v>
      </c>
      <c r="K52" s="62">
        <f>(8+1+3)/13/3</f>
        <v>0.3076923076923077</v>
      </c>
      <c r="L52" s="103">
        <f>3*K52</f>
        <v>0.9230769230769231</v>
      </c>
      <c r="M52" s="60">
        <f>L52*0.3333/3</f>
        <v>0.10255384615384616</v>
      </c>
      <c r="N52" s="64"/>
      <c r="O52" s="54"/>
      <c r="P52" s="103">
        <f>('[1]Tru cot 3'!$AK$25+'[2]Tru cot 3'!$U$25+'[3]Tru cot 3'!$F$25)/55</f>
        <v>1.4181818181818182</v>
      </c>
      <c r="Q52" s="103">
        <v>1.4181818181818182</v>
      </c>
      <c r="R52" s="84"/>
      <c r="S52" s="54"/>
      <c r="T52" s="100"/>
    </row>
    <row r="53" spans="1:20" s="40" customFormat="1" ht="19.5" customHeight="1">
      <c r="A53" s="119"/>
      <c r="B53" s="115"/>
      <c r="C53" s="61" t="s">
        <v>34</v>
      </c>
      <c r="D53" s="149" t="s">
        <v>100</v>
      </c>
      <c r="E53" s="149"/>
      <c r="F53" s="149"/>
      <c r="G53" s="149"/>
      <c r="H53" s="149"/>
      <c r="I53" s="149"/>
      <c r="J53" s="77">
        <v>3</v>
      </c>
      <c r="K53" s="78">
        <f>(2*3+5*2+6*1+0*0)/13/4</f>
        <v>0.4230769230769231</v>
      </c>
      <c r="L53" s="103">
        <f>3*K53</f>
        <v>1.2692307692307692</v>
      </c>
      <c r="M53" s="60">
        <f>L53*0.3333/3</f>
        <v>0.14101153846153844</v>
      </c>
      <c r="N53" s="64"/>
      <c r="O53" s="54"/>
      <c r="P53" s="103">
        <f>('[1]Tru cot 3'!$AK$30+'[2]Tru cot 3'!$U$30+'[3]Tru cot 3'!$F$30)/55</f>
        <v>2.2181818181818183</v>
      </c>
      <c r="Q53" s="103">
        <v>2.2181818181818183</v>
      </c>
      <c r="R53" s="84"/>
      <c r="S53" s="54"/>
      <c r="T53" s="100"/>
    </row>
    <row r="54" spans="1:20" s="40" customFormat="1" ht="31.5" customHeight="1">
      <c r="A54" s="120"/>
      <c r="B54" s="115"/>
      <c r="C54" s="61" t="s">
        <v>35</v>
      </c>
      <c r="D54" s="123" t="s">
        <v>101</v>
      </c>
      <c r="E54" s="151"/>
      <c r="F54" s="151"/>
      <c r="G54" s="151"/>
      <c r="H54" s="151"/>
      <c r="I54" s="151"/>
      <c r="J54" s="65">
        <v>3</v>
      </c>
      <c r="K54" s="62">
        <f>(7*3+2*2+1*1+2*0)/12/4</f>
        <v>0.5416666666666666</v>
      </c>
      <c r="L54" s="103">
        <f>3*K54</f>
        <v>1.625</v>
      </c>
      <c r="M54" s="60">
        <f>L54*0.3333/3</f>
        <v>0.1805375</v>
      </c>
      <c r="N54" s="64"/>
      <c r="O54" s="54"/>
      <c r="P54" s="103">
        <f>('[1]Tru cot 3'!$AK$35+'[2]Tru cot 3'!$U$35+'[3]Tru cot 3'!$F$35)/55</f>
        <v>2.5454545454545454</v>
      </c>
      <c r="Q54" s="103">
        <v>2.5454545454545454</v>
      </c>
      <c r="R54" s="84"/>
      <c r="S54" s="54"/>
      <c r="T54" s="100"/>
    </row>
    <row r="55" spans="1:20" s="40" customFormat="1" ht="21" customHeight="1">
      <c r="A55" s="121"/>
      <c r="B55" s="133" t="s">
        <v>102</v>
      </c>
      <c r="C55" s="133"/>
      <c r="D55" s="133"/>
      <c r="E55" s="133"/>
      <c r="F55" s="133"/>
      <c r="G55" s="133"/>
      <c r="H55" s="133"/>
      <c r="I55" s="133"/>
      <c r="J55" s="56"/>
      <c r="K55" s="62"/>
      <c r="L55" s="102"/>
      <c r="M55" s="59">
        <f>SUM(M56:M58)</f>
        <v>0.30937076923076917</v>
      </c>
      <c r="N55" s="60">
        <f>M55/3</f>
        <v>0.10312358974358972</v>
      </c>
      <c r="O55" s="54"/>
      <c r="P55" s="82"/>
      <c r="Q55" s="82"/>
      <c r="R55" s="83">
        <f>SUM(Q56:Q58)/9</f>
        <v>0.5414141414141415</v>
      </c>
      <c r="S55" s="54"/>
      <c r="T55" s="100"/>
    </row>
    <row r="56" spans="1:20" s="40" customFormat="1" ht="45" customHeight="1">
      <c r="A56" s="118"/>
      <c r="B56" s="115"/>
      <c r="C56" s="61" t="s">
        <v>36</v>
      </c>
      <c r="D56" s="123" t="s">
        <v>103</v>
      </c>
      <c r="E56" s="123"/>
      <c r="F56" s="123"/>
      <c r="G56" s="123"/>
      <c r="H56" s="123"/>
      <c r="I56" s="123"/>
      <c r="J56" s="56">
        <v>3</v>
      </c>
      <c r="K56" s="62">
        <f>(13+9+3+3+0)/13/5</f>
        <v>0.43076923076923074</v>
      </c>
      <c r="L56" s="103">
        <f>3*K56</f>
        <v>1.2923076923076922</v>
      </c>
      <c r="M56" s="60">
        <f>L56*0.3333/3</f>
        <v>0.14357538461538458</v>
      </c>
      <c r="N56" s="55"/>
      <c r="O56" s="54"/>
      <c r="P56" s="103">
        <f>('[1]Tru cot 3'!$AK$41+'[2]Tru cot 3'!$U$41+'[3]Tru cot 3'!$F$41)/55</f>
        <v>1.7636363636363637</v>
      </c>
      <c r="Q56" s="103">
        <v>1.7636363636363637</v>
      </c>
      <c r="R56" s="55"/>
      <c r="S56" s="54"/>
      <c r="T56" s="100"/>
    </row>
    <row r="57" spans="1:20" s="40" customFormat="1" ht="34.5" customHeight="1">
      <c r="A57" s="119"/>
      <c r="B57" s="115"/>
      <c r="C57" s="61" t="s">
        <v>37</v>
      </c>
      <c r="D57" s="123" t="s">
        <v>104</v>
      </c>
      <c r="E57" s="123"/>
      <c r="F57" s="123"/>
      <c r="G57" s="123"/>
      <c r="H57" s="123"/>
      <c r="I57" s="123"/>
      <c r="J57" s="56">
        <v>3</v>
      </c>
      <c r="K57" s="62">
        <f>(4+3+5+3+4)/13/5</f>
        <v>0.29230769230769227</v>
      </c>
      <c r="L57" s="103">
        <f>3*K57</f>
        <v>0.8769230769230768</v>
      </c>
      <c r="M57" s="60">
        <f>L57*0.3333/3</f>
        <v>0.09742615384615383</v>
      </c>
      <c r="N57" s="55"/>
      <c r="O57" s="54"/>
      <c r="P57" s="103">
        <f>('[1]Tru cot 3'!$AK$46+'[2]Tru cot 3'!$U$46+'[3]Tru cot 3'!$F$46)/55</f>
        <v>1.509090909090909</v>
      </c>
      <c r="Q57" s="103">
        <v>1.509090909090909</v>
      </c>
      <c r="R57" s="55"/>
      <c r="S57" s="54"/>
      <c r="T57" s="100"/>
    </row>
    <row r="58" spans="1:20" s="40" customFormat="1" ht="16.5" customHeight="1">
      <c r="A58" s="120"/>
      <c r="B58" s="115"/>
      <c r="C58" s="61" t="s">
        <v>38</v>
      </c>
      <c r="D58" s="143" t="s">
        <v>105</v>
      </c>
      <c r="E58" s="143"/>
      <c r="F58" s="143"/>
      <c r="G58" s="143"/>
      <c r="H58" s="143"/>
      <c r="I58" s="143"/>
      <c r="J58" s="56">
        <v>3</v>
      </c>
      <c r="K58" s="62">
        <f>(1+3+4)/13/3</f>
        <v>0.20512820512820515</v>
      </c>
      <c r="L58" s="103">
        <f>3*K58</f>
        <v>0.6153846153846154</v>
      </c>
      <c r="M58" s="60">
        <f>L58*0.3333/3</f>
        <v>0.06836923076923077</v>
      </c>
      <c r="N58" s="55"/>
      <c r="O58" s="54"/>
      <c r="P58" s="103">
        <f>('[1]Tru cot 3'!$AK$51+'[2]Tru cot 3'!$U$51+'[3]Tru cot 3'!$F$51)/55</f>
        <v>1.6</v>
      </c>
      <c r="Q58" s="103">
        <v>1.6</v>
      </c>
      <c r="R58" s="55"/>
      <c r="S58" s="54"/>
      <c r="T58" s="100"/>
    </row>
    <row r="59" spans="1:20" s="40" customFormat="1" ht="10.5" customHeight="1">
      <c r="A59" s="144"/>
      <c r="B59" s="145"/>
      <c r="C59" s="145"/>
      <c r="D59" s="145"/>
      <c r="E59" s="145"/>
      <c r="F59" s="145"/>
      <c r="G59" s="145"/>
      <c r="H59" s="145"/>
      <c r="I59" s="145"/>
      <c r="J59" s="145"/>
      <c r="K59" s="145"/>
      <c r="L59" s="145"/>
      <c r="M59" s="145"/>
      <c r="N59" s="145"/>
      <c r="O59" s="145"/>
      <c r="P59" s="145"/>
      <c r="Q59" s="145"/>
      <c r="R59" s="145"/>
      <c r="S59" s="145"/>
      <c r="T59" s="146"/>
    </row>
    <row r="60" spans="1:20" s="44" customFormat="1" ht="24.75" customHeight="1">
      <c r="A60" s="147" t="s">
        <v>106</v>
      </c>
      <c r="B60" s="152"/>
      <c r="C60" s="152"/>
      <c r="D60" s="152"/>
      <c r="E60" s="152"/>
      <c r="F60" s="152"/>
      <c r="G60" s="152"/>
      <c r="H60" s="152"/>
      <c r="I60" s="152"/>
      <c r="J60" s="70"/>
      <c r="K60" s="71"/>
      <c r="L60" s="104"/>
      <c r="M60" s="73"/>
      <c r="N60" s="74">
        <f>N61+N67+N73+N75</f>
        <v>0.5459912014652014</v>
      </c>
      <c r="O60" s="75" t="s">
        <v>0</v>
      </c>
      <c r="P60" s="82"/>
      <c r="Q60" s="82"/>
      <c r="R60" s="55"/>
      <c r="S60" s="74">
        <f>SUM(R61:R75)/4</f>
        <v>0.6838528138528137</v>
      </c>
      <c r="T60" s="75" t="s">
        <v>0</v>
      </c>
    </row>
    <row r="61" spans="1:20" s="40" customFormat="1" ht="21" customHeight="1">
      <c r="A61" s="116"/>
      <c r="B61" s="133" t="s">
        <v>107</v>
      </c>
      <c r="C61" s="133"/>
      <c r="D61" s="133"/>
      <c r="E61" s="133"/>
      <c r="F61" s="133"/>
      <c r="G61" s="133"/>
      <c r="H61" s="133"/>
      <c r="I61" s="133"/>
      <c r="J61" s="56"/>
      <c r="K61" s="62"/>
      <c r="L61" s="102"/>
      <c r="M61" s="59">
        <f>SUM(M62:M66)</f>
        <v>0.20126192307692306</v>
      </c>
      <c r="N61" s="60">
        <f>M61/4</f>
        <v>0.050315480769230765</v>
      </c>
      <c r="O61" s="54"/>
      <c r="P61" s="82"/>
      <c r="Q61" s="82"/>
      <c r="R61" s="83">
        <f>SUM(Q62:Q66)/15</f>
        <v>0.5490909090909091</v>
      </c>
      <c r="S61" s="54"/>
      <c r="T61" s="100"/>
    </row>
    <row r="62" spans="1:20" s="40" customFormat="1" ht="31.5" customHeight="1">
      <c r="A62" s="118"/>
      <c r="B62" s="115"/>
      <c r="C62" s="61" t="s">
        <v>39</v>
      </c>
      <c r="D62" s="123" t="s">
        <v>108</v>
      </c>
      <c r="E62" s="151"/>
      <c r="F62" s="151"/>
      <c r="G62" s="151"/>
      <c r="H62" s="151"/>
      <c r="I62" s="151"/>
      <c r="J62" s="65">
        <v>3</v>
      </c>
      <c r="K62" s="62">
        <f>(7+5+5+2)/13/4</f>
        <v>0.36538461538461536</v>
      </c>
      <c r="L62" s="103">
        <f>3*K62</f>
        <v>1.096153846153846</v>
      </c>
      <c r="M62" s="60">
        <f>L62*0.3333/5</f>
        <v>0.07306961538461537</v>
      </c>
      <c r="N62" s="64"/>
      <c r="O62" s="54"/>
      <c r="P62" s="103">
        <f>('[1]Tru cot 4'!$AL$4+'[2]Tru cot 4'!$U$4+'[3]Tru cot 4'!$G$4)/55</f>
        <v>1.5818181818181818</v>
      </c>
      <c r="Q62" s="103">
        <v>1.5272727272727273</v>
      </c>
      <c r="R62" s="84"/>
      <c r="S62" s="54"/>
      <c r="T62" s="100"/>
    </row>
    <row r="63" spans="1:20" s="40" customFormat="1" ht="30.75" customHeight="1">
      <c r="A63" s="119"/>
      <c r="B63" s="115"/>
      <c r="C63" s="61" t="s">
        <v>40</v>
      </c>
      <c r="D63" s="123" t="s">
        <v>109</v>
      </c>
      <c r="E63" s="151"/>
      <c r="F63" s="151"/>
      <c r="G63" s="151"/>
      <c r="H63" s="151"/>
      <c r="I63" s="151"/>
      <c r="J63" s="65">
        <v>3</v>
      </c>
      <c r="K63" s="62">
        <f>(2*3+2*2+1*1+8*0)/13/4</f>
        <v>0.21153846153846154</v>
      </c>
      <c r="L63" s="103">
        <f>3*K63</f>
        <v>0.6346153846153846</v>
      </c>
      <c r="M63" s="60">
        <f>L63*0.3333/5</f>
        <v>0.04230346153846153</v>
      </c>
      <c r="N63" s="64"/>
      <c r="O63" s="54"/>
      <c r="P63" s="103">
        <f>('[1]Tru cot 4'!$AL$9+'[2]Tru cot 4'!$U$9+'[3]Tru cot 4'!$G$9)/55</f>
        <v>1.8181818181818181</v>
      </c>
      <c r="Q63" s="103">
        <v>1.7636363636363637</v>
      </c>
      <c r="R63" s="84"/>
      <c r="S63" s="54"/>
      <c r="T63" s="100"/>
    </row>
    <row r="64" spans="1:20" s="40" customFormat="1" ht="16.5" customHeight="1">
      <c r="A64" s="119"/>
      <c r="B64" s="115"/>
      <c r="C64" s="61" t="s">
        <v>41</v>
      </c>
      <c r="D64" s="149" t="s">
        <v>110</v>
      </c>
      <c r="E64" s="149"/>
      <c r="F64" s="149"/>
      <c r="G64" s="149"/>
      <c r="H64" s="149"/>
      <c r="I64" s="149"/>
      <c r="J64" s="77">
        <v>3</v>
      </c>
      <c r="K64" s="78">
        <f>(1+5+4)/13/3</f>
        <v>0.25641025641025644</v>
      </c>
      <c r="L64" s="103">
        <f>3*K64</f>
        <v>0.7692307692307694</v>
      </c>
      <c r="M64" s="60">
        <f>L64*0.3333/5</f>
        <v>0.05127692307692309</v>
      </c>
      <c r="N64" s="64"/>
      <c r="O64" s="54"/>
      <c r="P64" s="103">
        <f>('[1]Tru cot 4'!$AL$14+'[2]Tru cot 4'!$U$14+'[3]Tru cot 4'!$G$14)/55</f>
        <v>1.9636363636363636</v>
      </c>
      <c r="Q64" s="103">
        <v>1.9090909090909092</v>
      </c>
      <c r="R64" s="84"/>
      <c r="S64" s="54"/>
      <c r="T64" s="100"/>
    </row>
    <row r="65" spans="1:20" s="40" customFormat="1" ht="16.5" customHeight="1">
      <c r="A65" s="119"/>
      <c r="B65" s="115"/>
      <c r="C65" s="61" t="s">
        <v>42</v>
      </c>
      <c r="D65" s="123" t="s">
        <v>111</v>
      </c>
      <c r="E65" s="123"/>
      <c r="F65" s="123"/>
      <c r="G65" s="123"/>
      <c r="H65" s="123"/>
      <c r="I65" s="123"/>
      <c r="J65" s="56">
        <v>3</v>
      </c>
      <c r="K65" s="62">
        <f>(0*3+2*2+1*1+3*0)/13/4</f>
        <v>0.09615384615384616</v>
      </c>
      <c r="L65" s="103">
        <f>3*K65</f>
        <v>0.2884615384615385</v>
      </c>
      <c r="M65" s="60">
        <f>L65*0.3333/5</f>
        <v>0.019228846153846155</v>
      </c>
      <c r="N65" s="64"/>
      <c r="O65" s="54"/>
      <c r="P65" s="103">
        <f>('[1]Tru cot 4'!$AL$19+'[2]Tru cot 4'!$U$19+'[3]Tru cot 4'!$G$19)/55</f>
        <v>1.509090909090909</v>
      </c>
      <c r="Q65" s="103">
        <v>1.4545454545454546</v>
      </c>
      <c r="R65" s="84"/>
      <c r="S65" s="54"/>
      <c r="T65" s="100"/>
    </row>
    <row r="66" spans="1:20" s="40" customFormat="1" ht="30.75" customHeight="1">
      <c r="A66" s="120"/>
      <c r="B66" s="115"/>
      <c r="C66" s="61" t="s">
        <v>43</v>
      </c>
      <c r="D66" s="123" t="s">
        <v>112</v>
      </c>
      <c r="E66" s="123"/>
      <c r="F66" s="123"/>
      <c r="G66" s="123"/>
      <c r="H66" s="123"/>
      <c r="I66" s="123"/>
      <c r="J66" s="56">
        <v>3</v>
      </c>
      <c r="K66" s="62">
        <f>(0*3+0*2+4*1+9*0)/13/4</f>
        <v>0.07692307692307693</v>
      </c>
      <c r="L66" s="103">
        <f>3*K66</f>
        <v>0.23076923076923078</v>
      </c>
      <c r="M66" s="60">
        <f>L66*0.3333/5</f>
        <v>0.015383076923076925</v>
      </c>
      <c r="N66" s="64"/>
      <c r="O66" s="54"/>
      <c r="P66" s="103">
        <f>('[1]Tru cot 4'!$AL$24+'[2]Tru cot 4'!$U$24+'[3]Tru cot 4'!$G$24)/55</f>
        <v>1.6363636363636365</v>
      </c>
      <c r="Q66" s="103">
        <v>1.5818181818181818</v>
      </c>
      <c r="R66" s="84"/>
      <c r="S66" s="54"/>
      <c r="T66" s="100"/>
    </row>
    <row r="67" spans="1:20" s="40" customFormat="1" ht="21" customHeight="1">
      <c r="A67" s="121"/>
      <c r="B67" s="133" t="s">
        <v>113</v>
      </c>
      <c r="C67" s="133"/>
      <c r="D67" s="133"/>
      <c r="E67" s="133"/>
      <c r="F67" s="133"/>
      <c r="G67" s="133"/>
      <c r="H67" s="133"/>
      <c r="I67" s="133"/>
      <c r="J67" s="56"/>
      <c r="K67" s="62"/>
      <c r="L67" s="102"/>
      <c r="M67" s="59">
        <f>SUM(M68:M72)</f>
        <v>0.39970361538461535</v>
      </c>
      <c r="N67" s="60">
        <f>M67/4</f>
        <v>0.09992590384615384</v>
      </c>
      <c r="O67" s="54"/>
      <c r="P67" s="82"/>
      <c r="Q67" s="82"/>
      <c r="R67" s="83">
        <f>SUM(Q68:Q72)/15</f>
        <v>0.6884848484848484</v>
      </c>
      <c r="S67" s="54"/>
      <c r="T67" s="100"/>
    </row>
    <row r="68" spans="1:20" s="40" customFormat="1" ht="31.5" customHeight="1">
      <c r="A68" s="118"/>
      <c r="B68" s="115"/>
      <c r="C68" s="61" t="s">
        <v>44</v>
      </c>
      <c r="D68" s="123" t="s">
        <v>114</v>
      </c>
      <c r="E68" s="123"/>
      <c r="F68" s="123"/>
      <c r="G68" s="123"/>
      <c r="H68" s="123"/>
      <c r="I68" s="123"/>
      <c r="J68" s="56">
        <v>3</v>
      </c>
      <c r="K68" s="62">
        <f>(5+5+9)/13/3</f>
        <v>0.48717948717948717</v>
      </c>
      <c r="L68" s="103">
        <f>3*K68</f>
        <v>1.4615384615384615</v>
      </c>
      <c r="M68" s="60">
        <f>L68*0.3333/5</f>
        <v>0.09742615384615384</v>
      </c>
      <c r="N68" s="64"/>
      <c r="O68" s="54"/>
      <c r="P68" s="103">
        <f>('[1]Tru cot 4'!$AL$30+'[2]Tru cot 4'!$U$30+'[3]Tru cot 4'!$G$30)/55</f>
        <v>2.4545454545454546</v>
      </c>
      <c r="Q68" s="103">
        <v>2.4</v>
      </c>
      <c r="R68" s="84"/>
      <c r="S68" s="54"/>
      <c r="T68" s="100"/>
    </row>
    <row r="69" spans="1:20" s="40" customFormat="1" ht="31.5" customHeight="1">
      <c r="A69" s="119"/>
      <c r="B69" s="115"/>
      <c r="C69" s="61" t="s">
        <v>45</v>
      </c>
      <c r="D69" s="123" t="s">
        <v>115</v>
      </c>
      <c r="E69" s="123"/>
      <c r="F69" s="123"/>
      <c r="G69" s="123"/>
      <c r="H69" s="123"/>
      <c r="I69" s="123"/>
      <c r="J69" s="56">
        <v>3</v>
      </c>
      <c r="K69" s="62">
        <f>(9*3+0*2+0*1+4*0)/13/4</f>
        <v>0.5192307692307693</v>
      </c>
      <c r="L69" s="103">
        <f>3*K69</f>
        <v>1.557692307692308</v>
      </c>
      <c r="M69" s="60">
        <f>L69*0.3333/5</f>
        <v>0.10383576923076925</v>
      </c>
      <c r="N69" s="64"/>
      <c r="O69" s="54"/>
      <c r="P69" s="103">
        <f>('[1]Tru cot 4'!$AL$35+'[2]Tru cot 4'!$U$35+'[3]Tru cot 4'!$G$35)/55</f>
        <v>2.381818181818182</v>
      </c>
      <c r="Q69" s="103">
        <v>2.327272727272727</v>
      </c>
      <c r="R69" s="84"/>
      <c r="S69" s="54"/>
      <c r="T69" s="100"/>
    </row>
    <row r="70" spans="1:20" s="40" customFormat="1" ht="30" customHeight="1">
      <c r="A70" s="119"/>
      <c r="B70" s="115"/>
      <c r="C70" s="61" t="s">
        <v>46</v>
      </c>
      <c r="D70" s="123" t="s">
        <v>116</v>
      </c>
      <c r="E70" s="151"/>
      <c r="F70" s="151"/>
      <c r="G70" s="151"/>
      <c r="H70" s="151"/>
      <c r="I70" s="151"/>
      <c r="J70" s="65">
        <v>3</v>
      </c>
      <c r="K70" s="62">
        <f>(12+4+8+3)/13/5</f>
        <v>0.4153846153846154</v>
      </c>
      <c r="L70" s="103">
        <f>3*K70</f>
        <v>1.2461538461538462</v>
      </c>
      <c r="M70" s="60">
        <f>L70*0.3333/5</f>
        <v>0.08306861538461538</v>
      </c>
      <c r="N70" s="64"/>
      <c r="O70" s="54"/>
      <c r="P70" s="103">
        <f>('[1]Tru cot 4'!$AL$40+'[2]Tru cot 4'!$U$40+'[3]Tru cot 4'!$G$40)/55</f>
        <v>2.2181818181818183</v>
      </c>
      <c r="Q70" s="103">
        <v>2.1636363636363636</v>
      </c>
      <c r="R70" s="84"/>
      <c r="S70" s="54"/>
      <c r="T70" s="100"/>
    </row>
    <row r="71" spans="1:20" s="40" customFormat="1" ht="18" customHeight="1">
      <c r="A71" s="119"/>
      <c r="B71" s="115"/>
      <c r="C71" s="61" t="s">
        <v>47</v>
      </c>
      <c r="D71" s="123" t="s">
        <v>117</v>
      </c>
      <c r="E71" s="123"/>
      <c r="F71" s="123"/>
      <c r="G71" s="123"/>
      <c r="H71" s="123"/>
      <c r="I71" s="123"/>
      <c r="J71" s="56">
        <v>3</v>
      </c>
      <c r="K71" s="62">
        <f>(6*3+1*2+2*1+4*0)/13/4</f>
        <v>0.4230769230769231</v>
      </c>
      <c r="L71" s="103">
        <f>3*K71</f>
        <v>1.2692307692307692</v>
      </c>
      <c r="M71" s="60">
        <f>L71*0.3333/5</f>
        <v>0.08460692307692307</v>
      </c>
      <c r="N71" s="64"/>
      <c r="O71" s="54"/>
      <c r="P71" s="103">
        <f>('[1]Tru cot 4'!$AL$45+'[2]Tru cot 4'!$U$45+'[3]Tru cot 4'!$G$45)/55</f>
        <v>1.709090909090909</v>
      </c>
      <c r="Q71" s="103">
        <v>1.6545454545454545</v>
      </c>
      <c r="R71" s="84"/>
      <c r="S71" s="54"/>
      <c r="T71" s="100"/>
    </row>
    <row r="72" spans="1:20" s="40" customFormat="1" ht="18" customHeight="1">
      <c r="A72" s="120"/>
      <c r="B72" s="115"/>
      <c r="C72" s="61" t="s">
        <v>48</v>
      </c>
      <c r="D72" s="123" t="s">
        <v>118</v>
      </c>
      <c r="E72" s="123"/>
      <c r="F72" s="123"/>
      <c r="G72" s="123"/>
      <c r="H72" s="123"/>
      <c r="I72" s="123"/>
      <c r="J72" s="56">
        <v>3</v>
      </c>
      <c r="K72" s="62">
        <f>(2*3+11*0)/13/3</f>
        <v>0.15384615384615385</v>
      </c>
      <c r="L72" s="103">
        <f>3*K72</f>
        <v>0.46153846153846156</v>
      </c>
      <c r="M72" s="60">
        <f>L72*0.3333/5</f>
        <v>0.03076615384615385</v>
      </c>
      <c r="N72" s="64"/>
      <c r="O72" s="54"/>
      <c r="P72" s="103">
        <f>('[1]Tru cot 4'!$AL$50+'[2]Tru cot 4'!$U$50+'[3]Tru cot 4'!$G$50)/55</f>
        <v>1.8363636363636364</v>
      </c>
      <c r="Q72" s="103">
        <v>1.7818181818181817</v>
      </c>
      <c r="R72" s="84"/>
      <c r="S72" s="54"/>
      <c r="T72" s="100"/>
    </row>
    <row r="73" spans="1:20" s="40" customFormat="1" ht="21" customHeight="1">
      <c r="A73" s="117"/>
      <c r="B73" s="133" t="s">
        <v>119</v>
      </c>
      <c r="C73" s="133"/>
      <c r="D73" s="133"/>
      <c r="E73" s="133"/>
      <c r="F73" s="133"/>
      <c r="G73" s="133"/>
      <c r="H73" s="133"/>
      <c r="I73" s="133"/>
      <c r="J73" s="56"/>
      <c r="K73" s="62"/>
      <c r="L73" s="102"/>
      <c r="M73" s="59">
        <f>SUM(M74)</f>
        <v>0.8973461538461539</v>
      </c>
      <c r="N73" s="60">
        <f>M73/4</f>
        <v>0.22433653846153848</v>
      </c>
      <c r="O73" s="54"/>
      <c r="P73" s="82"/>
      <c r="Q73" s="82"/>
      <c r="R73" s="83">
        <f>Q74/3</f>
        <v>0.8242424242424242</v>
      </c>
      <c r="S73" s="54"/>
      <c r="T73" s="100"/>
    </row>
    <row r="74" spans="1:20" s="40" customFormat="1" ht="31.5" customHeight="1">
      <c r="A74" s="81"/>
      <c r="B74" s="55"/>
      <c r="C74" s="61" t="s">
        <v>49</v>
      </c>
      <c r="D74" s="123" t="s">
        <v>120</v>
      </c>
      <c r="E74" s="123"/>
      <c r="F74" s="123"/>
      <c r="G74" s="123"/>
      <c r="H74" s="123"/>
      <c r="I74" s="123"/>
      <c r="J74" s="56">
        <v>3</v>
      </c>
      <c r="K74" s="62">
        <f>(10*3+2*2+1*1+1*0)/13/3</f>
        <v>0.8974358974358975</v>
      </c>
      <c r="L74" s="103">
        <f>3*K74</f>
        <v>2.6923076923076925</v>
      </c>
      <c r="M74" s="60">
        <f>L74*0.3333/1</f>
        <v>0.8973461538461539</v>
      </c>
      <c r="N74" s="64"/>
      <c r="O74" s="54"/>
      <c r="P74" s="103">
        <f>('[1]Tru cot 4'!$AL$54+'[2]Tru cot 4'!$U$54+'[3]Tru cot 4'!$G$54)/55</f>
        <v>2.5272727272727273</v>
      </c>
      <c r="Q74" s="103">
        <v>2.4727272727272727</v>
      </c>
      <c r="R74" s="84"/>
      <c r="S74" s="54"/>
      <c r="T74" s="100"/>
    </row>
    <row r="75" spans="1:20" s="40" customFormat="1" ht="21" customHeight="1">
      <c r="A75" s="116"/>
      <c r="B75" s="133" t="s">
        <v>121</v>
      </c>
      <c r="C75" s="133"/>
      <c r="D75" s="133"/>
      <c r="E75" s="133"/>
      <c r="F75" s="133"/>
      <c r="G75" s="133"/>
      <c r="H75" s="133"/>
      <c r="I75" s="133"/>
      <c r="J75" s="56"/>
      <c r="K75" s="62"/>
      <c r="L75" s="102"/>
      <c r="M75" s="59">
        <f>SUM(M76:M82)</f>
        <v>0.6856531135531135</v>
      </c>
      <c r="N75" s="60">
        <f>M75/4</f>
        <v>0.17141327838827838</v>
      </c>
      <c r="O75" s="54"/>
      <c r="P75" s="82"/>
      <c r="Q75" s="82"/>
      <c r="R75" s="83">
        <f>SUM(Q76:Q82)/21</f>
        <v>0.6735930735930735</v>
      </c>
      <c r="S75" s="54"/>
      <c r="T75" s="100"/>
    </row>
    <row r="76" spans="1:20" s="40" customFormat="1" ht="48.75" customHeight="1">
      <c r="A76" s="118"/>
      <c r="B76" s="115"/>
      <c r="C76" s="61" t="s">
        <v>50</v>
      </c>
      <c r="D76" s="123" t="s">
        <v>122</v>
      </c>
      <c r="E76" s="123"/>
      <c r="F76" s="123"/>
      <c r="G76" s="123"/>
      <c r="H76" s="123"/>
      <c r="I76" s="123"/>
      <c r="J76" s="56">
        <v>3</v>
      </c>
      <c r="K76" s="62">
        <f>(6*3+4*2+3*1+0*0)/13/3</f>
        <v>0.7435897435897436</v>
      </c>
      <c r="L76" s="103">
        <f aca="true" t="shared" si="4" ref="L76:L82">3*K76</f>
        <v>2.230769230769231</v>
      </c>
      <c r="M76" s="60">
        <f aca="true" t="shared" si="5" ref="M76:M82">L76*0.3333/7</f>
        <v>0.10621648351648351</v>
      </c>
      <c r="N76" s="55"/>
      <c r="O76" s="54"/>
      <c r="P76" s="103">
        <f>('[1]Tru cot 4'!$AL$60+'[2]Tru cot 4'!$U$60+'[3]Tru cot 4'!$G$60)/55</f>
        <v>2.0727272727272728</v>
      </c>
      <c r="Q76" s="103">
        <v>2.018181818181818</v>
      </c>
      <c r="R76" s="55"/>
      <c r="S76" s="54"/>
      <c r="T76" s="100"/>
    </row>
    <row r="77" spans="1:20" s="40" customFormat="1" ht="28.5" customHeight="1">
      <c r="A77" s="119"/>
      <c r="B77" s="115"/>
      <c r="C77" s="61" t="s">
        <v>51</v>
      </c>
      <c r="D77" s="123" t="s">
        <v>123</v>
      </c>
      <c r="E77" s="123"/>
      <c r="F77" s="123"/>
      <c r="G77" s="123"/>
      <c r="H77" s="123"/>
      <c r="I77" s="123"/>
      <c r="J77" s="56">
        <v>3</v>
      </c>
      <c r="K77" s="62">
        <f>(9*3+2*2+2*1+0*0)/13/3</f>
        <v>0.8461538461538461</v>
      </c>
      <c r="L77" s="103">
        <f t="shared" si="4"/>
        <v>2.5384615384615383</v>
      </c>
      <c r="M77" s="60">
        <f t="shared" si="5"/>
        <v>0.12086703296703295</v>
      </c>
      <c r="N77" s="55"/>
      <c r="O77" s="54"/>
      <c r="P77" s="103">
        <f>('[1]Tru cot 4'!$AL$65+'[2]Tru cot 4'!$U$65+'[3]Tru cot 4'!$F$65)/55</f>
        <v>2.4</v>
      </c>
      <c r="Q77" s="103">
        <v>2.3454545454545452</v>
      </c>
      <c r="R77" s="55"/>
      <c r="S77" s="54"/>
      <c r="T77" s="100"/>
    </row>
    <row r="78" spans="1:20" s="40" customFormat="1" ht="18.75" customHeight="1">
      <c r="A78" s="119"/>
      <c r="B78" s="115"/>
      <c r="C78" s="61" t="s">
        <v>52</v>
      </c>
      <c r="D78" s="123" t="s">
        <v>124</v>
      </c>
      <c r="E78" s="123"/>
      <c r="F78" s="123"/>
      <c r="G78" s="123"/>
      <c r="H78" s="123"/>
      <c r="I78" s="123"/>
      <c r="J78" s="56">
        <v>3</v>
      </c>
      <c r="K78" s="62">
        <f>(5*3+4*2+4*1+0*0)/13/3</f>
        <v>0.6923076923076924</v>
      </c>
      <c r="L78" s="103">
        <f t="shared" si="4"/>
        <v>2.076923076923077</v>
      </c>
      <c r="M78" s="60">
        <f t="shared" si="5"/>
        <v>0.0988912087912088</v>
      </c>
      <c r="N78" s="55"/>
      <c r="O78" s="54"/>
      <c r="P78" s="103">
        <f>('[1]Tru cot 4'!$AL$70+'[2]Tru cot 4'!$U$70+'[3]Tru cot 4'!$F$70)/55</f>
        <v>2.0727272727272728</v>
      </c>
      <c r="Q78" s="103">
        <v>2.018181818181818</v>
      </c>
      <c r="R78" s="55"/>
      <c r="S78" s="54"/>
      <c r="T78" s="100"/>
    </row>
    <row r="79" spans="1:20" s="40" customFormat="1" ht="18.75" customHeight="1">
      <c r="A79" s="119"/>
      <c r="B79" s="115"/>
      <c r="C79" s="61" t="s">
        <v>53</v>
      </c>
      <c r="D79" s="123" t="s">
        <v>125</v>
      </c>
      <c r="E79" s="123"/>
      <c r="F79" s="123"/>
      <c r="G79" s="123"/>
      <c r="H79" s="123"/>
      <c r="I79" s="123"/>
      <c r="J79" s="56">
        <v>3</v>
      </c>
      <c r="K79" s="62">
        <f>(7*3+3*2+1*1+0*0)/11/3</f>
        <v>0.8484848484848485</v>
      </c>
      <c r="L79" s="103">
        <f t="shared" si="4"/>
        <v>2.5454545454545454</v>
      </c>
      <c r="M79" s="60">
        <f t="shared" si="5"/>
        <v>0.12119999999999999</v>
      </c>
      <c r="N79" s="55"/>
      <c r="O79" s="54"/>
      <c r="P79" s="103">
        <f>('[1]Tru cot 4'!$AL$75+'[2]Tru cot 4'!$U$75+'[3]Tru cot 4'!$F$75)/55</f>
        <v>2.272727272727273</v>
      </c>
      <c r="Q79" s="103">
        <v>2.2181818181818183</v>
      </c>
      <c r="R79" s="55"/>
      <c r="S79" s="54"/>
      <c r="T79" s="100"/>
    </row>
    <row r="80" spans="1:20" s="40" customFormat="1" ht="30" customHeight="1">
      <c r="A80" s="119"/>
      <c r="B80" s="115"/>
      <c r="C80" s="61" t="s">
        <v>54</v>
      </c>
      <c r="D80" s="123" t="s">
        <v>126</v>
      </c>
      <c r="E80" s="123"/>
      <c r="F80" s="123"/>
      <c r="G80" s="123"/>
      <c r="H80" s="123"/>
      <c r="I80" s="123"/>
      <c r="J80" s="56">
        <v>3</v>
      </c>
      <c r="K80" s="62">
        <f>(2*3+3*2+4*1+0*0)/9/3</f>
        <v>0.5925925925925926</v>
      </c>
      <c r="L80" s="103">
        <f t="shared" si="4"/>
        <v>1.7777777777777777</v>
      </c>
      <c r="M80" s="60">
        <f t="shared" si="5"/>
        <v>0.08464761904761904</v>
      </c>
      <c r="N80" s="55"/>
      <c r="O80" s="54"/>
      <c r="P80" s="103">
        <f>('[1]Tru cot 4'!$AL$80+'[2]Tru cot 4'!$U$80+'[3]Tru cot 4'!$F$80)/55</f>
        <v>1.8181818181818181</v>
      </c>
      <c r="Q80" s="103">
        <v>1.7636363636363637</v>
      </c>
      <c r="R80" s="55"/>
      <c r="S80" s="54"/>
      <c r="T80" s="100"/>
    </row>
    <row r="81" spans="1:20" s="40" customFormat="1" ht="17.25" customHeight="1">
      <c r="A81" s="119"/>
      <c r="B81" s="115"/>
      <c r="C81" s="61" t="s">
        <v>55</v>
      </c>
      <c r="D81" s="123" t="s">
        <v>127</v>
      </c>
      <c r="E81" s="123"/>
      <c r="F81" s="123"/>
      <c r="G81" s="123"/>
      <c r="H81" s="123"/>
      <c r="I81" s="123"/>
      <c r="J81" s="56">
        <v>3</v>
      </c>
      <c r="K81" s="62">
        <f>(3*3+4*2+1*1+1*0)/9/3</f>
        <v>0.6666666666666666</v>
      </c>
      <c r="L81" s="103">
        <f t="shared" si="4"/>
        <v>2</v>
      </c>
      <c r="M81" s="60">
        <f t="shared" si="5"/>
        <v>0.09522857142857143</v>
      </c>
      <c r="N81" s="55"/>
      <c r="O81" s="54"/>
      <c r="P81" s="103">
        <f>('[1]Tru cot 4'!$AL$85+'[2]Tru cot 4'!$U$85+'[3]Tru cot 4'!$F$85)/55</f>
        <v>1.8909090909090909</v>
      </c>
      <c r="Q81" s="103">
        <v>1.8363636363636364</v>
      </c>
      <c r="R81" s="55"/>
      <c r="S81" s="54"/>
      <c r="T81" s="100"/>
    </row>
    <row r="82" spans="1:20" s="40" customFormat="1" ht="26.25" customHeight="1">
      <c r="A82" s="120"/>
      <c r="B82" s="115"/>
      <c r="C82" s="61" t="s">
        <v>56</v>
      </c>
      <c r="D82" s="143" t="s">
        <v>128</v>
      </c>
      <c r="E82" s="143"/>
      <c r="F82" s="143"/>
      <c r="G82" s="143"/>
      <c r="H82" s="143"/>
      <c r="I82" s="143"/>
      <c r="J82" s="56">
        <v>3</v>
      </c>
      <c r="K82" s="62">
        <f>(7+1+8)/13/3</f>
        <v>0.4102564102564103</v>
      </c>
      <c r="L82" s="103">
        <f t="shared" si="4"/>
        <v>1.2307692307692308</v>
      </c>
      <c r="M82" s="60">
        <f t="shared" si="5"/>
        <v>0.058602197802197796</v>
      </c>
      <c r="N82" s="55"/>
      <c r="O82" s="54"/>
      <c r="P82" s="103">
        <f>('[1]Tru cot 4'!$AL$90+'[2]Tru cot 4'!$U$90+'[3]Tru cot 4'!$F$90)/55</f>
        <v>2</v>
      </c>
      <c r="Q82" s="103">
        <v>1.9454545454545455</v>
      </c>
      <c r="R82" s="55"/>
      <c r="S82" s="54"/>
      <c r="T82" s="100"/>
    </row>
    <row r="83" spans="1:20" s="40" customFormat="1" ht="10.5" customHeight="1">
      <c r="A83" s="156"/>
      <c r="B83" s="157"/>
      <c r="C83" s="157"/>
      <c r="D83" s="157"/>
      <c r="E83" s="157"/>
      <c r="F83" s="157"/>
      <c r="G83" s="157"/>
      <c r="H83" s="157"/>
      <c r="I83" s="157"/>
      <c r="J83" s="157"/>
      <c r="K83" s="157"/>
      <c r="L83" s="157"/>
      <c r="M83" s="157"/>
      <c r="N83" s="157"/>
      <c r="O83" s="157"/>
      <c r="P83" s="157"/>
      <c r="Q83" s="157"/>
      <c r="R83" s="157"/>
      <c r="S83" s="157"/>
      <c r="T83" s="158"/>
    </row>
    <row r="84" spans="1:20" s="96" customFormat="1" ht="24.75" customHeight="1">
      <c r="A84" s="159"/>
      <c r="B84" s="160"/>
      <c r="C84" s="161"/>
      <c r="D84" s="162" t="s">
        <v>133</v>
      </c>
      <c r="E84" s="163"/>
      <c r="F84" s="163"/>
      <c r="G84" s="163"/>
      <c r="H84" s="163"/>
      <c r="I84" s="164"/>
      <c r="J84" s="92">
        <f>SUM(J7:J83)</f>
        <v>162</v>
      </c>
      <c r="K84" s="93">
        <f>SUM(K7:K83)</f>
        <v>29.27158952158951</v>
      </c>
      <c r="L84" s="94">
        <f>SUM(L7:L83)</f>
        <v>87.81476856476854</v>
      </c>
      <c r="M84" s="95"/>
      <c r="N84" s="93"/>
      <c r="O84" s="93"/>
      <c r="P84" s="94">
        <f>SUM(P7:P83)</f>
        <v>110.10909090909092</v>
      </c>
      <c r="Q84" s="94">
        <f>SUM(Q7:Q83)</f>
        <v>109.12727272727274</v>
      </c>
      <c r="R84" s="93"/>
      <c r="S84" s="93"/>
      <c r="T84" s="105"/>
    </row>
    <row r="85" spans="1:20" s="40" customFormat="1" ht="9" customHeight="1">
      <c r="A85" s="153"/>
      <c r="B85" s="154"/>
      <c r="C85" s="154"/>
      <c r="D85" s="154"/>
      <c r="E85" s="154"/>
      <c r="F85" s="154"/>
      <c r="G85" s="154"/>
      <c r="H85" s="154"/>
      <c r="I85" s="154"/>
      <c r="J85" s="154"/>
      <c r="K85" s="154"/>
      <c r="L85" s="154"/>
      <c r="M85" s="154"/>
      <c r="N85" s="154"/>
      <c r="O85" s="154"/>
      <c r="P85" s="154"/>
      <c r="Q85" s="154"/>
      <c r="R85" s="154"/>
      <c r="S85" s="154"/>
      <c r="T85" s="155"/>
    </row>
    <row r="86" spans="1:20" s="96" customFormat="1" ht="38.25" customHeight="1" thickBot="1">
      <c r="A86" s="166"/>
      <c r="B86" s="167"/>
      <c r="C86" s="168"/>
      <c r="D86" s="169" t="s">
        <v>134</v>
      </c>
      <c r="E86" s="170"/>
      <c r="F86" s="170"/>
      <c r="G86" s="170"/>
      <c r="H86" s="170"/>
      <c r="I86" s="171"/>
      <c r="J86" s="97"/>
      <c r="K86" s="98"/>
      <c r="L86" s="99" t="s">
        <v>57</v>
      </c>
      <c r="M86" s="98"/>
      <c r="N86" s="98"/>
      <c r="O86" s="98"/>
      <c r="P86" s="99" t="s">
        <v>58</v>
      </c>
      <c r="Q86" s="99" t="s">
        <v>58</v>
      </c>
      <c r="R86" s="98"/>
      <c r="S86" s="98"/>
      <c r="T86" s="106"/>
    </row>
    <row r="87" spans="1:20" s="40" customFormat="1" ht="15">
      <c r="A87" s="39"/>
      <c r="B87" s="39"/>
      <c r="C87" s="39"/>
      <c r="D87" s="39"/>
      <c r="E87" s="39"/>
      <c r="F87" s="39"/>
      <c r="G87" s="39"/>
      <c r="H87" s="39"/>
      <c r="I87" s="39"/>
      <c r="J87" s="45"/>
      <c r="K87" s="38"/>
      <c r="L87" s="39"/>
      <c r="M87" s="39"/>
      <c r="N87" s="39"/>
      <c r="O87" s="39"/>
      <c r="P87" s="85"/>
      <c r="Q87" s="85"/>
      <c r="R87" s="42"/>
      <c r="S87" s="39"/>
      <c r="T87" s="107"/>
    </row>
    <row r="88" spans="1:20" s="40" customFormat="1" ht="15">
      <c r="A88" s="39"/>
      <c r="B88" s="39"/>
      <c r="C88" s="39"/>
      <c r="D88" s="39"/>
      <c r="E88" s="39"/>
      <c r="F88" s="39"/>
      <c r="G88" s="39"/>
      <c r="H88" s="39"/>
      <c r="I88" s="39"/>
      <c r="J88" s="45"/>
      <c r="K88" s="38"/>
      <c r="L88" s="39"/>
      <c r="M88" s="39"/>
      <c r="N88" s="39"/>
      <c r="O88" s="39"/>
      <c r="P88" s="85"/>
      <c r="Q88" s="85"/>
      <c r="R88" s="42"/>
      <c r="S88" s="39"/>
      <c r="T88" s="107"/>
    </row>
    <row r="89" spans="1:20" s="40" customFormat="1" ht="15">
      <c r="A89" s="39"/>
      <c r="B89" s="39"/>
      <c r="C89" s="39"/>
      <c r="D89" s="39"/>
      <c r="E89" s="39"/>
      <c r="F89" s="39"/>
      <c r="G89" s="39"/>
      <c r="H89" s="39"/>
      <c r="I89" s="39"/>
      <c r="J89" s="45"/>
      <c r="K89" s="38"/>
      <c r="L89" s="39"/>
      <c r="M89" s="39"/>
      <c r="N89" s="39"/>
      <c r="O89" s="39"/>
      <c r="P89" s="85"/>
      <c r="Q89" s="85"/>
      <c r="R89" s="42"/>
      <c r="S89" s="39"/>
      <c r="T89" s="107"/>
    </row>
    <row r="90" spans="10:20" s="40" customFormat="1" ht="15">
      <c r="J90" s="46"/>
      <c r="K90" s="41"/>
      <c r="L90" s="39"/>
      <c r="P90" s="85"/>
      <c r="Q90" s="85"/>
      <c r="R90" s="42"/>
      <c r="T90" s="107"/>
    </row>
    <row r="91" spans="10:20" s="40" customFormat="1" ht="15">
      <c r="J91" s="46"/>
      <c r="K91" s="41"/>
      <c r="L91" s="39"/>
      <c r="P91" s="85"/>
      <c r="Q91" s="85"/>
      <c r="R91" s="42"/>
      <c r="T91" s="107"/>
    </row>
    <row r="92" spans="10:20" s="40" customFormat="1" ht="15">
      <c r="J92" s="46"/>
      <c r="K92" s="41"/>
      <c r="L92" s="39"/>
      <c r="P92" s="85"/>
      <c r="Q92" s="85"/>
      <c r="R92" s="42"/>
      <c r="T92" s="107"/>
    </row>
  </sheetData>
  <sheetProtection password="C4A2" sheet="1" objects="1" scenarios="1"/>
  <mergeCells count="84">
    <mergeCell ref="D82:I82"/>
    <mergeCell ref="D77:I77"/>
    <mergeCell ref="D78:I78"/>
    <mergeCell ref="D79:I79"/>
    <mergeCell ref="D80:I80"/>
    <mergeCell ref="D72:I72"/>
    <mergeCell ref="B73:I73"/>
    <mergeCell ref="D74:I74"/>
    <mergeCell ref="B75:I75"/>
    <mergeCell ref="D76:I76"/>
    <mergeCell ref="D81:I81"/>
    <mergeCell ref="D66:I66"/>
    <mergeCell ref="B67:I67"/>
    <mergeCell ref="D68:I68"/>
    <mergeCell ref="D69:I69"/>
    <mergeCell ref="D70:I70"/>
    <mergeCell ref="D71:I71"/>
    <mergeCell ref="D57:I57"/>
    <mergeCell ref="A60:I60"/>
    <mergeCell ref="A59:T59"/>
    <mergeCell ref="B61:I61"/>
    <mergeCell ref="D62:I62"/>
    <mergeCell ref="A86:C86"/>
    <mergeCell ref="D86:I86"/>
    <mergeCell ref="D63:I63"/>
    <mergeCell ref="D64:I64"/>
    <mergeCell ref="D65:I65"/>
    <mergeCell ref="B51:I51"/>
    <mergeCell ref="D52:I52"/>
    <mergeCell ref="D53:I53"/>
    <mergeCell ref="D54:I54"/>
    <mergeCell ref="B55:I55"/>
    <mergeCell ref="D56:I56"/>
    <mergeCell ref="A45:I45"/>
    <mergeCell ref="A85:T85"/>
    <mergeCell ref="A83:T83"/>
    <mergeCell ref="A84:C84"/>
    <mergeCell ref="D84:I84"/>
    <mergeCell ref="B46:I46"/>
    <mergeCell ref="D47:I47"/>
    <mergeCell ref="D48:I48"/>
    <mergeCell ref="D49:I49"/>
    <mergeCell ref="D50:I50"/>
    <mergeCell ref="D28:I28"/>
    <mergeCell ref="B29:I29"/>
    <mergeCell ref="D30:I30"/>
    <mergeCell ref="D31:I36"/>
    <mergeCell ref="B24:I24"/>
    <mergeCell ref="D25:I25"/>
    <mergeCell ref="D26:I26"/>
    <mergeCell ref="D27:I27"/>
    <mergeCell ref="D13:I13"/>
    <mergeCell ref="D14:I14"/>
    <mergeCell ref="B15:I15"/>
    <mergeCell ref="D16:I16"/>
    <mergeCell ref="D37:I37"/>
    <mergeCell ref="D17:I17"/>
    <mergeCell ref="D18:I18"/>
    <mergeCell ref="D19:I19"/>
    <mergeCell ref="D20:I20"/>
    <mergeCell ref="D21:I21"/>
    <mergeCell ref="D43:I43"/>
    <mergeCell ref="D58:I58"/>
    <mergeCell ref="A44:T44"/>
    <mergeCell ref="A22:T22"/>
    <mergeCell ref="A23:I23"/>
    <mergeCell ref="D38:I38"/>
    <mergeCell ref="B39:I39"/>
    <mergeCell ref="D40:I40"/>
    <mergeCell ref="D41:I41"/>
    <mergeCell ref="D42:I42"/>
    <mergeCell ref="Q4:T4"/>
    <mergeCell ref="L3:T3"/>
    <mergeCell ref="A5:I5"/>
    <mergeCell ref="B6:I6"/>
    <mergeCell ref="J3:J4"/>
    <mergeCell ref="A3:I4"/>
    <mergeCell ref="L4:O4"/>
    <mergeCell ref="D11:I11"/>
    <mergeCell ref="D12:I12"/>
    <mergeCell ref="D7:I7"/>
    <mergeCell ref="D8:I8"/>
    <mergeCell ref="D9:I9"/>
    <mergeCell ref="D10:I10"/>
  </mergeCells>
  <printOptions/>
  <pageMargins left="0.33" right="0.19" top="0.76" bottom="0.54" header="0.68" footer="0.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K17"/>
  <sheetViews>
    <sheetView tabSelected="1" zoomScalePageLayoutView="0" workbookViewId="0" topLeftCell="A4">
      <selection activeCell="G15" sqref="G15"/>
    </sheetView>
  </sheetViews>
  <sheetFormatPr defaultColWidth="9.00390625" defaultRowHeight="12.75"/>
  <cols>
    <col min="1" max="1" width="12.75390625" style="0" customWidth="1"/>
    <col min="2" max="2" width="14.875" style="0" customWidth="1"/>
    <col min="3" max="3" width="13.625" style="0" customWidth="1"/>
    <col min="4" max="4" width="14.875" style="0" customWidth="1"/>
    <col min="6" max="6" width="4.875" style="0" customWidth="1"/>
    <col min="7" max="7" width="18.875" style="0" customWidth="1"/>
    <col min="8" max="8" width="11.625" style="0" customWidth="1"/>
    <col min="9" max="9" width="14.25390625" style="0" customWidth="1"/>
    <col min="10" max="10" width="15.375" style="0" customWidth="1"/>
    <col min="11" max="11" width="12.625" style="0" customWidth="1"/>
  </cols>
  <sheetData>
    <row r="1" spans="1:10" ht="12.75">
      <c r="A1" s="1"/>
      <c r="B1" s="1"/>
      <c r="C1" s="1"/>
      <c r="D1" s="1"/>
      <c r="E1" s="1"/>
      <c r="F1" s="1"/>
      <c r="G1" s="1"/>
      <c r="H1" s="1"/>
      <c r="I1" s="1"/>
      <c r="J1" s="1"/>
    </row>
    <row r="2" spans="1:10" ht="12.75">
      <c r="A2" s="1"/>
      <c r="B2" s="1"/>
      <c r="C2" s="1"/>
      <c r="D2" s="1"/>
      <c r="E2" s="1"/>
      <c r="F2" s="1"/>
      <c r="G2" s="1"/>
      <c r="H2" s="1"/>
      <c r="I2" s="1"/>
      <c r="J2" s="1"/>
    </row>
    <row r="3" spans="1:10" ht="12.75">
      <c r="A3" s="1"/>
      <c r="B3" s="1"/>
      <c r="C3" s="1"/>
      <c r="D3" s="1"/>
      <c r="E3" s="1"/>
      <c r="F3" s="1"/>
      <c r="G3" s="1"/>
      <c r="H3" s="1"/>
      <c r="I3" s="1"/>
      <c r="J3" s="1"/>
    </row>
    <row r="4" spans="1:10" ht="13.5" thickBot="1">
      <c r="A4" s="1"/>
      <c r="B4" s="1"/>
      <c r="C4" s="1"/>
      <c r="D4" s="1"/>
      <c r="E4" s="1"/>
      <c r="F4" s="1"/>
      <c r="G4" s="1"/>
      <c r="H4" s="1"/>
      <c r="I4" s="1"/>
      <c r="J4" s="1"/>
    </row>
    <row r="5" spans="1:11" ht="23.25" customHeight="1">
      <c r="A5" s="5"/>
      <c r="B5" s="6" t="s">
        <v>135</v>
      </c>
      <c r="C5" s="11" t="s">
        <v>136</v>
      </c>
      <c r="D5" s="122" t="s">
        <v>137</v>
      </c>
      <c r="E5" s="2"/>
      <c r="F5" s="2"/>
      <c r="G5" s="5"/>
      <c r="H5" s="109" t="s">
        <v>129</v>
      </c>
      <c r="I5" s="6" t="s">
        <v>135</v>
      </c>
      <c r="J5" s="11" t="s">
        <v>136</v>
      </c>
      <c r="K5" s="122" t="s">
        <v>137</v>
      </c>
    </row>
    <row r="6" spans="1:11" ht="17.25" customHeight="1">
      <c r="A6" s="32" t="s">
        <v>138</v>
      </c>
      <c r="B6" s="33">
        <v>0.75</v>
      </c>
      <c r="C6" s="34">
        <v>0.77</v>
      </c>
      <c r="D6" s="35" t="s">
        <v>2</v>
      </c>
      <c r="E6" s="1"/>
      <c r="F6" s="1"/>
      <c r="G6" s="3" t="s">
        <v>150</v>
      </c>
      <c r="H6" s="110">
        <v>1</v>
      </c>
      <c r="I6" s="9">
        <v>0.68</v>
      </c>
      <c r="J6" s="12">
        <v>0.74</v>
      </c>
      <c r="K6" s="14" t="s">
        <v>2</v>
      </c>
    </row>
    <row r="7" spans="1:11" ht="26.25" customHeight="1">
      <c r="A7" s="3" t="s">
        <v>139</v>
      </c>
      <c r="B7" s="9">
        <v>0.61</v>
      </c>
      <c r="C7" s="18">
        <v>0.71</v>
      </c>
      <c r="D7" s="16" t="s">
        <v>2</v>
      </c>
      <c r="E7" s="1"/>
      <c r="F7" s="1"/>
      <c r="G7" s="111" t="s">
        <v>151</v>
      </c>
      <c r="H7" s="110">
        <v>1</v>
      </c>
      <c r="I7" s="9">
        <v>0.57</v>
      </c>
      <c r="J7" s="12">
        <v>0.64</v>
      </c>
      <c r="K7" s="14" t="s">
        <v>0</v>
      </c>
    </row>
    <row r="8" spans="1:11" ht="27" customHeight="1">
      <c r="A8" s="3" t="s">
        <v>140</v>
      </c>
      <c r="B8" s="9">
        <v>0.45</v>
      </c>
      <c r="C8" s="18">
        <v>0.55</v>
      </c>
      <c r="D8" s="16" t="s">
        <v>0</v>
      </c>
      <c r="E8" s="1"/>
      <c r="F8" s="1"/>
      <c r="G8" s="111" t="s">
        <v>152</v>
      </c>
      <c r="H8" s="110">
        <v>1</v>
      </c>
      <c r="I8" s="9">
        <v>0.4</v>
      </c>
      <c r="J8" s="12">
        <v>0.65</v>
      </c>
      <c r="K8" s="14" t="s">
        <v>0</v>
      </c>
    </row>
    <row r="9" spans="1:11" ht="17.25" customHeight="1" thickBot="1">
      <c r="A9" s="24" t="s">
        <v>141</v>
      </c>
      <c r="B9" s="25">
        <v>0.91</v>
      </c>
      <c r="C9" s="26">
        <v>0.77</v>
      </c>
      <c r="D9" s="27" t="s">
        <v>2</v>
      </c>
      <c r="E9" s="1"/>
      <c r="F9" s="1"/>
      <c r="G9" s="4" t="s">
        <v>153</v>
      </c>
      <c r="H9" s="112">
        <v>1</v>
      </c>
      <c r="I9" s="10">
        <v>0.55</v>
      </c>
      <c r="J9" s="13">
        <v>0.68</v>
      </c>
      <c r="K9" s="15" t="s">
        <v>0</v>
      </c>
    </row>
    <row r="10" spans="1:10" ht="17.25" customHeight="1">
      <c r="A10" s="3" t="s">
        <v>142</v>
      </c>
      <c r="B10" s="9">
        <v>0.35</v>
      </c>
      <c r="C10" s="18">
        <v>0.61</v>
      </c>
      <c r="D10" s="16" t="s">
        <v>0</v>
      </c>
      <c r="E10" s="1"/>
      <c r="F10" s="1"/>
      <c r="G10" s="1"/>
      <c r="H10" s="1"/>
      <c r="I10" s="1"/>
      <c r="J10" s="1"/>
    </row>
    <row r="11" spans="1:10" ht="17.25" customHeight="1">
      <c r="A11" s="3" t="s">
        <v>143</v>
      </c>
      <c r="B11" s="9">
        <v>0.47</v>
      </c>
      <c r="C11" s="18">
        <v>0.71</v>
      </c>
      <c r="D11" s="16" t="s">
        <v>2</v>
      </c>
      <c r="E11" s="1"/>
      <c r="F11" s="1"/>
      <c r="G11" s="1"/>
      <c r="H11" s="1"/>
      <c r="I11" s="1"/>
      <c r="J11" s="1"/>
    </row>
    <row r="12" spans="1:10" ht="17.25" customHeight="1">
      <c r="A12" s="3" t="s">
        <v>144</v>
      </c>
      <c r="B12" s="9">
        <v>0.42</v>
      </c>
      <c r="C12" s="18">
        <v>0.69</v>
      </c>
      <c r="D12" s="16" t="s">
        <v>0</v>
      </c>
      <c r="E12" s="1"/>
      <c r="F12" s="1"/>
      <c r="G12" s="1"/>
      <c r="H12" s="1"/>
      <c r="I12" s="1"/>
      <c r="J12" s="1"/>
    </row>
    <row r="13" spans="1:10" ht="17.25" customHeight="1">
      <c r="A13" s="3" t="s">
        <v>145</v>
      </c>
      <c r="B13" s="9">
        <v>0.31</v>
      </c>
      <c r="C13" s="18">
        <v>0.54</v>
      </c>
      <c r="D13" s="16" t="s">
        <v>0</v>
      </c>
      <c r="E13" s="1"/>
      <c r="F13" s="1"/>
      <c r="G13" s="1"/>
      <c r="H13" s="1"/>
      <c r="I13" s="1"/>
      <c r="J13" s="1"/>
    </row>
    <row r="14" spans="1:10" ht="17.25" customHeight="1">
      <c r="A14" s="20" t="s">
        <v>146</v>
      </c>
      <c r="B14" s="21">
        <v>0.2</v>
      </c>
      <c r="C14" s="22">
        <v>0.55</v>
      </c>
      <c r="D14" s="23" t="s">
        <v>0</v>
      </c>
      <c r="E14" s="1"/>
      <c r="F14" s="1"/>
      <c r="G14" s="1"/>
      <c r="H14" s="1"/>
      <c r="I14" s="1"/>
      <c r="J14" s="1"/>
    </row>
    <row r="15" spans="1:10" ht="17.25" customHeight="1">
      <c r="A15" s="3" t="s">
        <v>147</v>
      </c>
      <c r="B15" s="9">
        <v>0.4</v>
      </c>
      <c r="C15" s="18">
        <v>0.69</v>
      </c>
      <c r="D15" s="16" t="s">
        <v>0</v>
      </c>
      <c r="E15" s="1"/>
      <c r="F15" s="1"/>
      <c r="G15" s="1"/>
      <c r="H15" s="1"/>
      <c r="I15" s="1"/>
      <c r="J15" s="1"/>
    </row>
    <row r="16" spans="1:10" ht="17.25" customHeight="1">
      <c r="A16" s="28" t="s">
        <v>148</v>
      </c>
      <c r="B16" s="29">
        <v>0.9</v>
      </c>
      <c r="C16" s="30">
        <v>0.82</v>
      </c>
      <c r="D16" s="31" t="s">
        <v>2</v>
      </c>
      <c r="E16" s="1"/>
      <c r="F16" s="1"/>
      <c r="G16" s="1"/>
      <c r="H16" s="1"/>
      <c r="I16" s="1"/>
      <c r="J16" s="1"/>
    </row>
    <row r="17" spans="1:10" ht="17.25" customHeight="1" thickBot="1">
      <c r="A17" s="4" t="s">
        <v>149</v>
      </c>
      <c r="B17" s="10">
        <v>0.69</v>
      </c>
      <c r="C17" s="19">
        <v>0.67</v>
      </c>
      <c r="D17" s="17" t="s">
        <v>0</v>
      </c>
      <c r="E17" s="1"/>
      <c r="F17" s="1"/>
      <c r="G17" s="1"/>
      <c r="H17" s="1"/>
      <c r="I17" s="1"/>
      <c r="J17" s="1"/>
    </row>
  </sheetData>
  <sheetProtection password="C4A2" sheet="1" objects="1" scenarios="1"/>
  <printOptions/>
  <pageMargins left="0.75" right="0.75" top="1" bottom="1" header="0.5" footer="0.5"/>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Condon_C</cp:lastModifiedBy>
  <cp:lastPrinted>2008-06-17T15:58:38Z</cp:lastPrinted>
  <dcterms:created xsi:type="dcterms:W3CDTF">2006-10-19T07:14:26Z</dcterms:created>
  <dcterms:modified xsi:type="dcterms:W3CDTF">2008-07-24T14:11:48Z</dcterms:modified>
  <cp:category/>
  <cp:version/>
  <cp:contentType/>
  <cp:contentStatus/>
</cp:coreProperties>
</file>